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externalLinks/externalLink38.xml" ContentType="application/vnd.openxmlformats-officedocument.spreadsheetml.externalLink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27.xml" ContentType="application/vnd.openxmlformats-officedocument.spreadsheetml.externalLink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34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23.xml" ContentType="application/vnd.openxmlformats-officedocument.spreadsheetml.externalLink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30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39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24.xml" ContentType="application/vnd.openxmlformats-officedocument.spreadsheetml.externalLink+xml"/>
  <Override PartName="/xl/externalLinks/externalLink35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externalLinks/externalLink11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31.xml" ContentType="application/vnd.openxmlformats-officedocument.spreadsheetml.externalLink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36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32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37.xml" ContentType="application/vnd.openxmlformats-officedocument.spreadsheetml.externalLink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6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externalLinks/externalLink33.xml" ContentType="application/vnd.openxmlformats-officedocument.spreadsheetml.externalLink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naturales'!$A$1:$K$46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Reducción'!$A$1:$K$51</definedName>
    <definedName name="_xlnm.Print_Area" localSheetId="5">'Por país de destino con Aumento'!$A$1:$K$40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C10" i="101"/>
  <c r="E10"/>
  <c r="F10"/>
  <c r="G10"/>
  <c r="I10"/>
  <c r="J10"/>
  <c r="C11"/>
  <c r="D11"/>
  <c r="G11"/>
  <c r="H11"/>
  <c r="B14"/>
  <c r="C14"/>
  <c r="C13" s="1"/>
  <c r="D14"/>
  <c r="D13" s="1"/>
  <c r="G14"/>
  <c r="G13" s="1"/>
  <c r="H14"/>
  <c r="H13" s="1"/>
  <c r="B15"/>
  <c r="C15"/>
  <c r="D15"/>
  <c r="E15" s="1"/>
  <c r="G15"/>
  <c r="H15"/>
  <c r="I15" s="1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M38"/>
  <c r="C10" i="100"/>
  <c r="E10"/>
  <c r="I10" s="1"/>
  <c r="F10"/>
  <c r="G10"/>
  <c r="J10"/>
  <c r="C11"/>
  <c r="D11"/>
  <c r="G11"/>
  <c r="H11"/>
  <c r="B14"/>
  <c r="C14"/>
  <c r="C13" s="1"/>
  <c r="D14"/>
  <c r="E14"/>
  <c r="G14"/>
  <c r="G13" s="1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M44"/>
  <c r="C10" i="99"/>
  <c r="E10"/>
  <c r="F10"/>
  <c r="J10" s="1"/>
  <c r="G10"/>
  <c r="I10"/>
  <c r="C11"/>
  <c r="D11"/>
  <c r="G11"/>
  <c r="H11"/>
  <c r="B1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M45"/>
  <c r="C10" i="98"/>
  <c r="E10"/>
  <c r="F10"/>
  <c r="J10" s="1"/>
  <c r="G10"/>
  <c r="I10"/>
  <c r="C11"/>
  <c r="D11"/>
  <c r="G11"/>
  <c r="H11"/>
  <c r="B14"/>
  <c r="C14"/>
  <c r="D14"/>
  <c r="G14"/>
  <c r="H14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M45"/>
  <c r="C10" i="97"/>
  <c r="E10"/>
  <c r="F10"/>
  <c r="J10" s="1"/>
  <c r="G10"/>
  <c r="I10"/>
  <c r="C11"/>
  <c r="D11"/>
  <c r="G11"/>
  <c r="H11"/>
  <c r="B14"/>
  <c r="C14"/>
  <c r="C13" s="1"/>
  <c r="D14"/>
  <c r="G14"/>
  <c r="G13" s="1"/>
  <c r="H14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B46"/>
  <c r="C46"/>
  <c r="D46"/>
  <c r="E46" s="1"/>
  <c r="G46"/>
  <c r="H46"/>
  <c r="I46" s="1"/>
  <c r="M47"/>
  <c r="C10" i="96"/>
  <c r="E10"/>
  <c r="F10"/>
  <c r="J10" s="1"/>
  <c r="G10"/>
  <c r="I10"/>
  <c r="C11"/>
  <c r="D11"/>
  <c r="G11"/>
  <c r="H11"/>
  <c r="B1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B46"/>
  <c r="C46"/>
  <c r="D46"/>
  <c r="E46" s="1"/>
  <c r="G46"/>
  <c r="H46"/>
  <c r="I46" s="1"/>
  <c r="B47"/>
  <c r="C47"/>
  <c r="D47"/>
  <c r="E47"/>
  <c r="G47"/>
  <c r="H47"/>
  <c r="I47"/>
  <c r="M48"/>
  <c r="C10" i="94"/>
  <c r="E10"/>
  <c r="I10" s="1"/>
  <c r="F10"/>
  <c r="G10"/>
  <c r="J10"/>
  <c r="C11"/>
  <c r="D11"/>
  <c r="G11"/>
  <c r="H11"/>
  <c r="B14"/>
  <c r="C14"/>
  <c r="C13" s="1"/>
  <c r="D14"/>
  <c r="E14"/>
  <c r="G14"/>
  <c r="G13" s="1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M42"/>
  <c r="C10" i="70"/>
  <c r="E10"/>
  <c r="F10"/>
  <c r="J10" s="1"/>
  <c r="G10"/>
  <c r="I10"/>
  <c r="C11"/>
  <c r="D11"/>
  <c r="G11"/>
  <c r="H11"/>
  <c r="B1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B46"/>
  <c r="C46"/>
  <c r="D46"/>
  <c r="E46" s="1"/>
  <c r="G46"/>
  <c r="H46"/>
  <c r="I46" s="1"/>
  <c r="B47"/>
  <c r="C47"/>
  <c r="D47"/>
  <c r="E47"/>
  <c r="G47"/>
  <c r="H47"/>
  <c r="I47"/>
  <c r="M48"/>
  <c r="C13" i="137"/>
  <c r="D13"/>
  <c r="E13"/>
  <c r="F13"/>
  <c r="G13"/>
  <c r="H13"/>
  <c r="I13" s="1"/>
  <c r="J13"/>
  <c r="N13"/>
  <c r="C14"/>
  <c r="D14"/>
  <c r="E14"/>
  <c r="F14"/>
  <c r="G14"/>
  <c r="H14"/>
  <c r="I14" s="1"/>
  <c r="J14"/>
  <c r="N14"/>
  <c r="C15"/>
  <c r="D15"/>
  <c r="E15"/>
  <c r="F15"/>
  <c r="G15"/>
  <c r="H15"/>
  <c r="I15" s="1"/>
  <c r="J15"/>
  <c r="N15"/>
  <c r="C16"/>
  <c r="D16"/>
  <c r="E16"/>
  <c r="F16"/>
  <c r="G16"/>
  <c r="H16"/>
  <c r="I16" s="1"/>
  <c r="J16"/>
  <c r="N16"/>
  <c r="C17"/>
  <c r="D17"/>
  <c r="E17"/>
  <c r="F17"/>
  <c r="G17"/>
  <c r="H17"/>
  <c r="I17" s="1"/>
  <c r="J17"/>
  <c r="N17"/>
  <c r="C18"/>
  <c r="D18"/>
  <c r="E18"/>
  <c r="F18"/>
  <c r="G18"/>
  <c r="H18"/>
  <c r="I18" s="1"/>
  <c r="J18"/>
  <c r="N18"/>
  <c r="C19"/>
  <c r="D19"/>
  <c r="E19"/>
  <c r="F19"/>
  <c r="G19"/>
  <c r="H19"/>
  <c r="I19" s="1"/>
  <c r="J19"/>
  <c r="N19"/>
  <c r="C20"/>
  <c r="D20"/>
  <c r="E20"/>
  <c r="F20"/>
  <c r="G20"/>
  <c r="H20"/>
  <c r="I20" s="1"/>
  <c r="J20"/>
  <c r="N20"/>
  <c r="C21"/>
  <c r="D21"/>
  <c r="E21"/>
  <c r="F21"/>
  <c r="G21"/>
  <c r="I21"/>
  <c r="J21"/>
  <c r="K21"/>
  <c r="N21"/>
  <c r="C22"/>
  <c r="C25" s="1"/>
  <c r="D22"/>
  <c r="E22"/>
  <c r="E25" s="1"/>
  <c r="E26" s="1"/>
  <c r="F22"/>
  <c r="G22"/>
  <c r="I22" s="1"/>
  <c r="J22"/>
  <c r="N22"/>
  <c r="C23"/>
  <c r="D23"/>
  <c r="E23"/>
  <c r="F23"/>
  <c r="G23"/>
  <c r="I23"/>
  <c r="J23"/>
  <c r="K23"/>
  <c r="N23"/>
  <c r="C24"/>
  <c r="D24"/>
  <c r="E24"/>
  <c r="F24"/>
  <c r="G24"/>
  <c r="I24" s="1"/>
  <c r="J24"/>
  <c r="N24"/>
  <c r="D25"/>
  <c r="F25"/>
  <c r="F26" s="1"/>
  <c r="H25"/>
  <c r="D28"/>
  <c r="F28"/>
  <c r="H28"/>
  <c r="N32"/>
  <c r="N33"/>
  <c r="N34"/>
  <c r="N35"/>
  <c r="N36"/>
  <c r="N38"/>
  <c r="N39"/>
  <c r="N40"/>
  <c r="N41"/>
  <c r="C13" i="136"/>
  <c r="D13"/>
  <c r="E13"/>
  <c r="F13"/>
  <c r="G13"/>
  <c r="J13" s="1"/>
  <c r="H13"/>
  <c r="I13"/>
  <c r="K13"/>
  <c r="N13"/>
  <c r="C14"/>
  <c r="D14"/>
  <c r="E14"/>
  <c r="F14"/>
  <c r="G14"/>
  <c r="J14" s="1"/>
  <c r="H14"/>
  <c r="I14"/>
  <c r="K14"/>
  <c r="N14"/>
  <c r="C15"/>
  <c r="D15"/>
  <c r="E15"/>
  <c r="F15"/>
  <c r="G15"/>
  <c r="J15" s="1"/>
  <c r="H15"/>
  <c r="I15"/>
  <c r="K15"/>
  <c r="N15"/>
  <c r="C16"/>
  <c r="D16"/>
  <c r="E16"/>
  <c r="F16"/>
  <c r="G16"/>
  <c r="J16" s="1"/>
  <c r="H16"/>
  <c r="I16"/>
  <c r="K16"/>
  <c r="N16"/>
  <c r="C17"/>
  <c r="D17"/>
  <c r="E17"/>
  <c r="F17"/>
  <c r="G17"/>
  <c r="J17" s="1"/>
  <c r="H17"/>
  <c r="I17"/>
  <c r="K17"/>
  <c r="N17"/>
  <c r="C18"/>
  <c r="D18"/>
  <c r="E18"/>
  <c r="F18"/>
  <c r="G18"/>
  <c r="J18" s="1"/>
  <c r="H18"/>
  <c r="I18"/>
  <c r="K18"/>
  <c r="N18"/>
  <c r="C19"/>
  <c r="D19"/>
  <c r="E19"/>
  <c r="F19"/>
  <c r="G19"/>
  <c r="J19" s="1"/>
  <c r="H19"/>
  <c r="I19"/>
  <c r="K19"/>
  <c r="N19"/>
  <c r="C20"/>
  <c r="D20"/>
  <c r="E20"/>
  <c r="F20"/>
  <c r="G20"/>
  <c r="J20" s="1"/>
  <c r="H20"/>
  <c r="I20"/>
  <c r="K20"/>
  <c r="N20"/>
  <c r="C21"/>
  <c r="D21"/>
  <c r="E21"/>
  <c r="F21"/>
  <c r="G21"/>
  <c r="I21" s="1"/>
  <c r="J21"/>
  <c r="N21"/>
  <c r="H28" s="1"/>
  <c r="C22"/>
  <c r="D22"/>
  <c r="D25" s="1"/>
  <c r="D26" s="1"/>
  <c r="E22"/>
  <c r="F22"/>
  <c r="F25" s="1"/>
  <c r="F26" s="1"/>
  <c r="G22"/>
  <c r="I22"/>
  <c r="J22"/>
  <c r="K22"/>
  <c r="N22"/>
  <c r="C23"/>
  <c r="D23"/>
  <c r="E23"/>
  <c r="F23"/>
  <c r="G23"/>
  <c r="I23" s="1"/>
  <c r="J23"/>
  <c r="N23"/>
  <c r="C24"/>
  <c r="D24"/>
  <c r="E24"/>
  <c r="F24"/>
  <c r="G24"/>
  <c r="I24"/>
  <c r="J24"/>
  <c r="K24"/>
  <c r="N24"/>
  <c r="C25"/>
  <c r="E25"/>
  <c r="G25"/>
  <c r="G26" s="1"/>
  <c r="H25"/>
  <c r="C28"/>
  <c r="E28"/>
  <c r="G28"/>
  <c r="N32"/>
  <c r="N33"/>
  <c r="N34"/>
  <c r="N35"/>
  <c r="N36"/>
  <c r="N38"/>
  <c r="N39"/>
  <c r="N40"/>
  <c r="N41"/>
  <c r="H19" i="134"/>
  <c r="J19" s="1"/>
  <c r="H20"/>
  <c r="J20" s="1"/>
  <c r="H19" i="135"/>
  <c r="J19" s="1"/>
  <c r="K20"/>
  <c r="I20"/>
  <c r="H20"/>
  <c r="J20" s="1"/>
  <c r="H19" i="133"/>
  <c r="J19" s="1"/>
  <c r="H18"/>
  <c r="J18" s="1"/>
  <c r="H17"/>
  <c r="J17" s="1"/>
  <c r="H20"/>
  <c r="J20" s="1"/>
  <c r="H19" i="106"/>
  <c r="J19" s="1"/>
  <c r="H20"/>
  <c r="J20" s="1"/>
  <c r="H19" i="105"/>
  <c r="J19" s="1"/>
  <c r="H20"/>
  <c r="J20" s="1"/>
  <c r="H19" i="104"/>
  <c r="J19" s="1"/>
  <c r="K20"/>
  <c r="I20"/>
  <c r="H20"/>
  <c r="J20" s="1"/>
  <c r="H19" i="103"/>
  <c r="J19" s="1"/>
  <c r="H20"/>
  <c r="J20" s="1"/>
  <c r="H19" i="102"/>
  <c r="J19" s="1"/>
  <c r="H18"/>
  <c r="H20"/>
  <c r="J20" s="1"/>
  <c r="H19" i="87"/>
  <c r="J19" s="1"/>
  <c r="H20"/>
  <c r="J20" s="1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6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5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J19" i="86"/>
  <c r="J20"/>
  <c r="J19" i="85"/>
  <c r="J20"/>
  <c r="J19" i="84"/>
  <c r="J20"/>
  <c r="H19" i="131"/>
  <c r="H20"/>
  <c r="H19" i="83"/>
  <c r="J19" s="1"/>
  <c r="H20"/>
  <c r="J20" s="1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9" i="82"/>
  <c r="I19"/>
  <c r="H19"/>
  <c r="J19" s="1"/>
  <c r="H20"/>
  <c r="J20" s="1"/>
  <c r="H19" i="81"/>
  <c r="J19" s="1"/>
  <c r="H20"/>
  <c r="J20" s="1"/>
  <c r="H19" i="64"/>
  <c r="J19" s="1"/>
  <c r="H20"/>
  <c r="J20" s="1"/>
  <c r="C13" i="107"/>
  <c r="H48"/>
  <c r="I48" s="1"/>
  <c r="G48"/>
  <c r="D48"/>
  <c r="E48" s="1"/>
  <c r="C48"/>
  <c r="B48"/>
  <c r="D48" i="80"/>
  <c r="C48"/>
  <c r="D47"/>
  <c r="C47"/>
  <c r="D46"/>
  <c r="C46"/>
  <c r="H31" i="19"/>
  <c r="H30"/>
  <c r="H29"/>
  <c r="H28"/>
  <c r="H27"/>
  <c r="H26"/>
  <c r="H24"/>
  <c r="D31"/>
  <c r="D30"/>
  <c r="D29"/>
  <c r="D28"/>
  <c r="D27"/>
  <c r="D26"/>
  <c r="D24"/>
  <c r="I31"/>
  <c r="G31"/>
  <c r="C31"/>
  <c r="H44" i="67"/>
  <c r="G44"/>
  <c r="D44"/>
  <c r="C44"/>
  <c r="H43"/>
  <c r="I43" s="1"/>
  <c r="G43"/>
  <c r="D43"/>
  <c r="E43" s="1"/>
  <c r="C43"/>
  <c r="B43"/>
  <c r="H31" i="80"/>
  <c r="I31" s="1"/>
  <c r="G31"/>
  <c r="D31"/>
  <c r="C31"/>
  <c r="B31"/>
  <c r="H30"/>
  <c r="G30"/>
  <c r="I30" s="1"/>
  <c r="D30"/>
  <c r="C30"/>
  <c r="E30" s="1"/>
  <c r="B30"/>
  <c r="H18" i="134"/>
  <c r="H17"/>
  <c r="H18" i="135"/>
  <c r="H17"/>
  <c r="H18" i="106"/>
  <c r="H17"/>
  <c r="H18" i="105"/>
  <c r="H17"/>
  <c r="H18" i="104"/>
  <c r="H17"/>
  <c r="H18" i="103"/>
  <c r="H17"/>
  <c r="H17" i="102"/>
  <c r="H18" i="82"/>
  <c r="H17"/>
  <c r="H18" i="81"/>
  <c r="H17"/>
  <c r="H18" i="64"/>
  <c r="H17"/>
  <c r="H37" i="119"/>
  <c r="G37"/>
  <c r="I37" s="1"/>
  <c r="D37"/>
  <c r="C37"/>
  <c r="E37" s="1"/>
  <c r="B37"/>
  <c r="H36"/>
  <c r="I36" s="1"/>
  <c r="G36"/>
  <c r="D36"/>
  <c r="E36" s="1"/>
  <c r="C36"/>
  <c r="B36"/>
  <c r="H16" i="134"/>
  <c r="H16" i="133"/>
  <c r="H16" i="105"/>
  <c r="H33" i="146"/>
  <c r="G33"/>
  <c r="D33"/>
  <c r="C33"/>
  <c r="B33"/>
  <c r="H32"/>
  <c r="G32"/>
  <c r="D32"/>
  <c r="C32"/>
  <c r="B32"/>
  <c r="H15" i="134"/>
  <c r="H15" i="135"/>
  <c r="H16"/>
  <c r="H15" i="133"/>
  <c r="H15" i="106"/>
  <c r="H16"/>
  <c r="H15" i="105"/>
  <c r="H15" i="104"/>
  <c r="H16"/>
  <c r="H15" i="103"/>
  <c r="H16"/>
  <c r="H15" i="102"/>
  <c r="H16"/>
  <c r="H15" i="131"/>
  <c r="H16"/>
  <c r="H16" i="82"/>
  <c r="H15" i="81"/>
  <c r="H16"/>
  <c r="H16" i="64"/>
  <c r="E26" i="136" l="1"/>
  <c r="D26" i="137"/>
  <c r="J28" i="136"/>
  <c r="H29"/>
  <c r="I28"/>
  <c r="J13" i="70"/>
  <c r="J15"/>
  <c r="J17"/>
  <c r="J19"/>
  <c r="J21"/>
  <c r="J23"/>
  <c r="J25"/>
  <c r="J27"/>
  <c r="J29"/>
  <c r="J31"/>
  <c r="J33"/>
  <c r="J35"/>
  <c r="J37"/>
  <c r="J39"/>
  <c r="J41"/>
  <c r="J43"/>
  <c r="J45"/>
  <c r="J47"/>
  <c r="I13"/>
  <c r="J14"/>
  <c r="J16"/>
  <c r="J18"/>
  <c r="J20"/>
  <c r="J22"/>
  <c r="J24"/>
  <c r="J26"/>
  <c r="J28"/>
  <c r="J30"/>
  <c r="J32"/>
  <c r="J34"/>
  <c r="J36"/>
  <c r="J38"/>
  <c r="J40"/>
  <c r="J42"/>
  <c r="J44"/>
  <c r="J46"/>
  <c r="F13"/>
  <c r="F15"/>
  <c r="F17"/>
  <c r="F19"/>
  <c r="F21"/>
  <c r="F23"/>
  <c r="F25"/>
  <c r="F27"/>
  <c r="F29"/>
  <c r="F31"/>
  <c r="F33"/>
  <c r="F35"/>
  <c r="F37"/>
  <c r="F39"/>
  <c r="F41"/>
  <c r="F43"/>
  <c r="F45"/>
  <c r="F47"/>
  <c r="E13"/>
  <c r="F14"/>
  <c r="F16"/>
  <c r="F18"/>
  <c r="F20"/>
  <c r="F22"/>
  <c r="F24"/>
  <c r="F26"/>
  <c r="F28"/>
  <c r="F30"/>
  <c r="F32"/>
  <c r="F34"/>
  <c r="F36"/>
  <c r="F38"/>
  <c r="F40"/>
  <c r="F42"/>
  <c r="F44"/>
  <c r="F46"/>
  <c r="J13" i="96"/>
  <c r="J15"/>
  <c r="J17"/>
  <c r="J19"/>
  <c r="J21"/>
  <c r="J23"/>
  <c r="J25"/>
  <c r="J27"/>
  <c r="J29"/>
  <c r="J31"/>
  <c r="J33"/>
  <c r="J35"/>
  <c r="J37"/>
  <c r="J39"/>
  <c r="J41"/>
  <c r="J43"/>
  <c r="J45"/>
  <c r="J47"/>
  <c r="I13"/>
  <c r="J14"/>
  <c r="J16"/>
  <c r="J18"/>
  <c r="J20"/>
  <c r="J22"/>
  <c r="J24"/>
  <c r="J26"/>
  <c r="J28"/>
  <c r="J30"/>
  <c r="J32"/>
  <c r="J34"/>
  <c r="J36"/>
  <c r="J38"/>
  <c r="J40"/>
  <c r="J42"/>
  <c r="J44"/>
  <c r="J46"/>
  <c r="F13"/>
  <c r="F15"/>
  <c r="F17"/>
  <c r="F19"/>
  <c r="F21"/>
  <c r="F23"/>
  <c r="F25"/>
  <c r="F27"/>
  <c r="F29"/>
  <c r="F31"/>
  <c r="F33"/>
  <c r="F35"/>
  <c r="F37"/>
  <c r="F39"/>
  <c r="F41"/>
  <c r="F43"/>
  <c r="F45"/>
  <c r="F47"/>
  <c r="E13"/>
  <c r="F14"/>
  <c r="F16"/>
  <c r="F18"/>
  <c r="F20"/>
  <c r="F22"/>
  <c r="F24"/>
  <c r="F26"/>
  <c r="F28"/>
  <c r="F30"/>
  <c r="F32"/>
  <c r="F34"/>
  <c r="F36"/>
  <c r="F38"/>
  <c r="F40"/>
  <c r="F42"/>
  <c r="F44"/>
  <c r="F46"/>
  <c r="J13" i="99"/>
  <c r="J15"/>
  <c r="J17"/>
  <c r="J19"/>
  <c r="J21"/>
  <c r="J23"/>
  <c r="J25"/>
  <c r="J27"/>
  <c r="J29"/>
  <c r="J31"/>
  <c r="J33"/>
  <c r="J35"/>
  <c r="J37"/>
  <c r="J39"/>
  <c r="J41"/>
  <c r="J43"/>
  <c r="I13"/>
  <c r="J14"/>
  <c r="J16"/>
  <c r="J18"/>
  <c r="J20"/>
  <c r="J22"/>
  <c r="J24"/>
  <c r="J26"/>
  <c r="J28"/>
  <c r="J30"/>
  <c r="J32"/>
  <c r="J34"/>
  <c r="J36"/>
  <c r="J38"/>
  <c r="J40"/>
  <c r="J42"/>
  <c r="J44"/>
  <c r="F13"/>
  <c r="F15"/>
  <c r="F17"/>
  <c r="F19"/>
  <c r="F21"/>
  <c r="F23"/>
  <c r="F25"/>
  <c r="F27"/>
  <c r="F29"/>
  <c r="F31"/>
  <c r="F33"/>
  <c r="F35"/>
  <c r="F37"/>
  <c r="F39"/>
  <c r="F41"/>
  <c r="F43"/>
  <c r="E13"/>
  <c r="F14"/>
  <c r="F16"/>
  <c r="F18"/>
  <c r="F20"/>
  <c r="F22"/>
  <c r="F24"/>
  <c r="F26"/>
  <c r="F28"/>
  <c r="F30"/>
  <c r="F32"/>
  <c r="F34"/>
  <c r="F36"/>
  <c r="F38"/>
  <c r="F40"/>
  <c r="F42"/>
  <c r="F44"/>
  <c r="J13" i="101"/>
  <c r="J15"/>
  <c r="J17"/>
  <c r="J19"/>
  <c r="J21"/>
  <c r="J23"/>
  <c r="J25"/>
  <c r="J27"/>
  <c r="J29"/>
  <c r="J31"/>
  <c r="J33"/>
  <c r="J35"/>
  <c r="J37"/>
  <c r="I13"/>
  <c r="J14"/>
  <c r="J16"/>
  <c r="J18"/>
  <c r="J20"/>
  <c r="J22"/>
  <c r="J24"/>
  <c r="J26"/>
  <c r="J28"/>
  <c r="J30"/>
  <c r="J32"/>
  <c r="J34"/>
  <c r="J36"/>
  <c r="F13"/>
  <c r="F15"/>
  <c r="F17"/>
  <c r="F19"/>
  <c r="F21"/>
  <c r="F23"/>
  <c r="F25"/>
  <c r="F27"/>
  <c r="F29"/>
  <c r="F31"/>
  <c r="F33"/>
  <c r="F35"/>
  <c r="F37"/>
  <c r="E13"/>
  <c r="F14"/>
  <c r="F16"/>
  <c r="F18"/>
  <c r="F20"/>
  <c r="F22"/>
  <c r="F24"/>
  <c r="F26"/>
  <c r="F28"/>
  <c r="F30"/>
  <c r="F32"/>
  <c r="F34"/>
  <c r="F36"/>
  <c r="H13" i="94"/>
  <c r="D13"/>
  <c r="H13" i="97"/>
  <c r="D13"/>
  <c r="G13" i="98"/>
  <c r="F28" i="136"/>
  <c r="D28"/>
  <c r="K23"/>
  <c r="K21"/>
  <c r="G28" i="137"/>
  <c r="I28" s="1"/>
  <c r="E28"/>
  <c r="C28"/>
  <c r="D29" s="1"/>
  <c r="G25"/>
  <c r="G26" s="1"/>
  <c r="K24"/>
  <c r="K22"/>
  <c r="K20"/>
  <c r="K19"/>
  <c r="K18"/>
  <c r="K17"/>
  <c r="K16"/>
  <c r="K15"/>
  <c r="K14"/>
  <c r="K13"/>
  <c r="I14" i="70"/>
  <c r="E14"/>
  <c r="I14" i="96"/>
  <c r="E14"/>
  <c r="I14" i="97"/>
  <c r="E14"/>
  <c r="C13" i="98"/>
  <c r="H13"/>
  <c r="J42" s="1"/>
  <c r="D13"/>
  <c r="H13" i="100"/>
  <c r="D13"/>
  <c r="I14" i="98"/>
  <c r="E14"/>
  <c r="I14" i="99"/>
  <c r="E14"/>
  <c r="I14" i="101"/>
  <c r="E14"/>
  <c r="I19" i="134"/>
  <c r="K19"/>
  <c r="I20"/>
  <c r="K20"/>
  <c r="I19" i="135"/>
  <c r="K19"/>
  <c r="I17" i="133"/>
  <c r="K17"/>
  <c r="I18"/>
  <c r="K18"/>
  <c r="I19"/>
  <c r="K19"/>
  <c r="I20"/>
  <c r="K20"/>
  <c r="I19" i="106"/>
  <c r="K19"/>
  <c r="I20"/>
  <c r="K20"/>
  <c r="I19" i="105"/>
  <c r="K19"/>
  <c r="I20"/>
  <c r="K20"/>
  <c r="I19" i="104"/>
  <c r="K19"/>
  <c r="I19" i="103"/>
  <c r="K19"/>
  <c r="I20"/>
  <c r="K20"/>
  <c r="I19" i="102"/>
  <c r="K19"/>
  <c r="I20"/>
  <c r="K20"/>
  <c r="I19" i="87"/>
  <c r="K19"/>
  <c r="I20"/>
  <c r="K20"/>
  <c r="I19" i="86"/>
  <c r="K19"/>
  <c r="I20"/>
  <c r="K20"/>
  <c r="I19" i="85"/>
  <c r="K19"/>
  <c r="I20"/>
  <c r="K20"/>
  <c r="I19" i="84"/>
  <c r="K19"/>
  <c r="I20"/>
  <c r="K20"/>
  <c r="I19" i="83"/>
  <c r="K19"/>
  <c r="I20"/>
  <c r="K20"/>
  <c r="I20" i="82"/>
  <c r="K20"/>
  <c r="I19" i="81"/>
  <c r="K19"/>
  <c r="I20"/>
  <c r="K20"/>
  <c r="J18"/>
  <c r="I19" i="64"/>
  <c r="K19"/>
  <c r="I20"/>
  <c r="K20"/>
  <c r="E31" i="80"/>
  <c r="E31" i="19"/>
  <c r="E32" i="146"/>
  <c r="I32"/>
  <c r="E33"/>
  <c r="I33"/>
  <c r="I18" i="105"/>
  <c r="H17" i="131"/>
  <c r="H18"/>
  <c r="I17" i="82"/>
  <c r="I18" i="81"/>
  <c r="H15" i="82"/>
  <c r="H15" i="64"/>
  <c r="H29" i="80"/>
  <c r="G29"/>
  <c r="D29"/>
  <c r="C29"/>
  <c r="B29"/>
  <c r="H42" i="67"/>
  <c r="G42"/>
  <c r="D42"/>
  <c r="C42"/>
  <c r="B42"/>
  <c r="H41"/>
  <c r="G41"/>
  <c r="D41"/>
  <c r="C41"/>
  <c r="B41"/>
  <c r="H40"/>
  <c r="G40"/>
  <c r="D40"/>
  <c r="C40"/>
  <c r="B40"/>
  <c r="H39"/>
  <c r="G39"/>
  <c r="D39"/>
  <c r="C39"/>
  <c r="B39"/>
  <c r="H42" i="124"/>
  <c r="G42"/>
  <c r="D42"/>
  <c r="C42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B31"/>
  <c r="H29"/>
  <c r="G29"/>
  <c r="H28"/>
  <c r="G28"/>
  <c r="D29"/>
  <c r="C29"/>
  <c r="B29"/>
  <c r="D28"/>
  <c r="C28"/>
  <c r="B28"/>
  <c r="H27"/>
  <c r="G27"/>
  <c r="D27"/>
  <c r="C27"/>
  <c r="B27"/>
  <c r="J21" i="87"/>
  <c r="I18"/>
  <c r="J17"/>
  <c r="J15"/>
  <c r="K24" i="86"/>
  <c r="J22"/>
  <c r="I18"/>
  <c r="I17"/>
  <c r="J16"/>
  <c r="J15"/>
  <c r="J24" i="85"/>
  <c r="J18"/>
  <c r="K17"/>
  <c r="K15"/>
  <c r="K24" i="84"/>
  <c r="J21"/>
  <c r="J18"/>
  <c r="J17"/>
  <c r="J16"/>
  <c r="J15"/>
  <c r="J24" i="83"/>
  <c r="K18"/>
  <c r="K17"/>
  <c r="K15"/>
  <c r="D43" i="150"/>
  <c r="C43"/>
  <c r="B43"/>
  <c r="D42"/>
  <c r="C42"/>
  <c r="B42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B17"/>
  <c r="D16"/>
  <c r="C16"/>
  <c r="B16"/>
  <c r="D15"/>
  <c r="C15"/>
  <c r="B15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I34" s="1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14"/>
  <c r="C14"/>
  <c r="B14"/>
  <c r="B43" i="151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14"/>
  <c r="C14"/>
  <c r="B14"/>
  <c r="H38" i="67"/>
  <c r="G38"/>
  <c r="D38"/>
  <c r="C38"/>
  <c r="B38"/>
  <c r="H37"/>
  <c r="G37"/>
  <c r="D37"/>
  <c r="C37"/>
  <c r="B37"/>
  <c r="G24" i="13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K18" s="1"/>
  <c r="F18"/>
  <c r="E18"/>
  <c r="D18"/>
  <c r="C18"/>
  <c r="G17"/>
  <c r="K17" s="1"/>
  <c r="F17"/>
  <c r="E17"/>
  <c r="D17"/>
  <c r="C17"/>
  <c r="G16"/>
  <c r="I16" s="1"/>
  <c r="F16"/>
  <c r="E16"/>
  <c r="D16"/>
  <c r="C16"/>
  <c r="G15"/>
  <c r="J15" s="1"/>
  <c r="F15"/>
  <c r="E15"/>
  <c r="D15"/>
  <c r="C15"/>
  <c r="H14"/>
  <c r="G14"/>
  <c r="F14"/>
  <c r="E14"/>
  <c r="D14"/>
  <c r="C14"/>
  <c r="H13"/>
  <c r="G13"/>
  <c r="F13"/>
  <c r="E13"/>
  <c r="D13"/>
  <c r="C13"/>
  <c r="G24" i="135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J18" s="1"/>
  <c r="F18"/>
  <c r="E18"/>
  <c r="D18"/>
  <c r="C18"/>
  <c r="G17"/>
  <c r="K17" s="1"/>
  <c r="F17"/>
  <c r="E17"/>
  <c r="D17"/>
  <c r="C17"/>
  <c r="G16"/>
  <c r="J16" s="1"/>
  <c r="F16"/>
  <c r="E16"/>
  <c r="D16"/>
  <c r="C16"/>
  <c r="G15"/>
  <c r="F15"/>
  <c r="E15"/>
  <c r="D15"/>
  <c r="C15"/>
  <c r="H14"/>
  <c r="G14"/>
  <c r="F14"/>
  <c r="E14"/>
  <c r="D14"/>
  <c r="C14"/>
  <c r="H13"/>
  <c r="G13"/>
  <c r="F13"/>
  <c r="E13"/>
  <c r="D13"/>
  <c r="C13"/>
  <c r="H33" i="132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H14" i="133"/>
  <c r="H14" i="106"/>
  <c r="H14" i="105"/>
  <c r="H14" i="104"/>
  <c r="H14" i="103"/>
  <c r="H14" i="102"/>
  <c r="H14" i="131"/>
  <c r="H14" i="82"/>
  <c r="H14" i="81"/>
  <c r="H14" i="64"/>
  <c r="H36" i="67"/>
  <c r="G36"/>
  <c r="D36"/>
  <c r="C36"/>
  <c r="B36"/>
  <c r="H35"/>
  <c r="G35"/>
  <c r="D35"/>
  <c r="C35"/>
  <c r="B35"/>
  <c r="H34"/>
  <c r="G34"/>
  <c r="D34"/>
  <c r="C34"/>
  <c r="B34"/>
  <c r="H33"/>
  <c r="G33"/>
  <c r="D33"/>
  <c r="C33"/>
  <c r="B33"/>
  <c r="H32"/>
  <c r="G32"/>
  <c r="D32"/>
  <c r="C32"/>
  <c r="B32"/>
  <c r="C16" i="19"/>
  <c r="G24" i="13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I16" s="1"/>
  <c r="F16"/>
  <c r="E16"/>
  <c r="D16"/>
  <c r="C16"/>
  <c r="G15"/>
  <c r="J15" s="1"/>
  <c r="F15"/>
  <c r="E15"/>
  <c r="D15"/>
  <c r="C15"/>
  <c r="G14"/>
  <c r="F14"/>
  <c r="E14"/>
  <c r="D14"/>
  <c r="C14"/>
  <c r="H13"/>
  <c r="G13"/>
  <c r="F13"/>
  <c r="E13"/>
  <c r="D13"/>
  <c r="C13"/>
  <c r="G24" i="106"/>
  <c r="F24"/>
  <c r="E24"/>
  <c r="D24"/>
  <c r="C24"/>
  <c r="G23"/>
  <c r="I23" s="1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I18" s="1"/>
  <c r="F18"/>
  <c r="E18"/>
  <c r="D18"/>
  <c r="C18"/>
  <c r="G17"/>
  <c r="I17" s="1"/>
  <c r="F17"/>
  <c r="E17"/>
  <c r="D17"/>
  <c r="C17"/>
  <c r="G16"/>
  <c r="F16"/>
  <c r="E16"/>
  <c r="D16"/>
  <c r="C16"/>
  <c r="G15"/>
  <c r="J15" s="1"/>
  <c r="F15"/>
  <c r="E15"/>
  <c r="D15"/>
  <c r="C15"/>
  <c r="G14"/>
  <c r="F14"/>
  <c r="E14"/>
  <c r="D14"/>
  <c r="C14"/>
  <c r="H13"/>
  <c r="G13"/>
  <c r="F13"/>
  <c r="E13"/>
  <c r="D13"/>
  <c r="C13"/>
  <c r="G24" i="105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J18" s="1"/>
  <c r="F18"/>
  <c r="E18"/>
  <c r="D18"/>
  <c r="C18"/>
  <c r="G17"/>
  <c r="J17" s="1"/>
  <c r="F17"/>
  <c r="E17"/>
  <c r="D17"/>
  <c r="C17"/>
  <c r="G16"/>
  <c r="F16"/>
  <c r="E16"/>
  <c r="D16"/>
  <c r="C16"/>
  <c r="G15"/>
  <c r="K15" s="1"/>
  <c r="F15"/>
  <c r="E15"/>
  <c r="D15"/>
  <c r="C15"/>
  <c r="G14"/>
  <c r="F14"/>
  <c r="E14"/>
  <c r="D14"/>
  <c r="C14"/>
  <c r="H13"/>
  <c r="G13"/>
  <c r="F13"/>
  <c r="E13"/>
  <c r="D13"/>
  <c r="C13"/>
  <c r="G24" i="10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I18" s="1"/>
  <c r="F18"/>
  <c r="E18"/>
  <c r="D18"/>
  <c r="C18"/>
  <c r="G17"/>
  <c r="I17" s="1"/>
  <c r="F17"/>
  <c r="E17"/>
  <c r="D17"/>
  <c r="C17"/>
  <c r="G16"/>
  <c r="J16" s="1"/>
  <c r="F16"/>
  <c r="E16"/>
  <c r="D16"/>
  <c r="C16"/>
  <c r="G15"/>
  <c r="F15"/>
  <c r="E15"/>
  <c r="D15"/>
  <c r="C15"/>
  <c r="G14"/>
  <c r="F14"/>
  <c r="E14"/>
  <c r="D14"/>
  <c r="C14"/>
  <c r="H13"/>
  <c r="G13"/>
  <c r="F13"/>
  <c r="E13"/>
  <c r="D13"/>
  <c r="C13"/>
  <c r="G24" i="10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J18" s="1"/>
  <c r="F18"/>
  <c r="E18"/>
  <c r="D18"/>
  <c r="C18"/>
  <c r="G17"/>
  <c r="I17" s="1"/>
  <c r="F17"/>
  <c r="E17"/>
  <c r="D17"/>
  <c r="C17"/>
  <c r="G16"/>
  <c r="K16" s="1"/>
  <c r="F16"/>
  <c r="E16"/>
  <c r="D16"/>
  <c r="C16"/>
  <c r="G15"/>
  <c r="J15" s="1"/>
  <c r="F15"/>
  <c r="E15"/>
  <c r="D15"/>
  <c r="C15"/>
  <c r="G14"/>
  <c r="F14"/>
  <c r="E14"/>
  <c r="D14"/>
  <c r="C14"/>
  <c r="H13"/>
  <c r="G13"/>
  <c r="F13"/>
  <c r="E13"/>
  <c r="D13"/>
  <c r="C13"/>
  <c r="G24" i="10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I18" s="1"/>
  <c r="F18"/>
  <c r="E18"/>
  <c r="D18"/>
  <c r="C18"/>
  <c r="G17"/>
  <c r="I17" s="1"/>
  <c r="F17"/>
  <c r="E17"/>
  <c r="D17"/>
  <c r="C17"/>
  <c r="G16"/>
  <c r="K16" s="1"/>
  <c r="F16"/>
  <c r="E16"/>
  <c r="D16"/>
  <c r="C16"/>
  <c r="G15"/>
  <c r="J15" s="1"/>
  <c r="F15"/>
  <c r="E15"/>
  <c r="D15"/>
  <c r="C15"/>
  <c r="G14"/>
  <c r="F14"/>
  <c r="E14"/>
  <c r="D14"/>
  <c r="C14"/>
  <c r="H13"/>
  <c r="G13"/>
  <c r="F13"/>
  <c r="E13"/>
  <c r="D13"/>
  <c r="C13"/>
  <c r="J24" i="87"/>
  <c r="G24" i="8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K18" s="1"/>
  <c r="F18"/>
  <c r="E18"/>
  <c r="D18"/>
  <c r="C18"/>
  <c r="G17"/>
  <c r="J17" s="1"/>
  <c r="F17"/>
  <c r="E17"/>
  <c r="D17"/>
  <c r="C17"/>
  <c r="G16"/>
  <c r="J16" s="1"/>
  <c r="F16"/>
  <c r="E16"/>
  <c r="D16"/>
  <c r="C16"/>
  <c r="G15"/>
  <c r="F15"/>
  <c r="E15"/>
  <c r="D15"/>
  <c r="C15"/>
  <c r="G14"/>
  <c r="F14"/>
  <c r="E14"/>
  <c r="D14"/>
  <c r="C14"/>
  <c r="H13"/>
  <c r="G13"/>
  <c r="F13"/>
  <c r="E13"/>
  <c r="D13"/>
  <c r="C13"/>
  <c r="G24" i="81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K18" s="1"/>
  <c r="F18"/>
  <c r="E18"/>
  <c r="D18"/>
  <c r="C18"/>
  <c r="G17"/>
  <c r="K17" s="1"/>
  <c r="F17"/>
  <c r="E17"/>
  <c r="D17"/>
  <c r="C17"/>
  <c r="G16"/>
  <c r="I16" s="1"/>
  <c r="F16"/>
  <c r="E16"/>
  <c r="D16"/>
  <c r="C16"/>
  <c r="G15"/>
  <c r="I15" s="1"/>
  <c r="F15"/>
  <c r="E15"/>
  <c r="D15"/>
  <c r="C15"/>
  <c r="G14"/>
  <c r="F14"/>
  <c r="E14"/>
  <c r="D14"/>
  <c r="C14"/>
  <c r="H13"/>
  <c r="G13"/>
  <c r="F13"/>
  <c r="E13"/>
  <c r="D13"/>
  <c r="C13"/>
  <c r="G24" i="6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K18" s="1"/>
  <c r="F18"/>
  <c r="E18"/>
  <c r="D18"/>
  <c r="C18"/>
  <c r="G17"/>
  <c r="K17" s="1"/>
  <c r="F17"/>
  <c r="E17"/>
  <c r="D17"/>
  <c r="C17"/>
  <c r="G16"/>
  <c r="J16" s="1"/>
  <c r="F16"/>
  <c r="E16"/>
  <c r="D16"/>
  <c r="C16"/>
  <c r="G15"/>
  <c r="F15"/>
  <c r="E15"/>
  <c r="D15"/>
  <c r="C15"/>
  <c r="G14"/>
  <c r="F14"/>
  <c r="E14"/>
  <c r="D14"/>
  <c r="C14"/>
  <c r="H13"/>
  <c r="G13"/>
  <c r="F13"/>
  <c r="E13"/>
  <c r="D13"/>
  <c r="C13"/>
  <c r="H31" i="124"/>
  <c r="G31"/>
  <c r="D31"/>
  <c r="C31"/>
  <c r="H31" i="67"/>
  <c r="G31"/>
  <c r="D31"/>
  <c r="E31" s="1"/>
  <c r="C31"/>
  <c r="B31"/>
  <c r="H30"/>
  <c r="G30"/>
  <c r="I30" s="1"/>
  <c r="D30"/>
  <c r="C30"/>
  <c r="E30" s="1"/>
  <c r="B30"/>
  <c r="H29"/>
  <c r="I29" s="1"/>
  <c r="G29"/>
  <c r="D29"/>
  <c r="E29" s="1"/>
  <c r="C29"/>
  <c r="B29"/>
  <c r="H28"/>
  <c r="G28"/>
  <c r="I28" s="1"/>
  <c r="D28"/>
  <c r="C28"/>
  <c r="E28" s="1"/>
  <c r="B28"/>
  <c r="D11" i="151"/>
  <c r="H11" s="1"/>
  <c r="C11"/>
  <c r="G11" s="1"/>
  <c r="G10"/>
  <c r="F10"/>
  <c r="J10" s="1"/>
  <c r="E10"/>
  <c r="I10" s="1"/>
  <c r="C10"/>
  <c r="D11" i="150"/>
  <c r="H11" s="1"/>
  <c r="C11"/>
  <c r="G11" s="1"/>
  <c r="G10"/>
  <c r="F10"/>
  <c r="J10" s="1"/>
  <c r="E10"/>
  <c r="I10" s="1"/>
  <c r="C10"/>
  <c r="D11" i="149"/>
  <c r="H11" s="1"/>
  <c r="C11"/>
  <c r="G11" s="1"/>
  <c r="G10"/>
  <c r="F10"/>
  <c r="J10" s="1"/>
  <c r="E10"/>
  <c r="I10" s="1"/>
  <c r="C10"/>
  <c r="D11" i="148"/>
  <c r="H11" s="1"/>
  <c r="C11"/>
  <c r="G11" s="1"/>
  <c r="G10"/>
  <c r="F10"/>
  <c r="J10" s="1"/>
  <c r="E10"/>
  <c r="I10" s="1"/>
  <c r="C10"/>
  <c r="D11" i="147"/>
  <c r="H11" s="1"/>
  <c r="C11"/>
  <c r="G11" s="1"/>
  <c r="G10"/>
  <c r="F10"/>
  <c r="J10" s="1"/>
  <c r="E10"/>
  <c r="I10" s="1"/>
  <c r="C10"/>
  <c r="D11" i="132"/>
  <c r="H11" s="1"/>
  <c r="C11"/>
  <c r="G11" s="1"/>
  <c r="G10"/>
  <c r="F10"/>
  <c r="J10" s="1"/>
  <c r="E10"/>
  <c r="I10" s="1"/>
  <c r="C10"/>
  <c r="D11" i="107"/>
  <c r="H11" s="1"/>
  <c r="C11"/>
  <c r="G11" s="1"/>
  <c r="G10"/>
  <c r="F10"/>
  <c r="J10" s="1"/>
  <c r="E10"/>
  <c r="I10" s="1"/>
  <c r="C10"/>
  <c r="D11" i="80"/>
  <c r="H11" s="1"/>
  <c r="C11"/>
  <c r="G11" s="1"/>
  <c r="G10"/>
  <c r="F10"/>
  <c r="J10" s="1"/>
  <c r="E10"/>
  <c r="I10" s="1"/>
  <c r="C10"/>
  <c r="D11" i="130"/>
  <c r="H11" s="1"/>
  <c r="C11"/>
  <c r="G11" s="1"/>
  <c r="G10"/>
  <c r="F10"/>
  <c r="J10" s="1"/>
  <c r="E10"/>
  <c r="I10" s="1"/>
  <c r="C10"/>
  <c r="D11" i="129"/>
  <c r="H11" s="1"/>
  <c r="C11"/>
  <c r="G11" s="1"/>
  <c r="G10"/>
  <c r="F10"/>
  <c r="J10" s="1"/>
  <c r="E10"/>
  <c r="I10" s="1"/>
  <c r="C10"/>
  <c r="D11" i="128"/>
  <c r="H11" s="1"/>
  <c r="C11"/>
  <c r="G11" s="1"/>
  <c r="G10"/>
  <c r="F10"/>
  <c r="J10" s="1"/>
  <c r="E10"/>
  <c r="I10" s="1"/>
  <c r="C10"/>
  <c r="D11" i="125"/>
  <c r="H11" s="1"/>
  <c r="C11"/>
  <c r="G11" s="1"/>
  <c r="G10"/>
  <c r="F10"/>
  <c r="J10" s="1"/>
  <c r="E10"/>
  <c r="I10" s="1"/>
  <c r="C10"/>
  <c r="D11" i="126"/>
  <c r="H11" s="1"/>
  <c r="C11"/>
  <c r="G11" s="1"/>
  <c r="G10"/>
  <c r="F10"/>
  <c r="J10" s="1"/>
  <c r="E10"/>
  <c r="I10" s="1"/>
  <c r="C10"/>
  <c r="D11" i="124"/>
  <c r="H11" s="1"/>
  <c r="C11"/>
  <c r="G11" s="1"/>
  <c r="G10"/>
  <c r="F10"/>
  <c r="J10" s="1"/>
  <c r="E10"/>
  <c r="I10" s="1"/>
  <c r="C10"/>
  <c r="D11" i="120"/>
  <c r="H11" s="1"/>
  <c r="C11"/>
  <c r="G11" s="1"/>
  <c r="G10"/>
  <c r="F10"/>
  <c r="J10" s="1"/>
  <c r="E10"/>
  <c r="I10" s="1"/>
  <c r="C10"/>
  <c r="D11" i="146"/>
  <c r="H11" s="1"/>
  <c r="C11"/>
  <c r="G11" s="1"/>
  <c r="G10"/>
  <c r="F10"/>
  <c r="J10" s="1"/>
  <c r="E10"/>
  <c r="I10" s="1"/>
  <c r="C10"/>
  <c r="D11" i="119"/>
  <c r="H11" s="1"/>
  <c r="C11"/>
  <c r="G11" s="1"/>
  <c r="G10"/>
  <c r="F10"/>
  <c r="J10" s="1"/>
  <c r="E10"/>
  <c r="I10" s="1"/>
  <c r="C10"/>
  <c r="D11" i="67"/>
  <c r="H11" s="1"/>
  <c r="C11"/>
  <c r="G11" s="1"/>
  <c r="G10"/>
  <c r="F10"/>
  <c r="J10" s="1"/>
  <c r="E10"/>
  <c r="I10" s="1"/>
  <c r="C10"/>
  <c r="F10" i="145"/>
  <c r="J10" s="1"/>
  <c r="E10"/>
  <c r="I10" s="1"/>
  <c r="D11"/>
  <c r="H11" s="1"/>
  <c r="C11"/>
  <c r="G11" s="1"/>
  <c r="C10"/>
  <c r="G10"/>
  <c r="H11" i="19"/>
  <c r="G11"/>
  <c r="H30" i="125"/>
  <c r="G30"/>
  <c r="D30"/>
  <c r="C30"/>
  <c r="B30"/>
  <c r="H43" i="149"/>
  <c r="G43"/>
  <c r="D43"/>
  <c r="C43"/>
  <c r="B43"/>
  <c r="H42"/>
  <c r="G42"/>
  <c r="D42"/>
  <c r="C42"/>
  <c r="B42"/>
  <c r="H41"/>
  <c r="G41"/>
  <c r="D41"/>
  <c r="C41"/>
  <c r="B41"/>
  <c r="H40"/>
  <c r="G40"/>
  <c r="D40"/>
  <c r="C40"/>
  <c r="B40"/>
  <c r="H39"/>
  <c r="G39"/>
  <c r="D39"/>
  <c r="C39"/>
  <c r="B39"/>
  <c r="H38"/>
  <c r="G38"/>
  <c r="D38"/>
  <c r="C38"/>
  <c r="B38"/>
  <c r="H37"/>
  <c r="G37"/>
  <c r="D37"/>
  <c r="C37"/>
  <c r="B37"/>
  <c r="H36"/>
  <c r="G36"/>
  <c r="D36"/>
  <c r="C36"/>
  <c r="B36"/>
  <c r="H35"/>
  <c r="G35"/>
  <c r="D35"/>
  <c r="C35"/>
  <c r="B35"/>
  <c r="H34"/>
  <c r="G34"/>
  <c r="D34"/>
  <c r="C34"/>
  <c r="B34"/>
  <c r="H33"/>
  <c r="G33"/>
  <c r="D33"/>
  <c r="C33"/>
  <c r="B33"/>
  <c r="H32"/>
  <c r="G32"/>
  <c r="D32"/>
  <c r="C32"/>
  <c r="B32"/>
  <c r="H31"/>
  <c r="G31"/>
  <c r="D31"/>
  <c r="C31"/>
  <c r="B31"/>
  <c r="H30"/>
  <c r="G30"/>
  <c r="D30"/>
  <c r="C30"/>
  <c r="B30"/>
  <c r="H29"/>
  <c r="G29"/>
  <c r="D29"/>
  <c r="C29"/>
  <c r="B29"/>
  <c r="H28"/>
  <c r="G28"/>
  <c r="D28"/>
  <c r="C28"/>
  <c r="B28"/>
  <c r="H27"/>
  <c r="G27"/>
  <c r="D27"/>
  <c r="C27"/>
  <c r="B27"/>
  <c r="H26"/>
  <c r="G26"/>
  <c r="D26"/>
  <c r="C26"/>
  <c r="B26"/>
  <c r="H25"/>
  <c r="G25"/>
  <c r="D25"/>
  <c r="C25"/>
  <c r="B25"/>
  <c r="H24"/>
  <c r="G24"/>
  <c r="D24"/>
  <c r="C24"/>
  <c r="B24"/>
  <c r="H23"/>
  <c r="G23"/>
  <c r="D23"/>
  <c r="C23"/>
  <c r="B23"/>
  <c r="H22"/>
  <c r="G22"/>
  <c r="D22"/>
  <c r="C22"/>
  <c r="B22"/>
  <c r="H21"/>
  <c r="G21"/>
  <c r="D21"/>
  <c r="C21"/>
  <c r="B21"/>
  <c r="H20"/>
  <c r="G20"/>
  <c r="D20"/>
  <c r="C20"/>
  <c r="B20"/>
  <c r="H19"/>
  <c r="G19"/>
  <c r="D19"/>
  <c r="C19"/>
  <c r="B19"/>
  <c r="H18"/>
  <c r="G18"/>
  <c r="D18"/>
  <c r="C18"/>
  <c r="B18"/>
  <c r="H17"/>
  <c r="G17"/>
  <c r="D17"/>
  <c r="C17"/>
  <c r="B17"/>
  <c r="H16"/>
  <c r="G16"/>
  <c r="D16"/>
  <c r="C16"/>
  <c r="B16"/>
  <c r="H15"/>
  <c r="G15"/>
  <c r="D15"/>
  <c r="C15"/>
  <c r="B15"/>
  <c r="H14"/>
  <c r="G14"/>
  <c r="D14"/>
  <c r="C14"/>
  <c r="B14"/>
  <c r="H43" i="148"/>
  <c r="G43"/>
  <c r="D43"/>
  <c r="C43"/>
  <c r="B43"/>
  <c r="H42"/>
  <c r="G42"/>
  <c r="D42"/>
  <c r="C42"/>
  <c r="B42"/>
  <c r="H41"/>
  <c r="G41"/>
  <c r="D41"/>
  <c r="C41"/>
  <c r="B41"/>
  <c r="H40"/>
  <c r="G40"/>
  <c r="D40"/>
  <c r="C40"/>
  <c r="B40"/>
  <c r="H39"/>
  <c r="G39"/>
  <c r="D39"/>
  <c r="C39"/>
  <c r="B39"/>
  <c r="H38"/>
  <c r="G38"/>
  <c r="D38"/>
  <c r="C38"/>
  <c r="B38"/>
  <c r="H37"/>
  <c r="G37"/>
  <c r="D37"/>
  <c r="C37"/>
  <c r="B37"/>
  <c r="H36"/>
  <c r="G36"/>
  <c r="D36"/>
  <c r="C36"/>
  <c r="B36"/>
  <c r="H35"/>
  <c r="G35"/>
  <c r="D35"/>
  <c r="C35"/>
  <c r="B35"/>
  <c r="H34"/>
  <c r="G34"/>
  <c r="D34"/>
  <c r="C34"/>
  <c r="B34"/>
  <c r="H33"/>
  <c r="G33"/>
  <c r="D33"/>
  <c r="C33"/>
  <c r="B33"/>
  <c r="H32"/>
  <c r="G32"/>
  <c r="D32"/>
  <c r="C32"/>
  <c r="B32"/>
  <c r="H31"/>
  <c r="G31"/>
  <c r="D31"/>
  <c r="C31"/>
  <c r="B31"/>
  <c r="H30"/>
  <c r="G30"/>
  <c r="D30"/>
  <c r="C30"/>
  <c r="B30"/>
  <c r="H29"/>
  <c r="G29"/>
  <c r="D29"/>
  <c r="C29"/>
  <c r="B29"/>
  <c r="H28"/>
  <c r="G28"/>
  <c r="D28"/>
  <c r="C28"/>
  <c r="B28"/>
  <c r="H27"/>
  <c r="G27"/>
  <c r="D27"/>
  <c r="C27"/>
  <c r="B27"/>
  <c r="H26"/>
  <c r="G26"/>
  <c r="D26"/>
  <c r="C26"/>
  <c r="B26"/>
  <c r="H25"/>
  <c r="G25"/>
  <c r="D25"/>
  <c r="C25"/>
  <c r="B25"/>
  <c r="H24"/>
  <c r="G24"/>
  <c r="D24"/>
  <c r="C24"/>
  <c r="B24"/>
  <c r="H23"/>
  <c r="G23"/>
  <c r="D23"/>
  <c r="C23"/>
  <c r="B23"/>
  <c r="H22"/>
  <c r="G22"/>
  <c r="D22"/>
  <c r="C22"/>
  <c r="B22"/>
  <c r="H21"/>
  <c r="G21"/>
  <c r="D21"/>
  <c r="C21"/>
  <c r="B21"/>
  <c r="H20"/>
  <c r="G20"/>
  <c r="D20"/>
  <c r="C20"/>
  <c r="B20"/>
  <c r="H19"/>
  <c r="G19"/>
  <c r="D19"/>
  <c r="C19"/>
  <c r="B19"/>
  <c r="H18"/>
  <c r="G18"/>
  <c r="D18"/>
  <c r="C18"/>
  <c r="B18"/>
  <c r="H17"/>
  <c r="G17"/>
  <c r="D17"/>
  <c r="C17"/>
  <c r="B17"/>
  <c r="H16"/>
  <c r="G16"/>
  <c r="D16"/>
  <c r="C16"/>
  <c r="B16"/>
  <c r="H15"/>
  <c r="G15"/>
  <c r="D15"/>
  <c r="C15"/>
  <c r="B15"/>
  <c r="H14"/>
  <c r="G14"/>
  <c r="D14"/>
  <c r="C14"/>
  <c r="B14"/>
  <c r="I43"/>
  <c r="H43" i="147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H14"/>
  <c r="G14"/>
  <c r="D14"/>
  <c r="C14"/>
  <c r="H31" i="146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B17"/>
  <c r="D16"/>
  <c r="C16"/>
  <c r="B16"/>
  <c r="D15"/>
  <c r="C15"/>
  <c r="B15"/>
  <c r="G14"/>
  <c r="D14"/>
  <c r="C14"/>
  <c r="B14"/>
  <c r="H43" i="145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H13" i="150" s="1"/>
  <c r="G18" i="145"/>
  <c r="G13" i="150" s="1"/>
  <c r="H17" i="145"/>
  <c r="H13" i="151" s="1"/>
  <c r="G17" i="145"/>
  <c r="G13" i="151" s="1"/>
  <c r="G44" s="1"/>
  <c r="H16" i="145"/>
  <c r="H13" i="149" s="1"/>
  <c r="G16" i="145"/>
  <c r="G13" i="149" s="1"/>
  <c r="H15" i="145"/>
  <c r="H13" i="148" s="1"/>
  <c r="G15" i="145"/>
  <c r="G13" i="148" s="1"/>
  <c r="B43" i="145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D13" i="150" s="1"/>
  <c r="C18" i="145"/>
  <c r="C13" i="150" s="1"/>
  <c r="C44" s="1"/>
  <c r="D17" i="145"/>
  <c r="D13" i="151" s="1"/>
  <c r="C17" i="145"/>
  <c r="C13" i="151" s="1"/>
  <c r="D16" i="145"/>
  <c r="D13" i="149" s="1"/>
  <c r="C16" i="145"/>
  <c r="C13" i="149" s="1"/>
  <c r="D15" i="145"/>
  <c r="D13" i="148" s="1"/>
  <c r="C15" i="145"/>
  <c r="C13" i="148" s="1"/>
  <c r="H14" i="145"/>
  <c r="H13" i="147" s="1"/>
  <c r="G14" i="145"/>
  <c r="G13" i="147" s="1"/>
  <c r="D14" i="145"/>
  <c r="D13" i="147" s="1"/>
  <c r="C14" i="145"/>
  <c r="C13" i="147" s="1"/>
  <c r="H43" i="125"/>
  <c r="I43" s="1"/>
  <c r="G43"/>
  <c r="D43"/>
  <c r="E43" s="1"/>
  <c r="C43"/>
  <c r="B43"/>
  <c r="H42"/>
  <c r="G42"/>
  <c r="D42"/>
  <c r="C42"/>
  <c r="B42"/>
  <c r="H27"/>
  <c r="G27"/>
  <c r="D27"/>
  <c r="C27"/>
  <c r="B27"/>
  <c r="H42" i="126"/>
  <c r="G42"/>
  <c r="D42"/>
  <c r="C42"/>
  <c r="B42"/>
  <c r="E13" i="100" l="1"/>
  <c r="F14"/>
  <c r="F16"/>
  <c r="F18"/>
  <c r="F20"/>
  <c r="F22"/>
  <c r="F24"/>
  <c r="F26"/>
  <c r="F28"/>
  <c r="F30"/>
  <c r="F32"/>
  <c r="F34"/>
  <c r="F36"/>
  <c r="F38"/>
  <c r="F40"/>
  <c r="F42"/>
  <c r="F13"/>
  <c r="F15"/>
  <c r="F17"/>
  <c r="F19"/>
  <c r="F21"/>
  <c r="F23"/>
  <c r="F25"/>
  <c r="F27"/>
  <c r="F29"/>
  <c r="F31"/>
  <c r="F33"/>
  <c r="F35"/>
  <c r="F37"/>
  <c r="F39"/>
  <c r="F41"/>
  <c r="F43"/>
  <c r="F13" i="98"/>
  <c r="F15"/>
  <c r="F17"/>
  <c r="F19"/>
  <c r="F21"/>
  <c r="F23"/>
  <c r="F25"/>
  <c r="F27"/>
  <c r="F29"/>
  <c r="F31"/>
  <c r="F33"/>
  <c r="F35"/>
  <c r="F37"/>
  <c r="F39"/>
  <c r="F41"/>
  <c r="F43"/>
  <c r="E13"/>
  <c r="F14"/>
  <c r="F16"/>
  <c r="F18"/>
  <c r="F20"/>
  <c r="F22"/>
  <c r="F24"/>
  <c r="F26"/>
  <c r="F28"/>
  <c r="F30"/>
  <c r="F32"/>
  <c r="F34"/>
  <c r="F36"/>
  <c r="F38"/>
  <c r="F40"/>
  <c r="F42"/>
  <c r="F44"/>
  <c r="E29" i="137"/>
  <c r="F29"/>
  <c r="F29" i="136"/>
  <c r="G29"/>
  <c r="F13" i="97"/>
  <c r="E13"/>
  <c r="F15"/>
  <c r="F17"/>
  <c r="F19"/>
  <c r="F21"/>
  <c r="F23"/>
  <c r="F25"/>
  <c r="F27"/>
  <c r="F29"/>
  <c r="F31"/>
  <c r="F33"/>
  <c r="F35"/>
  <c r="F37"/>
  <c r="F39"/>
  <c r="F41"/>
  <c r="F43"/>
  <c r="F45"/>
  <c r="F14"/>
  <c r="F16"/>
  <c r="F18"/>
  <c r="F20"/>
  <c r="F22"/>
  <c r="F24"/>
  <c r="F26"/>
  <c r="F28"/>
  <c r="F30"/>
  <c r="F32"/>
  <c r="F34"/>
  <c r="F36"/>
  <c r="F38"/>
  <c r="F40"/>
  <c r="F42"/>
  <c r="F44"/>
  <c r="F46"/>
  <c r="E13" i="94"/>
  <c r="F14"/>
  <c r="F16"/>
  <c r="F18"/>
  <c r="F20"/>
  <c r="F22"/>
  <c r="F24"/>
  <c r="F26"/>
  <c r="F28"/>
  <c r="F30"/>
  <c r="F32"/>
  <c r="F34"/>
  <c r="F36"/>
  <c r="F38"/>
  <c r="F40"/>
  <c r="F13"/>
  <c r="F15"/>
  <c r="F17"/>
  <c r="F19"/>
  <c r="F21"/>
  <c r="F23"/>
  <c r="F25"/>
  <c r="F27"/>
  <c r="F29"/>
  <c r="F31"/>
  <c r="F33"/>
  <c r="F35"/>
  <c r="F37"/>
  <c r="F39"/>
  <c r="F41"/>
  <c r="J22" i="98"/>
  <c r="J26"/>
  <c r="J30"/>
  <c r="J34"/>
  <c r="J38"/>
  <c r="K28" i="137"/>
  <c r="I13" i="100"/>
  <c r="J14"/>
  <c r="J16"/>
  <c r="J18"/>
  <c r="J20"/>
  <c r="J22"/>
  <c r="J24"/>
  <c r="J26"/>
  <c r="J28"/>
  <c r="J30"/>
  <c r="J32"/>
  <c r="J34"/>
  <c r="J36"/>
  <c r="J38"/>
  <c r="J40"/>
  <c r="J42"/>
  <c r="J13"/>
  <c r="J15"/>
  <c r="J17"/>
  <c r="J19"/>
  <c r="J21"/>
  <c r="J23"/>
  <c r="J25"/>
  <c r="J27"/>
  <c r="J29"/>
  <c r="J31"/>
  <c r="J33"/>
  <c r="J35"/>
  <c r="J37"/>
  <c r="J39"/>
  <c r="J41"/>
  <c r="J43"/>
  <c r="J13" i="98"/>
  <c r="J15"/>
  <c r="J17"/>
  <c r="J19"/>
  <c r="J21"/>
  <c r="J23"/>
  <c r="J25"/>
  <c r="J27"/>
  <c r="J29"/>
  <c r="J31"/>
  <c r="J33"/>
  <c r="J35"/>
  <c r="J37"/>
  <c r="J39"/>
  <c r="J41"/>
  <c r="J43"/>
  <c r="I13"/>
  <c r="J14"/>
  <c r="J16"/>
  <c r="J18"/>
  <c r="G29" i="137"/>
  <c r="J28"/>
  <c r="H29"/>
  <c r="D29" i="136"/>
  <c r="E29"/>
  <c r="J13" i="97"/>
  <c r="I13"/>
  <c r="J15"/>
  <c r="J17"/>
  <c r="J19"/>
  <c r="J21"/>
  <c r="J23"/>
  <c r="J25"/>
  <c r="J27"/>
  <c r="J29"/>
  <c r="J31"/>
  <c r="J33"/>
  <c r="J35"/>
  <c r="J37"/>
  <c r="J39"/>
  <c r="J41"/>
  <c r="J43"/>
  <c r="J45"/>
  <c r="J14"/>
  <c r="J16"/>
  <c r="J18"/>
  <c r="J20"/>
  <c r="J22"/>
  <c r="J24"/>
  <c r="J26"/>
  <c r="J28"/>
  <c r="J30"/>
  <c r="J32"/>
  <c r="J34"/>
  <c r="J36"/>
  <c r="J38"/>
  <c r="J40"/>
  <c r="J42"/>
  <c r="J44"/>
  <c r="J46"/>
  <c r="I13" i="94"/>
  <c r="J14"/>
  <c r="J16"/>
  <c r="J18"/>
  <c r="J20"/>
  <c r="J22"/>
  <c r="J24"/>
  <c r="J26"/>
  <c r="J28"/>
  <c r="J30"/>
  <c r="J32"/>
  <c r="J34"/>
  <c r="J36"/>
  <c r="J38"/>
  <c r="J40"/>
  <c r="J13"/>
  <c r="J15"/>
  <c r="J17"/>
  <c r="J19"/>
  <c r="J21"/>
  <c r="J23"/>
  <c r="J25"/>
  <c r="J27"/>
  <c r="J29"/>
  <c r="J31"/>
  <c r="J33"/>
  <c r="J35"/>
  <c r="J37"/>
  <c r="J39"/>
  <c r="J41"/>
  <c r="J20" i="98"/>
  <c r="J24"/>
  <c r="J28"/>
  <c r="J32"/>
  <c r="J36"/>
  <c r="J40"/>
  <c r="J44"/>
  <c r="K28" i="136"/>
  <c r="I18" i="135"/>
  <c r="I17"/>
  <c r="I18" i="134"/>
  <c r="I17"/>
  <c r="J18"/>
  <c r="J17" i="135"/>
  <c r="J17" i="134"/>
  <c r="K18" i="135"/>
  <c r="I17" i="105"/>
  <c r="K16"/>
  <c r="K18"/>
  <c r="K17"/>
  <c r="K18" i="104"/>
  <c r="K17"/>
  <c r="J18"/>
  <c r="J17"/>
  <c r="K18" i="103"/>
  <c r="K17"/>
  <c r="J17"/>
  <c r="I18"/>
  <c r="K18" i="106"/>
  <c r="K17"/>
  <c r="J18"/>
  <c r="J17"/>
  <c r="K18" i="102"/>
  <c r="K17"/>
  <c r="J17"/>
  <c r="J18"/>
  <c r="I17" i="81"/>
  <c r="I18" i="82"/>
  <c r="J18"/>
  <c r="J17" i="81"/>
  <c r="K17" i="82"/>
  <c r="I18" i="83"/>
  <c r="I17"/>
  <c r="I18" i="84"/>
  <c r="I17"/>
  <c r="I18" i="85"/>
  <c r="I17"/>
  <c r="K18" i="86"/>
  <c r="K17"/>
  <c r="K18" i="87"/>
  <c r="K17"/>
  <c r="J18"/>
  <c r="J17" i="86"/>
  <c r="J18" i="83"/>
  <c r="J18" i="86"/>
  <c r="J17" i="85"/>
  <c r="J17" i="83"/>
  <c r="K18" i="84"/>
  <c r="K17"/>
  <c r="K18" i="85"/>
  <c r="I17" i="87"/>
  <c r="I18" i="64"/>
  <c r="I17"/>
  <c r="J17"/>
  <c r="J18"/>
  <c r="I40" i="124"/>
  <c r="E37" i="67"/>
  <c r="I37"/>
  <c r="E42"/>
  <c r="I42"/>
  <c r="H44" i="151"/>
  <c r="E29" i="80"/>
  <c r="I29"/>
  <c r="K16" i="133"/>
  <c r="K16" i="134"/>
  <c r="J16"/>
  <c r="J16" i="133"/>
  <c r="I16" i="105"/>
  <c r="J16"/>
  <c r="K15" i="104"/>
  <c r="K16" i="106"/>
  <c r="E40" i="124"/>
  <c r="K15" i="135"/>
  <c r="I15" i="105"/>
  <c r="J15"/>
  <c r="I16" i="104"/>
  <c r="I15"/>
  <c r="J15"/>
  <c r="K16"/>
  <c r="I16" i="103"/>
  <c r="I15"/>
  <c r="J16"/>
  <c r="K15"/>
  <c r="I16" i="106"/>
  <c r="I15"/>
  <c r="J16"/>
  <c r="K15"/>
  <c r="I16" i="102"/>
  <c r="I15"/>
  <c r="J16"/>
  <c r="K15"/>
  <c r="K16" i="83"/>
  <c r="K16" i="85"/>
  <c r="K16" i="87"/>
  <c r="K16" i="81"/>
  <c r="K15"/>
  <c r="K16" i="82"/>
  <c r="J15" i="81"/>
  <c r="J16"/>
  <c r="I16" i="82"/>
  <c r="I16" i="83"/>
  <c r="I15"/>
  <c r="I16" i="84"/>
  <c r="I15"/>
  <c r="I16" i="85"/>
  <c r="I15"/>
  <c r="I16" i="86"/>
  <c r="I15"/>
  <c r="I16" i="87"/>
  <c r="I15"/>
  <c r="J16"/>
  <c r="J16" i="85"/>
  <c r="J16" i="83"/>
  <c r="J15" i="85"/>
  <c r="J15" i="83"/>
  <c r="K16" i="84"/>
  <c r="K15"/>
  <c r="K16" i="86"/>
  <c r="K15"/>
  <c r="K15" i="87"/>
  <c r="I16" i="64"/>
  <c r="K16"/>
  <c r="I15" i="133"/>
  <c r="I16" i="135"/>
  <c r="I15"/>
  <c r="I15" i="134"/>
  <c r="J15" i="135"/>
  <c r="K15" i="133"/>
  <c r="K16" i="135"/>
  <c r="K15" i="134"/>
  <c r="J15" i="82"/>
  <c r="J15" i="64"/>
  <c r="E42" i="124"/>
  <c r="I42"/>
  <c r="E39" i="67"/>
  <c r="I39"/>
  <c r="E40"/>
  <c r="I40"/>
  <c r="I15" i="82"/>
  <c r="K15"/>
  <c r="I15" i="64"/>
  <c r="K15"/>
  <c r="E41" i="67"/>
  <c r="I41"/>
  <c r="J23" i="135"/>
  <c r="J23" i="133"/>
  <c r="J24"/>
  <c r="J24" i="135"/>
  <c r="J24" i="134"/>
  <c r="J24" i="105"/>
  <c r="J23"/>
  <c r="J24" i="104"/>
  <c r="J23"/>
  <c r="J24" i="103"/>
  <c r="J23"/>
  <c r="J24" i="106"/>
  <c r="J24" i="102"/>
  <c r="J23" i="85"/>
  <c r="J23" i="87"/>
  <c r="J24" i="81"/>
  <c r="J24" i="82"/>
  <c r="J23" i="81"/>
  <c r="J23" i="82"/>
  <c r="J24" i="64"/>
  <c r="J23"/>
  <c r="I19" i="148"/>
  <c r="I24" i="134"/>
  <c r="K24"/>
  <c r="I23" i="135"/>
  <c r="K23"/>
  <c r="I24"/>
  <c r="K24"/>
  <c r="I23" i="133"/>
  <c r="K23"/>
  <c r="I24"/>
  <c r="K24"/>
  <c r="J21" i="135"/>
  <c r="J22" i="133"/>
  <c r="J22" i="135"/>
  <c r="J22" i="134"/>
  <c r="J21" i="133"/>
  <c r="J23" i="134"/>
  <c r="I24" i="106"/>
  <c r="K24"/>
  <c r="I23" i="105"/>
  <c r="K23"/>
  <c r="I24"/>
  <c r="K24"/>
  <c r="I23" i="104"/>
  <c r="K23"/>
  <c r="I24"/>
  <c r="K24"/>
  <c r="I23" i="103"/>
  <c r="K23"/>
  <c r="I24"/>
  <c r="K24"/>
  <c r="J22" i="105"/>
  <c r="J22" i="104"/>
  <c r="J22" i="103"/>
  <c r="J23" i="106"/>
  <c r="K23"/>
  <c r="J22"/>
  <c r="I24" i="102"/>
  <c r="K24"/>
  <c r="J22"/>
  <c r="J23"/>
  <c r="I23" i="87"/>
  <c r="K23"/>
  <c r="I23" i="85"/>
  <c r="K23"/>
  <c r="J22" i="83"/>
  <c r="J22" i="84"/>
  <c r="K22"/>
  <c r="J22" i="85"/>
  <c r="J22" i="87"/>
  <c r="J23" i="83"/>
  <c r="J23" i="84"/>
  <c r="I22"/>
  <c r="J23" i="86"/>
  <c r="I23" i="82"/>
  <c r="K23"/>
  <c r="I24"/>
  <c r="K24"/>
  <c r="I23" i="81"/>
  <c r="K23"/>
  <c r="I24"/>
  <c r="K24"/>
  <c r="J22"/>
  <c r="J22" i="82"/>
  <c r="I23" i="64"/>
  <c r="K23"/>
  <c r="I24"/>
  <c r="K24"/>
  <c r="J22"/>
  <c r="I22" i="134"/>
  <c r="K22"/>
  <c r="I23"/>
  <c r="K23"/>
  <c r="I22" i="135"/>
  <c r="K22"/>
  <c r="I22" i="133"/>
  <c r="K22"/>
  <c r="J21" i="134"/>
  <c r="I22" i="106"/>
  <c r="K22"/>
  <c r="I22" i="105"/>
  <c r="K22"/>
  <c r="I22" i="104"/>
  <c r="K22"/>
  <c r="I22" i="103"/>
  <c r="K22"/>
  <c r="I22" i="102"/>
  <c r="K22"/>
  <c r="I23"/>
  <c r="K23"/>
  <c r="J21" i="106"/>
  <c r="J21" i="105"/>
  <c r="J21" i="104"/>
  <c r="J21" i="103"/>
  <c r="J21" i="102"/>
  <c r="I22" i="87"/>
  <c r="K22"/>
  <c r="I22" i="86"/>
  <c r="K22"/>
  <c r="I23"/>
  <c r="K23"/>
  <c r="I22" i="85"/>
  <c r="K22"/>
  <c r="I23" i="84"/>
  <c r="K23"/>
  <c r="I22" i="83"/>
  <c r="K22"/>
  <c r="I23"/>
  <c r="K23"/>
  <c r="J21"/>
  <c r="J21" i="85"/>
  <c r="J21" i="86"/>
  <c r="I22" i="82"/>
  <c r="K22"/>
  <c r="I22" i="81"/>
  <c r="K22"/>
  <c r="J21"/>
  <c r="J21" i="82"/>
  <c r="I22" i="64"/>
  <c r="K22"/>
  <c r="J21"/>
  <c r="I35" i="148"/>
  <c r="E30" i="125"/>
  <c r="I30"/>
  <c r="E38" i="67"/>
  <c r="I38"/>
  <c r="I27" i="151"/>
  <c r="I39"/>
  <c r="I21" i="134"/>
  <c r="K21"/>
  <c r="I21" i="135"/>
  <c r="K21"/>
  <c r="I21" i="133"/>
  <c r="K21"/>
  <c r="I21" i="106"/>
  <c r="K21"/>
  <c r="I21" i="105"/>
  <c r="K21"/>
  <c r="I21" i="104"/>
  <c r="K21"/>
  <c r="I21" i="103"/>
  <c r="K21"/>
  <c r="I21" i="102"/>
  <c r="K21"/>
  <c r="I21" i="87"/>
  <c r="K21"/>
  <c r="I21" i="86"/>
  <c r="K21"/>
  <c r="I21" i="85"/>
  <c r="K21"/>
  <c r="I21" i="84"/>
  <c r="K21"/>
  <c r="I21" i="83"/>
  <c r="K21"/>
  <c r="I21" i="82"/>
  <c r="K21"/>
  <c r="I21" i="81"/>
  <c r="K21"/>
  <c r="I21" i="64"/>
  <c r="K21"/>
  <c r="I31" i="67"/>
  <c r="E34"/>
  <c r="I35"/>
  <c r="E35"/>
  <c r="I34"/>
  <c r="E36"/>
  <c r="I36"/>
  <c r="I17" i="148"/>
  <c r="I21"/>
  <c r="E27"/>
  <c r="I30"/>
  <c r="E38"/>
  <c r="I39"/>
  <c r="E42"/>
  <c r="E41" i="124"/>
  <c r="I41"/>
  <c r="I40" i="149"/>
  <c r="J24" i="86"/>
  <c r="I14" i="87"/>
  <c r="I25" i="149"/>
  <c r="E37"/>
  <c r="I22" i="150"/>
  <c r="I42"/>
  <c r="I35" i="151"/>
  <c r="I43"/>
  <c r="J24" i="84"/>
  <c r="J14" i="83"/>
  <c r="J14" i="84"/>
  <c r="J14" i="85"/>
  <c r="J14" i="86"/>
  <c r="J14" i="87"/>
  <c r="K14"/>
  <c r="J14" i="133"/>
  <c r="J14" i="134"/>
  <c r="J14" i="135"/>
  <c r="J14" i="81"/>
  <c r="J14" i="82"/>
  <c r="J14" i="64"/>
  <c r="I27" i="125"/>
  <c r="E28" i="124"/>
  <c r="I28"/>
  <c r="E29"/>
  <c r="I29"/>
  <c r="E33" i="67"/>
  <c r="E14" i="150"/>
  <c r="E30"/>
  <c r="I38"/>
  <c r="E15" i="151"/>
  <c r="I15"/>
  <c r="E17"/>
  <c r="I17"/>
  <c r="E18"/>
  <c r="I18"/>
  <c r="E19"/>
  <c r="I19"/>
  <c r="E21"/>
  <c r="I21"/>
  <c r="E22"/>
  <c r="I22"/>
  <c r="E23"/>
  <c r="I23"/>
  <c r="E24"/>
  <c r="I24"/>
  <c r="E25"/>
  <c r="I25"/>
  <c r="E26"/>
  <c r="I26"/>
  <c r="E27"/>
  <c r="E28"/>
  <c r="I28"/>
  <c r="E29"/>
  <c r="I29"/>
  <c r="E30"/>
  <c r="I30"/>
  <c r="E31"/>
  <c r="I31"/>
  <c r="E32"/>
  <c r="I32"/>
  <c r="E33"/>
  <c r="I33"/>
  <c r="E34"/>
  <c r="I34"/>
  <c r="E35"/>
  <c r="E36"/>
  <c r="I36"/>
  <c r="E37"/>
  <c r="I37"/>
  <c r="E38"/>
  <c r="I38"/>
  <c r="E39"/>
  <c r="E40"/>
  <c r="I40"/>
  <c r="E41"/>
  <c r="I41"/>
  <c r="E42"/>
  <c r="I42"/>
  <c r="E43"/>
  <c r="E15" i="148"/>
  <c r="I15"/>
  <c r="I16"/>
  <c r="E17"/>
  <c r="E19"/>
  <c r="E21"/>
  <c r="E23"/>
  <c r="I23"/>
  <c r="E25"/>
  <c r="I25"/>
  <c r="I27"/>
  <c r="E28"/>
  <c r="I28"/>
  <c r="E29"/>
  <c r="I29"/>
  <c r="E30"/>
  <c r="E31"/>
  <c r="I31"/>
  <c r="E32"/>
  <c r="I32"/>
  <c r="E33"/>
  <c r="I33"/>
  <c r="E34"/>
  <c r="I34"/>
  <c r="E35"/>
  <c r="E36"/>
  <c r="I36"/>
  <c r="E37"/>
  <c r="I37"/>
  <c r="I38"/>
  <c r="E39"/>
  <c r="E40"/>
  <c r="I40"/>
  <c r="E41"/>
  <c r="I41"/>
  <c r="I42"/>
  <c r="E43"/>
  <c r="E15" i="149"/>
  <c r="E17"/>
  <c r="E18"/>
  <c r="I19"/>
  <c r="E21"/>
  <c r="I23"/>
  <c r="E27"/>
  <c r="E29"/>
  <c r="E30"/>
  <c r="E31"/>
  <c r="E33"/>
  <c r="I34"/>
  <c r="I35"/>
  <c r="E38"/>
  <c r="I39"/>
  <c r="I41"/>
  <c r="I42"/>
  <c r="I43"/>
  <c r="E18" i="150"/>
  <c r="E26"/>
  <c r="I14" i="135"/>
  <c r="K14"/>
  <c r="I14" i="134"/>
  <c r="K14"/>
  <c r="I14" i="133"/>
  <c r="K14"/>
  <c r="J14" i="105"/>
  <c r="J14" i="104"/>
  <c r="J14" i="106"/>
  <c r="J14" i="103"/>
  <c r="J14" i="102"/>
  <c r="I14" i="106"/>
  <c r="K14"/>
  <c r="I14" i="105"/>
  <c r="K14"/>
  <c r="I14" i="104"/>
  <c r="K14"/>
  <c r="I14" i="103"/>
  <c r="K14"/>
  <c r="J32" i="150"/>
  <c r="J38" i="149"/>
  <c r="I14" i="102"/>
  <c r="K14"/>
  <c r="I14" i="86"/>
  <c r="K14"/>
  <c r="I14" i="85"/>
  <c r="K14"/>
  <c r="I14" i="84"/>
  <c r="K14"/>
  <c r="I14" i="83"/>
  <c r="K14"/>
  <c r="I24"/>
  <c r="K24"/>
  <c r="I24" i="85"/>
  <c r="K24"/>
  <c r="I24" i="87"/>
  <c r="K24"/>
  <c r="I24" i="84"/>
  <c r="I24" i="86"/>
  <c r="I14" i="82"/>
  <c r="K14"/>
  <c r="I14" i="81"/>
  <c r="K14"/>
  <c r="I14" i="64"/>
  <c r="K14"/>
  <c r="I43" i="147"/>
  <c r="E16" i="150"/>
  <c r="I20"/>
  <c r="E24"/>
  <c r="E28"/>
  <c r="E32"/>
  <c r="I36"/>
  <c r="I40"/>
  <c r="E15" i="146"/>
  <c r="E17"/>
  <c r="E19"/>
  <c r="E22"/>
  <c r="E25"/>
  <c r="E29"/>
  <c r="E31"/>
  <c r="I20"/>
  <c r="I23"/>
  <c r="I26"/>
  <c r="E22" i="147"/>
  <c r="E25"/>
  <c r="E26"/>
  <c r="E27"/>
  <c r="E28"/>
  <c r="E29"/>
  <c r="E30"/>
  <c r="E31"/>
  <c r="E32"/>
  <c r="E33"/>
  <c r="E34"/>
  <c r="E35"/>
  <c r="E36"/>
  <c r="E37"/>
  <c r="E38"/>
  <c r="E39"/>
  <c r="E40"/>
  <c r="I25"/>
  <c r="I26"/>
  <c r="I27"/>
  <c r="I28"/>
  <c r="I29"/>
  <c r="I30"/>
  <c r="I31"/>
  <c r="I32"/>
  <c r="I33"/>
  <c r="I34"/>
  <c r="I35"/>
  <c r="I36"/>
  <c r="I37"/>
  <c r="I38"/>
  <c r="I39"/>
  <c r="J23" i="148"/>
  <c r="E15" i="150"/>
  <c r="E17"/>
  <c r="E19"/>
  <c r="I21"/>
  <c r="I23"/>
  <c r="E25"/>
  <c r="E27"/>
  <c r="E29"/>
  <c r="E31"/>
  <c r="I33"/>
  <c r="I35"/>
  <c r="I37"/>
  <c r="I39"/>
  <c r="I41"/>
  <c r="I43"/>
  <c r="E42" i="125"/>
  <c r="I42"/>
  <c r="I33" i="67"/>
  <c r="E32"/>
  <c r="I32"/>
  <c r="J20" i="149"/>
  <c r="J15" i="151"/>
  <c r="J15" i="148"/>
  <c r="J25"/>
  <c r="I15" i="149"/>
  <c r="I17"/>
  <c r="I18"/>
  <c r="E19"/>
  <c r="I21"/>
  <c r="E23"/>
  <c r="E25"/>
  <c r="I27"/>
  <c r="I29"/>
  <c r="I30"/>
  <c r="I31"/>
  <c r="I33"/>
  <c r="E34"/>
  <c r="E35"/>
  <c r="I37"/>
  <c r="I38"/>
  <c r="E39"/>
  <c r="E40"/>
  <c r="E41"/>
  <c r="E42"/>
  <c r="E43"/>
  <c r="I14" i="150"/>
  <c r="I15"/>
  <c r="I16"/>
  <c r="I17"/>
  <c r="I18"/>
  <c r="I19"/>
  <c r="E21"/>
  <c r="E22"/>
  <c r="E23"/>
  <c r="I24"/>
  <c r="I25"/>
  <c r="I26"/>
  <c r="I27"/>
  <c r="I28"/>
  <c r="I29"/>
  <c r="I30"/>
  <c r="I31"/>
  <c r="I32"/>
  <c r="E33"/>
  <c r="E34"/>
  <c r="E35"/>
  <c r="E36"/>
  <c r="E37"/>
  <c r="E38"/>
  <c r="E39"/>
  <c r="E40"/>
  <c r="E41"/>
  <c r="E42"/>
  <c r="E43"/>
  <c r="J30" i="148"/>
  <c r="J22" i="149"/>
  <c r="J33"/>
  <c r="J25"/>
  <c r="J16" i="148"/>
  <c r="J22"/>
  <c r="J26"/>
  <c r="J19"/>
  <c r="J23" i="150"/>
  <c r="J35" i="149"/>
  <c r="E32" i="124"/>
  <c r="E33"/>
  <c r="E34"/>
  <c r="E35"/>
  <c r="E36"/>
  <c r="E37"/>
  <c r="E38"/>
  <c r="E39"/>
  <c r="J43" i="149"/>
  <c r="J16" i="150"/>
  <c r="J34" i="151"/>
  <c r="J34" i="150"/>
  <c r="J27" i="149"/>
  <c r="J14" i="150"/>
  <c r="J15" i="149"/>
  <c r="J30"/>
  <c r="J14"/>
  <c r="J16"/>
  <c r="J19"/>
  <c r="J21"/>
  <c r="J24"/>
  <c r="J26"/>
  <c r="J28"/>
  <c r="J32"/>
  <c r="J34"/>
  <c r="J36"/>
  <c r="E21" i="145"/>
  <c r="E25"/>
  <c r="E29"/>
  <c r="E35"/>
  <c r="E39"/>
  <c r="E43"/>
  <c r="I40" i="147"/>
  <c r="J37" i="150"/>
  <c r="J34" i="148"/>
  <c r="J37" i="149"/>
  <c r="J30" i="151"/>
  <c r="J30" i="150"/>
  <c r="J16" i="151"/>
  <c r="J18"/>
  <c r="J32"/>
  <c r="J39"/>
  <c r="J18" i="150"/>
  <c r="J27"/>
  <c r="J36"/>
  <c r="J38"/>
  <c r="J20" i="151"/>
  <c r="J22"/>
  <c r="J29"/>
  <c r="J36"/>
  <c r="J40" i="149"/>
  <c r="J20" i="150"/>
  <c r="J40"/>
  <c r="J17" i="151"/>
  <c r="J19"/>
  <c r="J24"/>
  <c r="J38"/>
  <c r="J40"/>
  <c r="J42" i="149"/>
  <c r="J15" i="150"/>
  <c r="J22"/>
  <c r="J24"/>
  <c r="J33"/>
  <c r="J42"/>
  <c r="J14" i="151"/>
  <c r="J26"/>
  <c r="J42"/>
  <c r="J21" i="148"/>
  <c r="J27"/>
  <c r="J23" i="149"/>
  <c r="J19" i="150"/>
  <c r="J26"/>
  <c r="J28"/>
  <c r="J21" i="151"/>
  <c r="J28"/>
  <c r="E20" i="146"/>
  <c r="E21"/>
  <c r="E23"/>
  <c r="E26"/>
  <c r="E27"/>
  <c r="I15"/>
  <c r="I17"/>
  <c r="I24"/>
  <c r="I29"/>
  <c r="E17" i="145"/>
  <c r="E18"/>
  <c r="E20"/>
  <c r="E22"/>
  <c r="E23"/>
  <c r="E24"/>
  <c r="E26"/>
  <c r="E27"/>
  <c r="E28"/>
  <c r="E30"/>
  <c r="E33"/>
  <c r="E34"/>
  <c r="E36"/>
  <c r="E37"/>
  <c r="E38"/>
  <c r="E40"/>
  <c r="E41"/>
  <c r="E42"/>
  <c r="I17"/>
  <c r="I18"/>
  <c r="I20"/>
  <c r="I21"/>
  <c r="I22"/>
  <c r="I23"/>
  <c r="I24"/>
  <c r="I25"/>
  <c r="I26"/>
  <c r="I27"/>
  <c r="I28"/>
  <c r="I29"/>
  <c r="I30"/>
  <c r="I33"/>
  <c r="I34"/>
  <c r="I35"/>
  <c r="I36"/>
  <c r="I37"/>
  <c r="I38"/>
  <c r="I39"/>
  <c r="I40"/>
  <c r="I41"/>
  <c r="I42"/>
  <c r="E23" i="147"/>
  <c r="I13" i="151"/>
  <c r="G44" i="150"/>
  <c r="I13"/>
  <c r="G44" i="149"/>
  <c r="I13"/>
  <c r="I13" i="148"/>
  <c r="G44"/>
  <c r="J17" i="147"/>
  <c r="J13" i="151"/>
  <c r="E14"/>
  <c r="I14"/>
  <c r="E16"/>
  <c r="I16"/>
  <c r="E20"/>
  <c r="I20"/>
  <c r="J23"/>
  <c r="J25"/>
  <c r="J27"/>
  <c r="J31"/>
  <c r="J33"/>
  <c r="J35"/>
  <c r="J37"/>
  <c r="J41"/>
  <c r="J43"/>
  <c r="J13" i="150"/>
  <c r="J17"/>
  <c r="E20"/>
  <c r="J21"/>
  <c r="J25"/>
  <c r="J29"/>
  <c r="J31"/>
  <c r="J35"/>
  <c r="J39"/>
  <c r="J41"/>
  <c r="J43"/>
  <c r="H44"/>
  <c r="J13" i="149"/>
  <c r="E14"/>
  <c r="I14"/>
  <c r="E16"/>
  <c r="I16"/>
  <c r="J17"/>
  <c r="E20"/>
  <c r="I20"/>
  <c r="E22"/>
  <c r="I22"/>
  <c r="E24"/>
  <c r="I24"/>
  <c r="E26"/>
  <c r="I26"/>
  <c r="E28"/>
  <c r="I28"/>
  <c r="J29"/>
  <c r="J31"/>
  <c r="E32"/>
  <c r="I32"/>
  <c r="E36"/>
  <c r="I36"/>
  <c r="J39"/>
  <c r="J41"/>
  <c r="H44"/>
  <c r="J13" i="148"/>
  <c r="E14"/>
  <c r="I14"/>
  <c r="E16"/>
  <c r="E18"/>
  <c r="I18"/>
  <c r="E20"/>
  <c r="I20"/>
  <c r="E22"/>
  <c r="I22"/>
  <c r="E24"/>
  <c r="I24"/>
  <c r="E26"/>
  <c r="I26"/>
  <c r="J29"/>
  <c r="J31"/>
  <c r="J33"/>
  <c r="J35"/>
  <c r="J37"/>
  <c r="J39"/>
  <c r="J41"/>
  <c r="J43"/>
  <c r="H44"/>
  <c r="J15" i="147"/>
  <c r="G44"/>
  <c r="I22"/>
  <c r="I23"/>
  <c r="I13"/>
  <c r="E15"/>
  <c r="I15"/>
  <c r="E17"/>
  <c r="I17"/>
  <c r="E19"/>
  <c r="I19"/>
  <c r="E21"/>
  <c r="I21"/>
  <c r="J41"/>
  <c r="E42"/>
  <c r="I42"/>
  <c r="J21"/>
  <c r="E14"/>
  <c r="I14"/>
  <c r="E16"/>
  <c r="I16"/>
  <c r="E18"/>
  <c r="I18"/>
  <c r="E20"/>
  <c r="I20"/>
  <c r="E24"/>
  <c r="I24"/>
  <c r="E41"/>
  <c r="I41"/>
  <c r="E43"/>
  <c r="E27" i="124"/>
  <c r="I27"/>
  <c r="I21" i="146"/>
  <c r="I19"/>
  <c r="I25"/>
  <c r="I27"/>
  <c r="I30"/>
  <c r="I31"/>
  <c r="E14"/>
  <c r="I14"/>
  <c r="E16"/>
  <c r="I16"/>
  <c r="E18"/>
  <c r="I18"/>
  <c r="I22"/>
  <c r="E24"/>
  <c r="E28"/>
  <c r="I28"/>
  <c r="E30"/>
  <c r="I15" i="145"/>
  <c r="I31"/>
  <c r="I43"/>
  <c r="E15"/>
  <c r="E31"/>
  <c r="E16"/>
  <c r="I16"/>
  <c r="E32"/>
  <c r="I32"/>
  <c r="E42" i="126"/>
  <c r="I42"/>
  <c r="G25" i="64"/>
  <c r="H25"/>
  <c r="E27" i="125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H31" s="1"/>
  <c r="G32"/>
  <c r="G31" s="1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H28" i="80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28"/>
  <c r="B27"/>
  <c r="B26"/>
  <c r="B25"/>
  <c r="B24"/>
  <c r="B23"/>
  <c r="B22"/>
  <c r="B21"/>
  <c r="B20"/>
  <c r="B19"/>
  <c r="B18"/>
  <c r="B17"/>
  <c r="B16"/>
  <c r="B15"/>
  <c r="B14"/>
  <c r="J18" i="149" l="1"/>
  <c r="J42" i="148"/>
  <c r="J40"/>
  <c r="J38"/>
  <c r="J36"/>
  <c r="J32"/>
  <c r="J28"/>
  <c r="J24"/>
  <c r="J20"/>
  <c r="J18"/>
  <c r="J14"/>
  <c r="J17"/>
  <c r="J42" i="147"/>
  <c r="J43"/>
  <c r="J24"/>
  <c r="J13"/>
  <c r="J20"/>
  <c r="J16"/>
  <c r="H44"/>
  <c r="I44" s="1"/>
  <c r="J23"/>
  <c r="J19"/>
  <c r="J22"/>
  <c r="J18"/>
  <c r="J14"/>
  <c r="D31" i="125"/>
  <c r="J40" i="147"/>
  <c r="J39"/>
  <c r="J38"/>
  <c r="J37"/>
  <c r="J36"/>
  <c r="J35"/>
  <c r="J34"/>
  <c r="J33"/>
  <c r="J32"/>
  <c r="J31"/>
  <c r="J30"/>
  <c r="J29"/>
  <c r="J28"/>
  <c r="J27"/>
  <c r="J26"/>
  <c r="J25"/>
  <c r="I44" i="151"/>
  <c r="J44"/>
  <c r="I44" i="150"/>
  <c r="J44"/>
  <c r="I44" i="149"/>
  <c r="J44"/>
  <c r="I44" i="148"/>
  <c r="J44"/>
  <c r="E19" i="145"/>
  <c r="I19"/>
  <c r="C31" i="125"/>
  <c r="H47" i="107"/>
  <c r="G47"/>
  <c r="H46"/>
  <c r="G46"/>
  <c r="H45"/>
  <c r="G45"/>
  <c r="H44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D47"/>
  <c r="C47"/>
  <c r="B47"/>
  <c r="D46"/>
  <c r="C46"/>
  <c r="B46"/>
  <c r="D45"/>
  <c r="C45"/>
  <c r="B45"/>
  <c r="D44"/>
  <c r="C44"/>
  <c r="B44"/>
  <c r="D43"/>
  <c r="C43"/>
  <c r="B43"/>
  <c r="D42"/>
  <c r="C42"/>
  <c r="B42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B17"/>
  <c r="D16"/>
  <c r="C16"/>
  <c r="B16"/>
  <c r="D15"/>
  <c r="C15"/>
  <c r="B15"/>
  <c r="G30" i="19"/>
  <c r="G29"/>
  <c r="G28"/>
  <c r="G27"/>
  <c r="G26"/>
  <c r="G24"/>
  <c r="C30"/>
  <c r="C29"/>
  <c r="C28"/>
  <c r="C27"/>
  <c r="C26"/>
  <c r="C24"/>
  <c r="H15"/>
  <c r="G15"/>
  <c r="H14"/>
  <c r="G14"/>
  <c r="D15"/>
  <c r="C15"/>
  <c r="D14"/>
  <c r="C14"/>
  <c r="H25" i="81"/>
  <c r="H14" i="107"/>
  <c r="G14"/>
  <c r="D14"/>
  <c r="C14"/>
  <c r="B14"/>
  <c r="H42" i="130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H19" s="1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C16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3" i="129"/>
  <c r="G43"/>
  <c r="D43"/>
  <c r="C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H19" s="1"/>
  <c r="G20"/>
  <c r="D27"/>
  <c r="C27"/>
  <c r="D26"/>
  <c r="C26"/>
  <c r="D25"/>
  <c r="C25"/>
  <c r="D24"/>
  <c r="C24"/>
  <c r="D23"/>
  <c r="C23"/>
  <c r="D22"/>
  <c r="C22"/>
  <c r="D21"/>
  <c r="C21"/>
  <c r="D20"/>
  <c r="H18"/>
  <c r="G18"/>
  <c r="H17"/>
  <c r="G17"/>
  <c r="H16"/>
  <c r="G16"/>
  <c r="C20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3" i="128"/>
  <c r="G43"/>
  <c r="D43"/>
  <c r="C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H19" s="1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29" i="125"/>
  <c r="G29"/>
  <c r="H28"/>
  <c r="G28"/>
  <c r="D29"/>
  <c r="C29"/>
  <c r="D28"/>
  <c r="C28"/>
  <c r="H26"/>
  <c r="G26"/>
  <c r="H25"/>
  <c r="G25"/>
  <c r="H24"/>
  <c r="G24"/>
  <c r="H23"/>
  <c r="G23"/>
  <c r="H22"/>
  <c r="G22"/>
  <c r="H21"/>
  <c r="G21"/>
  <c r="H20"/>
  <c r="H19" s="1"/>
  <c r="G20"/>
  <c r="G19" s="1"/>
  <c r="D26"/>
  <c r="C26"/>
  <c r="D25"/>
  <c r="C25"/>
  <c r="D24"/>
  <c r="C24"/>
  <c r="D23"/>
  <c r="C23"/>
  <c r="D22"/>
  <c r="C22"/>
  <c r="D21"/>
  <c r="C21"/>
  <c r="D20"/>
  <c r="D19" s="1"/>
  <c r="C20"/>
  <c r="C19" s="1"/>
  <c r="H18"/>
  <c r="G18"/>
  <c r="H17"/>
  <c r="G17"/>
  <c r="H16"/>
  <c r="G16"/>
  <c r="G15" s="1"/>
  <c r="G14" s="1"/>
  <c r="D18"/>
  <c r="C18"/>
  <c r="D17"/>
  <c r="C17"/>
  <c r="D16"/>
  <c r="C16"/>
  <c r="B29"/>
  <c r="B28"/>
  <c r="B26"/>
  <c r="B25"/>
  <c r="B24"/>
  <c r="B23"/>
  <c r="B22"/>
  <c r="B21"/>
  <c r="B20"/>
  <c r="B18"/>
  <c r="B17"/>
  <c r="B16"/>
  <c r="H43" i="126"/>
  <c r="G43"/>
  <c r="D43"/>
  <c r="C43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H31" s="1"/>
  <c r="G32"/>
  <c r="G31" s="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D31" s="1"/>
  <c r="C32"/>
  <c r="C31" s="1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H19" s="1"/>
  <c r="G20"/>
  <c r="G19" s="1"/>
  <c r="D27"/>
  <c r="C27"/>
  <c r="D26"/>
  <c r="C26"/>
  <c r="D25"/>
  <c r="C25"/>
  <c r="D24"/>
  <c r="C24"/>
  <c r="D23"/>
  <c r="C23"/>
  <c r="D22"/>
  <c r="C22"/>
  <c r="D21"/>
  <c r="C21"/>
  <c r="D20"/>
  <c r="D19" s="1"/>
  <c r="C20"/>
  <c r="C19" s="1"/>
  <c r="H18"/>
  <c r="G18"/>
  <c r="H17"/>
  <c r="G17"/>
  <c r="H16"/>
  <c r="G16"/>
  <c r="D18"/>
  <c r="C18"/>
  <c r="D17"/>
  <c r="C17"/>
  <c r="D16"/>
  <c r="B43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C16"/>
  <c r="H30" i="124"/>
  <c r="G30"/>
  <c r="D30"/>
  <c r="C30"/>
  <c r="H26"/>
  <c r="G26"/>
  <c r="H25"/>
  <c r="G25"/>
  <c r="H24"/>
  <c r="G24"/>
  <c r="H23"/>
  <c r="G23"/>
  <c r="H22"/>
  <c r="G22"/>
  <c r="H21"/>
  <c r="G21"/>
  <c r="H20"/>
  <c r="H19" s="1"/>
  <c r="G20"/>
  <c r="G19" s="1"/>
  <c r="D26"/>
  <c r="C26"/>
  <c r="D25"/>
  <c r="C25"/>
  <c r="D24"/>
  <c r="C24"/>
  <c r="D23"/>
  <c r="C23"/>
  <c r="D22"/>
  <c r="C22"/>
  <c r="D21"/>
  <c r="C21"/>
  <c r="D20"/>
  <c r="D19" s="1"/>
  <c r="C20"/>
  <c r="C19" s="1"/>
  <c r="B26"/>
  <c r="B25"/>
  <c r="B24"/>
  <c r="B23"/>
  <c r="B22"/>
  <c r="B21"/>
  <c r="B20"/>
  <c r="H18"/>
  <c r="G18"/>
  <c r="H17"/>
  <c r="G17"/>
  <c r="H16"/>
  <c r="G16"/>
  <c r="D18"/>
  <c r="C18"/>
  <c r="D17"/>
  <c r="C17"/>
  <c r="D16"/>
  <c r="C16"/>
  <c r="B18"/>
  <c r="B17"/>
  <c r="B16"/>
  <c r="H43" i="120"/>
  <c r="G43"/>
  <c r="D43"/>
  <c r="C43"/>
  <c r="B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C31" s="1"/>
  <c r="B42"/>
  <c r="B41"/>
  <c r="B40"/>
  <c r="B39"/>
  <c r="B38"/>
  <c r="B37"/>
  <c r="B36"/>
  <c r="B35"/>
  <c r="B34"/>
  <c r="B33"/>
  <c r="B32"/>
  <c r="H30"/>
  <c r="G30"/>
  <c r="H29"/>
  <c r="G29"/>
  <c r="H28"/>
  <c r="G28"/>
  <c r="D30"/>
  <c r="C30"/>
  <c r="D29"/>
  <c r="C29"/>
  <c r="D28"/>
  <c r="C28"/>
  <c r="B30"/>
  <c r="B29"/>
  <c r="B28"/>
  <c r="H27"/>
  <c r="G27"/>
  <c r="H26"/>
  <c r="G26"/>
  <c r="H25"/>
  <c r="G25"/>
  <c r="H24"/>
  <c r="G24"/>
  <c r="H23"/>
  <c r="G23"/>
  <c r="H22"/>
  <c r="G22"/>
  <c r="H21"/>
  <c r="G21"/>
  <c r="H20"/>
  <c r="H19" s="1"/>
  <c r="G20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B20"/>
  <c r="C20"/>
  <c r="H18"/>
  <c r="G18"/>
  <c r="H17"/>
  <c r="G17"/>
  <c r="H16"/>
  <c r="G16"/>
  <c r="D18"/>
  <c r="C18"/>
  <c r="D17"/>
  <c r="C17"/>
  <c r="D16"/>
  <c r="C16"/>
  <c r="H35" i="119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H38" s="1"/>
  <c r="G17"/>
  <c r="G38" s="1"/>
  <c r="D35"/>
  <c r="C35"/>
  <c r="B35"/>
  <c r="D34"/>
  <c r="C34"/>
  <c r="B34"/>
  <c r="D33"/>
  <c r="C33"/>
  <c r="B33"/>
  <c r="D32"/>
  <c r="C32"/>
  <c r="B32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C38" s="1"/>
  <c r="B17"/>
  <c r="H27" i="6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D27"/>
  <c r="D26"/>
  <c r="D25"/>
  <c r="D24"/>
  <c r="D23"/>
  <c r="D22"/>
  <c r="D21"/>
  <c r="D20"/>
  <c r="D19"/>
  <c r="D18"/>
  <c r="D17"/>
  <c r="C27"/>
  <c r="C26"/>
  <c r="C25"/>
  <c r="C24"/>
  <c r="C23"/>
  <c r="C22"/>
  <c r="C21"/>
  <c r="C20"/>
  <c r="C19"/>
  <c r="C18"/>
  <c r="C17"/>
  <c r="B27"/>
  <c r="B26"/>
  <c r="B25"/>
  <c r="B24"/>
  <c r="B23"/>
  <c r="B22"/>
  <c r="B21"/>
  <c r="B20"/>
  <c r="B19"/>
  <c r="B18"/>
  <c r="B17"/>
  <c r="D38" i="119" l="1"/>
  <c r="G19" i="120"/>
  <c r="J44" i="147"/>
  <c r="C19" i="120"/>
  <c r="E14" i="145"/>
  <c r="I14"/>
  <c r="K13" i="64"/>
  <c r="H25" i="19"/>
  <c r="G25"/>
  <c r="D25"/>
  <c r="C25"/>
  <c r="H20"/>
  <c r="G20"/>
  <c r="H19"/>
  <c r="G19"/>
  <c r="H18"/>
  <c r="G18"/>
  <c r="H17"/>
  <c r="G17"/>
  <c r="H16"/>
  <c r="G16"/>
  <c r="D20"/>
  <c r="D19"/>
  <c r="D18"/>
  <c r="D17"/>
  <c r="D16"/>
  <c r="C20"/>
  <c r="C19"/>
  <c r="C18"/>
  <c r="C17"/>
  <c r="B20"/>
  <c r="B19"/>
  <c r="B18"/>
  <c r="B17"/>
  <c r="B16"/>
  <c r="F17"/>
  <c r="C21" l="1"/>
  <c r="F16"/>
  <c r="F18"/>
  <c r="F20"/>
  <c r="J16"/>
  <c r="J17"/>
  <c r="J18"/>
  <c r="J19"/>
  <c r="J20"/>
  <c r="F19"/>
  <c r="G21"/>
  <c r="D21"/>
  <c r="F21" s="1"/>
  <c r="H21"/>
  <c r="J21" s="1"/>
  <c r="N41" i="135"/>
  <c r="N40"/>
  <c r="N39"/>
  <c r="N38"/>
  <c r="N36"/>
  <c r="N35"/>
  <c r="N34"/>
  <c r="N33"/>
  <c r="N32"/>
  <c r="N24"/>
  <c r="N23"/>
  <c r="N22"/>
  <c r="N21"/>
  <c r="N20"/>
  <c r="H25"/>
  <c r="N19" i="134"/>
  <c r="N17"/>
  <c r="N15"/>
  <c r="N41"/>
  <c r="N40"/>
  <c r="N39"/>
  <c r="N38"/>
  <c r="N36"/>
  <c r="N35"/>
  <c r="N34"/>
  <c r="N33"/>
  <c r="N32"/>
  <c r="N24"/>
  <c r="N23"/>
  <c r="N22"/>
  <c r="N21"/>
  <c r="N20"/>
  <c r="N18"/>
  <c r="N16"/>
  <c r="N14"/>
  <c r="N41" i="133"/>
  <c r="N40"/>
  <c r="N39"/>
  <c r="N38"/>
  <c r="N36"/>
  <c r="N35"/>
  <c r="N34"/>
  <c r="N33"/>
  <c r="N32"/>
  <c r="N24"/>
  <c r="N23"/>
  <c r="N22"/>
  <c r="N21"/>
  <c r="N20"/>
  <c r="H25"/>
  <c r="I33" i="132"/>
  <c r="E33"/>
  <c r="I31"/>
  <c r="E31"/>
  <c r="I29"/>
  <c r="E29"/>
  <c r="I27"/>
  <c r="E27"/>
  <c r="I25"/>
  <c r="E25"/>
  <c r="I23"/>
  <c r="E23"/>
  <c r="I21"/>
  <c r="E21"/>
  <c r="I19"/>
  <c r="E19"/>
  <c r="N14" i="131"/>
  <c r="H13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4"/>
  <c r="F14"/>
  <c r="E14"/>
  <c r="D14"/>
  <c r="C14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N18"/>
  <c r="N17"/>
  <c r="N16"/>
  <c r="N15"/>
  <c r="H13" i="130"/>
  <c r="G13"/>
  <c r="D13"/>
  <c r="C13"/>
  <c r="J42"/>
  <c r="I42"/>
  <c r="E42"/>
  <c r="I41"/>
  <c r="E41"/>
  <c r="I39"/>
  <c r="E39"/>
  <c r="I37"/>
  <c r="E37"/>
  <c r="I35"/>
  <c r="E35"/>
  <c r="I33"/>
  <c r="E33"/>
  <c r="H31"/>
  <c r="G31"/>
  <c r="D31"/>
  <c r="C31"/>
  <c r="I30"/>
  <c r="E30"/>
  <c r="I29"/>
  <c r="E29"/>
  <c r="I28"/>
  <c r="E28"/>
  <c r="I27"/>
  <c r="E27"/>
  <c r="I26"/>
  <c r="E26"/>
  <c r="I25"/>
  <c r="E25"/>
  <c r="I24"/>
  <c r="E24"/>
  <c r="I22"/>
  <c r="E22"/>
  <c r="I20"/>
  <c r="E20"/>
  <c r="G19"/>
  <c r="D19"/>
  <c r="C19"/>
  <c r="I17"/>
  <c r="E17"/>
  <c r="G15"/>
  <c r="C15"/>
  <c r="C14" s="1"/>
  <c r="H13" i="129"/>
  <c r="J32" s="1"/>
  <c r="G13"/>
  <c r="D13"/>
  <c r="F40" s="1"/>
  <c r="C13"/>
  <c r="I43"/>
  <c r="E43"/>
  <c r="J42"/>
  <c r="I42"/>
  <c r="E42"/>
  <c r="I41"/>
  <c r="E41"/>
  <c r="I39"/>
  <c r="E39"/>
  <c r="I37"/>
  <c r="E37"/>
  <c r="I35"/>
  <c r="E35"/>
  <c r="E34"/>
  <c r="I33"/>
  <c r="E33"/>
  <c r="I32"/>
  <c r="E32"/>
  <c r="H31"/>
  <c r="G31"/>
  <c r="D31"/>
  <c r="C31"/>
  <c r="I30"/>
  <c r="E30"/>
  <c r="I29"/>
  <c r="E29"/>
  <c r="I28"/>
  <c r="E28"/>
  <c r="I26"/>
  <c r="E26"/>
  <c r="I25"/>
  <c r="E25"/>
  <c r="I24"/>
  <c r="E24"/>
  <c r="I23"/>
  <c r="E23"/>
  <c r="I22"/>
  <c r="E22"/>
  <c r="I20"/>
  <c r="E20"/>
  <c r="G19"/>
  <c r="D19"/>
  <c r="C19"/>
  <c r="I17"/>
  <c r="E17"/>
  <c r="H15"/>
  <c r="G15"/>
  <c r="D15"/>
  <c r="C15"/>
  <c r="H14"/>
  <c r="H13" i="128"/>
  <c r="J37" s="1"/>
  <c r="G13"/>
  <c r="D13"/>
  <c r="F37" s="1"/>
  <c r="C13"/>
  <c r="I43"/>
  <c r="E43"/>
  <c r="I42"/>
  <c r="E42"/>
  <c r="I41"/>
  <c r="E41"/>
  <c r="I39"/>
  <c r="E39"/>
  <c r="I37"/>
  <c r="E37"/>
  <c r="I35"/>
  <c r="E35"/>
  <c r="I33"/>
  <c r="E33"/>
  <c r="G31"/>
  <c r="C31"/>
  <c r="G19"/>
  <c r="C19"/>
  <c r="D19"/>
  <c r="I17"/>
  <c r="E17"/>
  <c r="G15"/>
  <c r="C15"/>
  <c r="C15" i="125"/>
  <c r="H13"/>
  <c r="G13"/>
  <c r="G44" s="1"/>
  <c r="D13"/>
  <c r="C13"/>
  <c r="E43" i="126"/>
  <c r="I30"/>
  <c r="E30"/>
  <c r="I43"/>
  <c r="I41"/>
  <c r="E41"/>
  <c r="I29"/>
  <c r="E29"/>
  <c r="I28"/>
  <c r="E28"/>
  <c r="E25"/>
  <c r="E23"/>
  <c r="E21"/>
  <c r="I18"/>
  <c r="E18"/>
  <c r="I16"/>
  <c r="E16"/>
  <c r="H15"/>
  <c r="G15"/>
  <c r="D15"/>
  <c r="C15"/>
  <c r="H14"/>
  <c r="I41" i="125"/>
  <c r="E41"/>
  <c r="I40"/>
  <c r="E40"/>
  <c r="I38"/>
  <c r="E38"/>
  <c r="I36"/>
  <c r="E36"/>
  <c r="I34"/>
  <c r="E34"/>
  <c r="I32"/>
  <c r="E32"/>
  <c r="I29"/>
  <c r="E29"/>
  <c r="I28"/>
  <c r="E28"/>
  <c r="I26"/>
  <c r="E26"/>
  <c r="I25"/>
  <c r="E25"/>
  <c r="I24"/>
  <c r="E24"/>
  <c r="I23"/>
  <c r="E23"/>
  <c r="I22"/>
  <c r="E22"/>
  <c r="I21"/>
  <c r="E21"/>
  <c r="I20"/>
  <c r="E20"/>
  <c r="I18"/>
  <c r="E18"/>
  <c r="I17"/>
  <c r="E17"/>
  <c r="I16"/>
  <c r="E16"/>
  <c r="H15"/>
  <c r="D15"/>
  <c r="D14" s="1"/>
  <c r="H13" i="124"/>
  <c r="G13"/>
  <c r="D13"/>
  <c r="C13"/>
  <c r="I25"/>
  <c r="E25"/>
  <c r="I23"/>
  <c r="E23"/>
  <c r="I21"/>
  <c r="E21"/>
  <c r="I20"/>
  <c r="E20"/>
  <c r="F18"/>
  <c r="I17"/>
  <c r="E17"/>
  <c r="H15"/>
  <c r="H14" s="1"/>
  <c r="G15"/>
  <c r="G14" s="1"/>
  <c r="D15"/>
  <c r="C15"/>
  <c r="C14" s="1"/>
  <c r="G31" i="120"/>
  <c r="I23"/>
  <c r="I39"/>
  <c r="I37"/>
  <c r="I35"/>
  <c r="I33"/>
  <c r="I32"/>
  <c r="E39"/>
  <c r="E37"/>
  <c r="E35"/>
  <c r="E33"/>
  <c r="D31"/>
  <c r="I27"/>
  <c r="I21"/>
  <c r="B18"/>
  <c r="B17"/>
  <c r="B16"/>
  <c r="E18"/>
  <c r="E17"/>
  <c r="H47" i="19"/>
  <c r="H46"/>
  <c r="G47"/>
  <c r="G46"/>
  <c r="E16" i="120"/>
  <c r="E20"/>
  <c r="E23"/>
  <c r="I25"/>
  <c r="E40"/>
  <c r="E38"/>
  <c r="E36"/>
  <c r="E34"/>
  <c r="E32"/>
  <c r="M39" i="119"/>
  <c r="I25"/>
  <c r="E25"/>
  <c r="E24"/>
  <c r="I23"/>
  <c r="E23"/>
  <c r="I22"/>
  <c r="E22"/>
  <c r="I21"/>
  <c r="E21"/>
  <c r="I20"/>
  <c r="E20"/>
  <c r="I19"/>
  <c r="E19"/>
  <c r="J20" i="131" l="1"/>
  <c r="K20"/>
  <c r="I20"/>
  <c r="K19"/>
  <c r="J19"/>
  <c r="I19"/>
  <c r="K17"/>
  <c r="J17"/>
  <c r="I17"/>
  <c r="J18"/>
  <c r="K18"/>
  <c r="I18"/>
  <c r="K16"/>
  <c r="J16"/>
  <c r="I16"/>
  <c r="J15"/>
  <c r="K15"/>
  <c r="I15"/>
  <c r="C43" i="124"/>
  <c r="G43"/>
  <c r="C43" i="130"/>
  <c r="F42" i="124"/>
  <c r="J42"/>
  <c r="H43"/>
  <c r="F41" i="130"/>
  <c r="J41"/>
  <c r="J24" i="131"/>
  <c r="K24"/>
  <c r="I24"/>
  <c r="K23"/>
  <c r="J23"/>
  <c r="I23"/>
  <c r="J22"/>
  <c r="K22"/>
  <c r="I22"/>
  <c r="K21"/>
  <c r="J21"/>
  <c r="I21"/>
  <c r="F42" i="129"/>
  <c r="J14" i="131"/>
  <c r="I14"/>
  <c r="K14"/>
  <c r="F41" i="124"/>
  <c r="F29"/>
  <c r="F28"/>
  <c r="J28"/>
  <c r="J41"/>
  <c r="J29"/>
  <c r="F40"/>
  <c r="J40"/>
  <c r="F35"/>
  <c r="F39"/>
  <c r="F34"/>
  <c r="F38"/>
  <c r="F33"/>
  <c r="F37"/>
  <c r="F32"/>
  <c r="F36"/>
  <c r="F30" i="125"/>
  <c r="D44"/>
  <c r="J30"/>
  <c r="F17" i="128"/>
  <c r="F42"/>
  <c r="I13" i="131"/>
  <c r="F41" i="129"/>
  <c r="J24" i="130"/>
  <c r="F26"/>
  <c r="J27"/>
  <c r="J40" i="128"/>
  <c r="J16"/>
  <c r="J42"/>
  <c r="F39"/>
  <c r="J23" i="130"/>
  <c r="J29"/>
  <c r="N13" i="131"/>
  <c r="C28" s="1"/>
  <c r="J41" i="128"/>
  <c r="J40" i="129"/>
  <c r="F25" i="130"/>
  <c r="J17" i="128"/>
  <c r="J38"/>
  <c r="J26" i="130"/>
  <c r="F41" i="128"/>
  <c r="J41" i="129"/>
  <c r="F24" i="130"/>
  <c r="J25"/>
  <c r="F27"/>
  <c r="F29"/>
  <c r="J43" i="125"/>
  <c r="J38" i="130"/>
  <c r="F42" i="125"/>
  <c r="F43"/>
  <c r="J27"/>
  <c r="J42"/>
  <c r="J18" i="130"/>
  <c r="F19"/>
  <c r="J19"/>
  <c r="F20"/>
  <c r="J20"/>
  <c r="J34"/>
  <c r="F35"/>
  <c r="J35"/>
  <c r="J39"/>
  <c r="F39" i="125"/>
  <c r="F27"/>
  <c r="F27" i="124"/>
  <c r="J27"/>
  <c r="F16"/>
  <c r="D14"/>
  <c r="D43" s="1"/>
  <c r="F39" i="130"/>
  <c r="F35" i="125"/>
  <c r="F33"/>
  <c r="J16" i="129"/>
  <c r="F17"/>
  <c r="J17"/>
  <c r="J16" i="130"/>
  <c r="F17"/>
  <c r="J17"/>
  <c r="J21"/>
  <c r="F22"/>
  <c r="J22"/>
  <c r="J32"/>
  <c r="F33"/>
  <c r="J33"/>
  <c r="J36"/>
  <c r="F37"/>
  <c r="J37"/>
  <c r="J40"/>
  <c r="H25" i="131"/>
  <c r="D14" i="129"/>
  <c r="F14" s="1"/>
  <c r="J25" i="128"/>
  <c r="J41" i="125"/>
  <c r="H14"/>
  <c r="H44" s="1"/>
  <c r="E19"/>
  <c r="I19"/>
  <c r="C14" i="129"/>
  <c r="C44" s="1"/>
  <c r="D14" i="126"/>
  <c r="F37" i="125"/>
  <c r="E13"/>
  <c r="F16"/>
  <c r="J16"/>
  <c r="F18"/>
  <c r="J18"/>
  <c r="F19"/>
  <c r="J19"/>
  <c r="F21"/>
  <c r="J21"/>
  <c r="F23"/>
  <c r="J23"/>
  <c r="F25"/>
  <c r="J25"/>
  <c r="F29"/>
  <c r="J29"/>
  <c r="F32"/>
  <c r="J32"/>
  <c r="J33"/>
  <c r="F34"/>
  <c r="J34"/>
  <c r="J35"/>
  <c r="F36"/>
  <c r="J36"/>
  <c r="J37"/>
  <c r="F38"/>
  <c r="J38"/>
  <c r="J39"/>
  <c r="F40"/>
  <c r="J40"/>
  <c r="F41"/>
  <c r="J21" i="128"/>
  <c r="J29"/>
  <c r="F33"/>
  <c r="J34"/>
  <c r="F16" i="130"/>
  <c r="F18"/>
  <c r="F21"/>
  <c r="F23"/>
  <c r="F32"/>
  <c r="F34"/>
  <c r="F36"/>
  <c r="F38"/>
  <c r="F40"/>
  <c r="G14" i="129"/>
  <c r="G44" s="1"/>
  <c r="J18" i="128"/>
  <c r="J19"/>
  <c r="J23"/>
  <c r="J27"/>
  <c r="J32"/>
  <c r="J33"/>
  <c r="J35"/>
  <c r="F16"/>
  <c r="F18"/>
  <c r="F19"/>
  <c r="F21"/>
  <c r="F23"/>
  <c r="F25"/>
  <c r="F27"/>
  <c r="F35"/>
  <c r="F29"/>
  <c r="F32"/>
  <c r="F34"/>
  <c r="J36"/>
  <c r="I13" i="125"/>
  <c r="I13" i="129"/>
  <c r="J21"/>
  <c r="F23"/>
  <c r="J23"/>
  <c r="F25"/>
  <c r="J25"/>
  <c r="F26"/>
  <c r="J26"/>
  <c r="F36"/>
  <c r="E13" i="128"/>
  <c r="F15" i="129"/>
  <c r="J15"/>
  <c r="J18"/>
  <c r="F19"/>
  <c r="J19"/>
  <c r="F20"/>
  <c r="J20"/>
  <c r="J27"/>
  <c r="F29"/>
  <c r="J29"/>
  <c r="F32"/>
  <c r="F34"/>
  <c r="F38"/>
  <c r="E15"/>
  <c r="I15"/>
  <c r="H44"/>
  <c r="G14" i="126"/>
  <c r="I14" s="1"/>
  <c r="C14"/>
  <c r="I14" i="124"/>
  <c r="I15"/>
  <c r="I19"/>
  <c r="F40" i="128"/>
  <c r="J39"/>
  <c r="I13"/>
  <c r="E13" i="129"/>
  <c r="F16"/>
  <c r="F18"/>
  <c r="F21"/>
  <c r="F27"/>
  <c r="J34"/>
  <c r="F35"/>
  <c r="J35"/>
  <c r="J36"/>
  <c r="F37"/>
  <c r="J37"/>
  <c r="J38"/>
  <c r="F39"/>
  <c r="J39"/>
  <c r="G14" i="130"/>
  <c r="G43" s="1"/>
  <c r="I31" i="129"/>
  <c r="E31"/>
  <c r="I24" i="119"/>
  <c r="F36" i="128"/>
  <c r="F38"/>
  <c r="H25" i="134"/>
  <c r="J13" i="135"/>
  <c r="N13"/>
  <c r="N14"/>
  <c r="N15"/>
  <c r="N16"/>
  <c r="N17"/>
  <c r="N18"/>
  <c r="N19"/>
  <c r="C25"/>
  <c r="E25"/>
  <c r="G25"/>
  <c r="I13"/>
  <c r="K13"/>
  <c r="D25"/>
  <c r="F25"/>
  <c r="K13" i="134"/>
  <c r="J13"/>
  <c r="N13"/>
  <c r="H28" s="1"/>
  <c r="C25"/>
  <c r="E25"/>
  <c r="G25"/>
  <c r="G28"/>
  <c r="I13"/>
  <c r="D25"/>
  <c r="F25"/>
  <c r="J13" i="133"/>
  <c r="N13"/>
  <c r="N14"/>
  <c r="N15"/>
  <c r="N16"/>
  <c r="N17"/>
  <c r="N18"/>
  <c r="N19"/>
  <c r="C25"/>
  <c r="E25"/>
  <c r="G25"/>
  <c r="I13"/>
  <c r="K13"/>
  <c r="D25"/>
  <c r="F25"/>
  <c r="E14" i="132"/>
  <c r="I14"/>
  <c r="E15"/>
  <c r="I15"/>
  <c r="E16"/>
  <c r="I16"/>
  <c r="E17"/>
  <c r="I17"/>
  <c r="E18"/>
  <c r="I18"/>
  <c r="E20"/>
  <c r="I20"/>
  <c r="E22"/>
  <c r="I22"/>
  <c r="E24"/>
  <c r="I24"/>
  <c r="E26"/>
  <c r="I26"/>
  <c r="E28"/>
  <c r="I28"/>
  <c r="E30"/>
  <c r="I30"/>
  <c r="E32"/>
  <c r="I32"/>
  <c r="D28" i="131"/>
  <c r="F28"/>
  <c r="K13"/>
  <c r="D25"/>
  <c r="F25"/>
  <c r="J13"/>
  <c r="C25"/>
  <c r="E25"/>
  <c r="G25"/>
  <c r="E31" i="130"/>
  <c r="I31"/>
  <c r="F42"/>
  <c r="F13"/>
  <c r="J13"/>
  <c r="D15"/>
  <c r="H15"/>
  <c r="E16"/>
  <c r="I16"/>
  <c r="E18"/>
  <c r="I18"/>
  <c r="E19"/>
  <c r="I19"/>
  <c r="E21"/>
  <c r="I21"/>
  <c r="E23"/>
  <c r="I23"/>
  <c r="F28"/>
  <c r="J28"/>
  <c r="F30"/>
  <c r="J30"/>
  <c r="F31"/>
  <c r="J31"/>
  <c r="E32"/>
  <c r="I32"/>
  <c r="E34"/>
  <c r="I34"/>
  <c r="E36"/>
  <c r="I36"/>
  <c r="E38"/>
  <c r="I38"/>
  <c r="E40"/>
  <c r="I40"/>
  <c r="E13"/>
  <c r="I13"/>
  <c r="E14" i="129"/>
  <c r="F13"/>
  <c r="J13"/>
  <c r="J14"/>
  <c r="E16"/>
  <c r="I16"/>
  <c r="E18"/>
  <c r="I18"/>
  <c r="E19"/>
  <c r="I19"/>
  <c r="E21"/>
  <c r="I21"/>
  <c r="F22"/>
  <c r="J22"/>
  <c r="F24"/>
  <c r="J24"/>
  <c r="E27"/>
  <c r="I27"/>
  <c r="F28"/>
  <c r="J28"/>
  <c r="F30"/>
  <c r="J30"/>
  <c r="F31"/>
  <c r="J31"/>
  <c r="F33"/>
  <c r="J33"/>
  <c r="I34"/>
  <c r="E36"/>
  <c r="I36"/>
  <c r="E38"/>
  <c r="I38"/>
  <c r="E40"/>
  <c r="I40"/>
  <c r="F43"/>
  <c r="J43"/>
  <c r="G14" i="128"/>
  <c r="G44" s="1"/>
  <c r="C14"/>
  <c r="C44" s="1"/>
  <c r="D15"/>
  <c r="E15" s="1"/>
  <c r="H15"/>
  <c r="I15" s="1"/>
  <c r="E20"/>
  <c r="I20"/>
  <c r="E21"/>
  <c r="I21"/>
  <c r="E22"/>
  <c r="I22"/>
  <c r="E23"/>
  <c r="I23"/>
  <c r="E24"/>
  <c r="I24"/>
  <c r="E25"/>
  <c r="I25"/>
  <c r="E26"/>
  <c r="I26"/>
  <c r="E27"/>
  <c r="I27"/>
  <c r="E28"/>
  <c r="I28"/>
  <c r="E29"/>
  <c r="I29"/>
  <c r="E30"/>
  <c r="I30"/>
  <c r="D31"/>
  <c r="E31" s="1"/>
  <c r="H31"/>
  <c r="I31" s="1"/>
  <c r="E19" i="126"/>
  <c r="I19"/>
  <c r="I21"/>
  <c r="I23"/>
  <c r="I25"/>
  <c r="F13" i="128"/>
  <c r="J13"/>
  <c r="E16"/>
  <c r="I16"/>
  <c r="E18"/>
  <c r="I18"/>
  <c r="E19"/>
  <c r="I19"/>
  <c r="F20"/>
  <c r="J20"/>
  <c r="F22"/>
  <c r="J22"/>
  <c r="F24"/>
  <c r="J24"/>
  <c r="F26"/>
  <c r="J26"/>
  <c r="F28"/>
  <c r="J28"/>
  <c r="F30"/>
  <c r="J30"/>
  <c r="E32"/>
  <c r="I32"/>
  <c r="E34"/>
  <c r="I34"/>
  <c r="E36"/>
  <c r="I36"/>
  <c r="E38"/>
  <c r="I38"/>
  <c r="E40"/>
  <c r="I40"/>
  <c r="F43"/>
  <c r="J43"/>
  <c r="I31" i="125"/>
  <c r="E31"/>
  <c r="C14"/>
  <c r="C44" s="1"/>
  <c r="I14"/>
  <c r="I15"/>
  <c r="E15"/>
  <c r="E14"/>
  <c r="E27" i="126"/>
  <c r="I27"/>
  <c r="I31"/>
  <c r="E31"/>
  <c r="E15"/>
  <c r="I15"/>
  <c r="E17"/>
  <c r="I17"/>
  <c r="E20"/>
  <c r="I20"/>
  <c r="E22"/>
  <c r="I22"/>
  <c r="E24"/>
  <c r="I24"/>
  <c r="E26"/>
  <c r="I26"/>
  <c r="E32"/>
  <c r="I32"/>
  <c r="E34"/>
  <c r="I34"/>
  <c r="E36"/>
  <c r="I36"/>
  <c r="E38"/>
  <c r="I38"/>
  <c r="E40"/>
  <c r="I40"/>
  <c r="E33"/>
  <c r="I33"/>
  <c r="E35"/>
  <c r="I35"/>
  <c r="E37"/>
  <c r="I37"/>
  <c r="E39"/>
  <c r="I39"/>
  <c r="F13" i="125"/>
  <c r="J13"/>
  <c r="F14"/>
  <c r="J14"/>
  <c r="F15"/>
  <c r="J15"/>
  <c r="F17"/>
  <c r="J17"/>
  <c r="F20"/>
  <c r="J20"/>
  <c r="F22"/>
  <c r="J22"/>
  <c r="F24"/>
  <c r="J24"/>
  <c r="F26"/>
  <c r="J26"/>
  <c r="F28"/>
  <c r="J28"/>
  <c r="F31"/>
  <c r="J31"/>
  <c r="E33"/>
  <c r="I33"/>
  <c r="E35"/>
  <c r="I35"/>
  <c r="E37"/>
  <c r="I37"/>
  <c r="E39"/>
  <c r="I39"/>
  <c r="E19" i="124"/>
  <c r="E30"/>
  <c r="I30"/>
  <c r="F31"/>
  <c r="J31"/>
  <c r="J33"/>
  <c r="J35"/>
  <c r="J37"/>
  <c r="J39"/>
  <c r="I13"/>
  <c r="F14"/>
  <c r="J14"/>
  <c r="F15"/>
  <c r="J15"/>
  <c r="J16"/>
  <c r="F17"/>
  <c r="J17"/>
  <c r="J18"/>
  <c r="F19"/>
  <c r="J19"/>
  <c r="F20"/>
  <c r="J20"/>
  <c r="F21"/>
  <c r="J21"/>
  <c r="E22"/>
  <c r="I22"/>
  <c r="F23"/>
  <c r="J23"/>
  <c r="E24"/>
  <c r="I24"/>
  <c r="F25"/>
  <c r="J25"/>
  <c r="E26"/>
  <c r="I26"/>
  <c r="E31"/>
  <c r="I31"/>
  <c r="J32"/>
  <c r="I33"/>
  <c r="J34"/>
  <c r="I35"/>
  <c r="J36"/>
  <c r="I37"/>
  <c r="J38"/>
  <c r="I39"/>
  <c r="E15"/>
  <c r="F13"/>
  <c r="J13"/>
  <c r="E16"/>
  <c r="I16"/>
  <c r="E18"/>
  <c r="I18"/>
  <c r="F22"/>
  <c r="J22"/>
  <c r="F24"/>
  <c r="J24"/>
  <c r="F26"/>
  <c r="J26"/>
  <c r="F30"/>
  <c r="J30"/>
  <c r="I32"/>
  <c r="I34"/>
  <c r="I36"/>
  <c r="I38"/>
  <c r="E13"/>
  <c r="I18" i="120"/>
  <c r="E21"/>
  <c r="E22"/>
  <c r="E24"/>
  <c r="E25"/>
  <c r="E26"/>
  <c r="E27"/>
  <c r="I34"/>
  <c r="I36"/>
  <c r="I38"/>
  <c r="I40"/>
  <c r="H31"/>
  <c r="I31" s="1"/>
  <c r="E31"/>
  <c r="I34" i="119"/>
  <c r="E41" i="120"/>
  <c r="I41"/>
  <c r="E42"/>
  <c r="I42"/>
  <c r="I26"/>
  <c r="I24"/>
  <c r="I22"/>
  <c r="I17"/>
  <c r="H15"/>
  <c r="H14" s="1"/>
  <c r="C15"/>
  <c r="C14" s="1"/>
  <c r="I30"/>
  <c r="E30"/>
  <c r="I29"/>
  <c r="E29"/>
  <c r="I28"/>
  <c r="E28"/>
  <c r="I20"/>
  <c r="D19"/>
  <c r="I16"/>
  <c r="G15"/>
  <c r="G14" s="1"/>
  <c r="D15"/>
  <c r="E43"/>
  <c r="I43"/>
  <c r="E26" i="119"/>
  <c r="I26"/>
  <c r="E27"/>
  <c r="I27"/>
  <c r="E28"/>
  <c r="I28"/>
  <c r="E29"/>
  <c r="I29"/>
  <c r="E30"/>
  <c r="I30"/>
  <c r="E31"/>
  <c r="I31"/>
  <c r="E32"/>
  <c r="I32"/>
  <c r="E34"/>
  <c r="E18"/>
  <c r="I18"/>
  <c r="E38"/>
  <c r="I38"/>
  <c r="E17"/>
  <c r="I17"/>
  <c r="E33"/>
  <c r="I33"/>
  <c r="E35"/>
  <c r="I35"/>
  <c r="N19" i="102"/>
  <c r="N15"/>
  <c r="H25"/>
  <c r="C58" i="107"/>
  <c r="C57"/>
  <c r="C56"/>
  <c r="C55"/>
  <c r="C54"/>
  <c r="C53"/>
  <c r="C52"/>
  <c r="C51"/>
  <c r="N41" i="106"/>
  <c r="N40"/>
  <c r="N39"/>
  <c r="N38"/>
  <c r="N36"/>
  <c r="N35"/>
  <c r="N34"/>
  <c r="N33"/>
  <c r="N32"/>
  <c r="N24"/>
  <c r="N23"/>
  <c r="N22"/>
  <c r="N21"/>
  <c r="N20"/>
  <c r="H25"/>
  <c r="N41" i="105"/>
  <c r="N40"/>
  <c r="N39"/>
  <c r="N38"/>
  <c r="N36"/>
  <c r="N35"/>
  <c r="N34"/>
  <c r="N33"/>
  <c r="N32"/>
  <c r="N24"/>
  <c r="N23"/>
  <c r="N22"/>
  <c r="N21"/>
  <c r="N20"/>
  <c r="H25"/>
  <c r="N41" i="104"/>
  <c r="N40"/>
  <c r="N39"/>
  <c r="N38"/>
  <c r="N36"/>
  <c r="N35"/>
  <c r="N34"/>
  <c r="N33"/>
  <c r="N32"/>
  <c r="N24"/>
  <c r="N23"/>
  <c r="N22"/>
  <c r="N21"/>
  <c r="N20"/>
  <c r="H25"/>
  <c r="N17" i="102"/>
  <c r="N13"/>
  <c r="N41" i="103"/>
  <c r="N40"/>
  <c r="N39"/>
  <c r="N38"/>
  <c r="N36"/>
  <c r="N35"/>
  <c r="N34"/>
  <c r="N33"/>
  <c r="N32"/>
  <c r="N24"/>
  <c r="N23"/>
  <c r="N22"/>
  <c r="N21"/>
  <c r="N20"/>
  <c r="H25"/>
  <c r="N41" i="102"/>
  <c r="N40"/>
  <c r="N39"/>
  <c r="N38"/>
  <c r="N36"/>
  <c r="N35"/>
  <c r="N34"/>
  <c r="N33"/>
  <c r="N32"/>
  <c r="N24"/>
  <c r="N23"/>
  <c r="N22"/>
  <c r="N21"/>
  <c r="N20"/>
  <c r="N18"/>
  <c r="N16"/>
  <c r="N14"/>
  <c r="E26" i="67"/>
  <c r="E25"/>
  <c r="E24"/>
  <c r="E22"/>
  <c r="E21"/>
  <c r="E20"/>
  <c r="E19"/>
  <c r="E18"/>
  <c r="E23"/>
  <c r="E27"/>
  <c r="N41" i="87"/>
  <c r="N40"/>
  <c r="N39"/>
  <c r="N38"/>
  <c r="N36"/>
  <c r="N35"/>
  <c r="N34"/>
  <c r="N33"/>
  <c r="N32"/>
  <c r="N24"/>
  <c r="N23"/>
  <c r="N22"/>
  <c r="N21"/>
  <c r="N20"/>
  <c r="H25"/>
  <c r="N41" i="86"/>
  <c r="N40"/>
  <c r="N39"/>
  <c r="N38"/>
  <c r="N36"/>
  <c r="N35"/>
  <c r="N34"/>
  <c r="N33"/>
  <c r="N32"/>
  <c r="N24"/>
  <c r="N23"/>
  <c r="N22"/>
  <c r="N21"/>
  <c r="N20"/>
  <c r="H25"/>
  <c r="N41" i="85"/>
  <c r="N40"/>
  <c r="N39"/>
  <c r="N38"/>
  <c r="N36"/>
  <c r="N35"/>
  <c r="N34"/>
  <c r="N33"/>
  <c r="N32"/>
  <c r="N24"/>
  <c r="N23"/>
  <c r="N22"/>
  <c r="N21"/>
  <c r="N20"/>
  <c r="H25"/>
  <c r="N41" i="84"/>
  <c r="N40"/>
  <c r="N39"/>
  <c r="N38"/>
  <c r="N36"/>
  <c r="N35"/>
  <c r="N34"/>
  <c r="N33"/>
  <c r="N32"/>
  <c r="N24"/>
  <c r="N23"/>
  <c r="N22"/>
  <c r="N21"/>
  <c r="N20"/>
  <c r="H25"/>
  <c r="N41" i="83"/>
  <c r="N40"/>
  <c r="N39"/>
  <c r="N38"/>
  <c r="N36"/>
  <c r="N35"/>
  <c r="N34"/>
  <c r="N33"/>
  <c r="N32"/>
  <c r="N24"/>
  <c r="N23"/>
  <c r="N22"/>
  <c r="N21"/>
  <c r="N20"/>
  <c r="H25"/>
  <c r="N41" i="82"/>
  <c r="N40"/>
  <c r="N39"/>
  <c r="N38"/>
  <c r="N36"/>
  <c r="N35"/>
  <c r="N34"/>
  <c r="N33"/>
  <c r="N32"/>
  <c r="N24"/>
  <c r="N23"/>
  <c r="N22"/>
  <c r="N21"/>
  <c r="N20"/>
  <c r="H25"/>
  <c r="G25" i="81"/>
  <c r="N41"/>
  <c r="N40"/>
  <c r="N39"/>
  <c r="N38"/>
  <c r="N36"/>
  <c r="N35"/>
  <c r="N34"/>
  <c r="N33"/>
  <c r="N32"/>
  <c r="N24"/>
  <c r="N23"/>
  <c r="N22"/>
  <c r="N21"/>
  <c r="N20"/>
  <c r="N19"/>
  <c r="K13"/>
  <c r="E14" i="126" l="1"/>
  <c r="J31" i="128"/>
  <c r="H28" i="131"/>
  <c r="F43" i="124"/>
  <c r="E14"/>
  <c r="D44" i="129"/>
  <c r="F44" s="1"/>
  <c r="G28" i="131"/>
  <c r="G29" s="1"/>
  <c r="E28"/>
  <c r="E29" s="1"/>
  <c r="F26" i="133"/>
  <c r="E26" i="131"/>
  <c r="I14" i="129"/>
  <c r="G26" i="131"/>
  <c r="F26" i="135"/>
  <c r="F31" i="128"/>
  <c r="F26" i="134"/>
  <c r="D29" i="131"/>
  <c r="D26" i="135"/>
  <c r="E26"/>
  <c r="H28"/>
  <c r="F28"/>
  <c r="G28"/>
  <c r="C28"/>
  <c r="G26"/>
  <c r="D28"/>
  <c r="D29" s="1"/>
  <c r="E28"/>
  <c r="D26" i="134"/>
  <c r="E26"/>
  <c r="C28"/>
  <c r="D28"/>
  <c r="H29"/>
  <c r="J28"/>
  <c r="I28"/>
  <c r="G26"/>
  <c r="E28"/>
  <c r="F28"/>
  <c r="D26" i="133"/>
  <c r="E26"/>
  <c r="H28"/>
  <c r="F28"/>
  <c r="G28"/>
  <c r="C28"/>
  <c r="G26"/>
  <c r="D28"/>
  <c r="D29" s="1"/>
  <c r="E28"/>
  <c r="F26" i="131"/>
  <c r="D26"/>
  <c r="E15" i="130"/>
  <c r="F15"/>
  <c r="D14"/>
  <c r="D43" s="1"/>
  <c r="I15"/>
  <c r="J15"/>
  <c r="H14"/>
  <c r="H43" s="1"/>
  <c r="I44" i="129"/>
  <c r="J44"/>
  <c r="F15" i="128"/>
  <c r="D14"/>
  <c r="D44" s="1"/>
  <c r="J15"/>
  <c r="H14"/>
  <c r="H44" s="1"/>
  <c r="I44" i="125"/>
  <c r="J44"/>
  <c r="E44"/>
  <c r="F44"/>
  <c r="I43" i="124"/>
  <c r="J43"/>
  <c r="I19" i="120"/>
  <c r="E19"/>
  <c r="D14"/>
  <c r="I15"/>
  <c r="E15" i="107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47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E15" i="120"/>
  <c r="E14"/>
  <c r="I14"/>
  <c r="E14" i="107"/>
  <c r="I14"/>
  <c r="D59"/>
  <c r="J13" i="106"/>
  <c r="N13"/>
  <c r="N14"/>
  <c r="N15"/>
  <c r="N16"/>
  <c r="N17"/>
  <c r="N18"/>
  <c r="N19"/>
  <c r="C25"/>
  <c r="E25"/>
  <c r="G25"/>
  <c r="I13"/>
  <c r="K13"/>
  <c r="D25"/>
  <c r="F25"/>
  <c r="J13" i="105"/>
  <c r="N13"/>
  <c r="N14"/>
  <c r="N15"/>
  <c r="N16"/>
  <c r="N17"/>
  <c r="N18"/>
  <c r="N19"/>
  <c r="C25"/>
  <c r="E25"/>
  <c r="G25"/>
  <c r="I13"/>
  <c r="K13"/>
  <c r="D25"/>
  <c r="F25"/>
  <c r="J13" i="104"/>
  <c r="N13"/>
  <c r="N14"/>
  <c r="N15"/>
  <c r="N16"/>
  <c r="N17"/>
  <c r="N18"/>
  <c r="N19"/>
  <c r="C25"/>
  <c r="E25"/>
  <c r="G25"/>
  <c r="I13"/>
  <c r="K13"/>
  <c r="D25"/>
  <c r="F25"/>
  <c r="H28" i="102"/>
  <c r="E28"/>
  <c r="G28"/>
  <c r="C28"/>
  <c r="J13" i="103"/>
  <c r="N13"/>
  <c r="N14"/>
  <c r="N15"/>
  <c r="N16"/>
  <c r="N17"/>
  <c r="N18"/>
  <c r="N19"/>
  <c r="C25"/>
  <c r="E25"/>
  <c r="G25"/>
  <c r="I13"/>
  <c r="K13"/>
  <c r="D25"/>
  <c r="F25"/>
  <c r="D28" i="102"/>
  <c r="F28"/>
  <c r="E29"/>
  <c r="I13"/>
  <c r="K13"/>
  <c r="D25"/>
  <c r="F25"/>
  <c r="J13"/>
  <c r="C25"/>
  <c r="E25"/>
  <c r="G25"/>
  <c r="I27" i="67"/>
  <c r="I26"/>
  <c r="I25"/>
  <c r="I24"/>
  <c r="I23"/>
  <c r="I22"/>
  <c r="I21"/>
  <c r="I20"/>
  <c r="I19"/>
  <c r="I18"/>
  <c r="J13" i="87"/>
  <c r="N13"/>
  <c r="N14"/>
  <c r="N15"/>
  <c r="N16"/>
  <c r="N17"/>
  <c r="N18"/>
  <c r="N19"/>
  <c r="C25"/>
  <c r="E25"/>
  <c r="G25"/>
  <c r="I13"/>
  <c r="K13"/>
  <c r="D25"/>
  <c r="F25"/>
  <c r="J13" i="86"/>
  <c r="N13"/>
  <c r="N14"/>
  <c r="N15"/>
  <c r="N16"/>
  <c r="N17"/>
  <c r="N18"/>
  <c r="N19"/>
  <c r="C25"/>
  <c r="E25"/>
  <c r="G25"/>
  <c r="I13"/>
  <c r="K13"/>
  <c r="D25"/>
  <c r="F25"/>
  <c r="J13" i="85"/>
  <c r="N13"/>
  <c r="N14"/>
  <c r="N15"/>
  <c r="N16"/>
  <c r="N17"/>
  <c r="N18"/>
  <c r="N19"/>
  <c r="C25"/>
  <c r="E25"/>
  <c r="G25"/>
  <c r="I13"/>
  <c r="K13"/>
  <c r="D25"/>
  <c r="F25"/>
  <c r="J13" i="84"/>
  <c r="N13"/>
  <c r="N14"/>
  <c r="N15"/>
  <c r="N16"/>
  <c r="N17"/>
  <c r="N18"/>
  <c r="N19"/>
  <c r="C25"/>
  <c r="E25"/>
  <c r="G25"/>
  <c r="I13"/>
  <c r="K13"/>
  <c r="D25"/>
  <c r="F25"/>
  <c r="J13" i="83"/>
  <c r="N13"/>
  <c r="N14"/>
  <c r="N15"/>
  <c r="N16"/>
  <c r="N17"/>
  <c r="N18"/>
  <c r="N19"/>
  <c r="C25"/>
  <c r="E25"/>
  <c r="G25"/>
  <c r="I13"/>
  <c r="K13"/>
  <c r="D25"/>
  <c r="F25"/>
  <c r="J13" i="82"/>
  <c r="N13"/>
  <c r="N14"/>
  <c r="N15"/>
  <c r="N16"/>
  <c r="N17"/>
  <c r="N18"/>
  <c r="N19"/>
  <c r="C25"/>
  <c r="E25"/>
  <c r="G25"/>
  <c r="I13"/>
  <c r="K13"/>
  <c r="D25"/>
  <c r="F25"/>
  <c r="J13" i="81"/>
  <c r="N13"/>
  <c r="N14"/>
  <c r="N15"/>
  <c r="N16"/>
  <c r="N17"/>
  <c r="N18"/>
  <c r="D25"/>
  <c r="F25"/>
  <c r="I13"/>
  <c r="C25"/>
  <c r="E25"/>
  <c r="I27" i="80"/>
  <c r="I28"/>
  <c r="E21"/>
  <c r="E24"/>
  <c r="E28"/>
  <c r="I26"/>
  <c r="I25"/>
  <c r="I22"/>
  <c r="E43" i="124" l="1"/>
  <c r="D26" i="87"/>
  <c r="E26" i="81"/>
  <c r="I28" i="131"/>
  <c r="E44" i="129"/>
  <c r="F26" i="103"/>
  <c r="K28" i="131"/>
  <c r="J28"/>
  <c r="F29"/>
  <c r="J28" i="102"/>
  <c r="C44" i="147"/>
  <c r="F40"/>
  <c r="F39"/>
  <c r="F38"/>
  <c r="F37"/>
  <c r="F36"/>
  <c r="F35"/>
  <c r="F34"/>
  <c r="F33"/>
  <c r="F32"/>
  <c r="F31"/>
  <c r="F30"/>
  <c r="F29"/>
  <c r="F28"/>
  <c r="F27"/>
  <c r="F26"/>
  <c r="F25"/>
  <c r="F17"/>
  <c r="F16"/>
  <c r="F18"/>
  <c r="F20"/>
  <c r="F22"/>
  <c r="F24"/>
  <c r="F41"/>
  <c r="F43"/>
  <c r="F19"/>
  <c r="F21"/>
  <c r="F42"/>
  <c r="F13"/>
  <c r="F23"/>
  <c r="F15"/>
  <c r="F14"/>
  <c r="D44"/>
  <c r="H29" i="131"/>
  <c r="G29" i="135"/>
  <c r="E26" i="102"/>
  <c r="G26"/>
  <c r="F26" i="84"/>
  <c r="F26" i="86"/>
  <c r="F26" i="105"/>
  <c r="G29" i="133"/>
  <c r="E29" i="134"/>
  <c r="F29" i="102"/>
  <c r="F26" i="87"/>
  <c r="G29" i="102"/>
  <c r="H29"/>
  <c r="D26" i="83"/>
  <c r="I24" i="80"/>
  <c r="I23"/>
  <c r="E29" i="135"/>
  <c r="F29"/>
  <c r="H29"/>
  <c r="J28"/>
  <c r="K28"/>
  <c r="I28"/>
  <c r="D29" i="134"/>
  <c r="F29"/>
  <c r="K28"/>
  <c r="G29"/>
  <c r="E29" i="133"/>
  <c r="F29"/>
  <c r="H29"/>
  <c r="J28"/>
  <c r="K28"/>
  <c r="I28"/>
  <c r="E26" i="80"/>
  <c r="E27"/>
  <c r="E25"/>
  <c r="E23"/>
  <c r="E14" i="130"/>
  <c r="F14"/>
  <c r="I14"/>
  <c r="J14"/>
  <c r="I14" i="128"/>
  <c r="J14"/>
  <c r="E14"/>
  <c r="F14"/>
  <c r="D26" i="82"/>
  <c r="F26" i="83"/>
  <c r="D28" i="84"/>
  <c r="F26" i="85"/>
  <c r="I28" i="102"/>
  <c r="F26" i="104"/>
  <c r="D26" i="105"/>
  <c r="F26" i="106"/>
  <c r="D28" i="85"/>
  <c r="D26" i="103"/>
  <c r="D29" i="102"/>
  <c r="D26" i="106"/>
  <c r="E26"/>
  <c r="H28"/>
  <c r="F28"/>
  <c r="G28"/>
  <c r="C44" i="151" s="1"/>
  <c r="C28" i="106"/>
  <c r="G26"/>
  <c r="D28"/>
  <c r="E28"/>
  <c r="E26" i="105"/>
  <c r="H28"/>
  <c r="F28"/>
  <c r="G28"/>
  <c r="C28"/>
  <c r="G26"/>
  <c r="D28"/>
  <c r="E28"/>
  <c r="D26" i="104"/>
  <c r="E26"/>
  <c r="H28"/>
  <c r="F28"/>
  <c r="G28"/>
  <c r="C44" i="149" s="1"/>
  <c r="C28" i="104"/>
  <c r="G26"/>
  <c r="D28"/>
  <c r="E28"/>
  <c r="E26" i="103"/>
  <c r="H28"/>
  <c r="F28"/>
  <c r="G28"/>
  <c r="C44" i="148" s="1"/>
  <c r="C28" i="103"/>
  <c r="G26"/>
  <c r="D28"/>
  <c r="E28"/>
  <c r="F26" i="102"/>
  <c r="K28"/>
  <c r="D26"/>
  <c r="D28" i="87"/>
  <c r="E26"/>
  <c r="H28"/>
  <c r="F28"/>
  <c r="G28"/>
  <c r="C28"/>
  <c r="G26"/>
  <c r="E28"/>
  <c r="D26" i="86"/>
  <c r="E26"/>
  <c r="H28"/>
  <c r="F28"/>
  <c r="G28"/>
  <c r="C28"/>
  <c r="G26"/>
  <c r="D28"/>
  <c r="E28"/>
  <c r="E28" i="85"/>
  <c r="D26"/>
  <c r="E26"/>
  <c r="H28"/>
  <c r="F28"/>
  <c r="F29" s="1"/>
  <c r="G28"/>
  <c r="C28"/>
  <c r="G26"/>
  <c r="E28" i="84"/>
  <c r="D26"/>
  <c r="E26"/>
  <c r="H28"/>
  <c r="F28"/>
  <c r="F29" s="1"/>
  <c r="G28"/>
  <c r="C28"/>
  <c r="G26"/>
  <c r="D28" i="83"/>
  <c r="E26"/>
  <c r="H28"/>
  <c r="F28"/>
  <c r="G28"/>
  <c r="C28"/>
  <c r="G26"/>
  <c r="E28"/>
  <c r="E28" i="81"/>
  <c r="F28"/>
  <c r="F26"/>
  <c r="E26" i="82"/>
  <c r="H28"/>
  <c r="F28"/>
  <c r="G28"/>
  <c r="C28"/>
  <c r="F26"/>
  <c r="G26"/>
  <c r="D28"/>
  <c r="E28"/>
  <c r="G26" i="81"/>
  <c r="D26"/>
  <c r="H28"/>
  <c r="G28"/>
  <c r="C28"/>
  <c r="D28"/>
  <c r="E14" i="80"/>
  <c r="I14"/>
  <c r="E15"/>
  <c r="I15"/>
  <c r="E16"/>
  <c r="I16"/>
  <c r="E17"/>
  <c r="I17"/>
  <c r="E18"/>
  <c r="I18"/>
  <c r="E19"/>
  <c r="I19"/>
  <c r="E20"/>
  <c r="I20"/>
  <c r="I21"/>
  <c r="E22"/>
  <c r="E20" i="19"/>
  <c r="E19"/>
  <c r="E18"/>
  <c r="E17"/>
  <c r="E16"/>
  <c r="H13" i="126"/>
  <c r="G13"/>
  <c r="G44" s="1"/>
  <c r="D13"/>
  <c r="C13"/>
  <c r="C44" s="1"/>
  <c r="H13" i="19"/>
  <c r="D13"/>
  <c r="C13"/>
  <c r="D29" i="84" l="1"/>
  <c r="D29" i="85"/>
  <c r="E29"/>
  <c r="E29" i="84"/>
  <c r="E29" i="87"/>
  <c r="E13" i="147"/>
  <c r="D13" i="146"/>
  <c r="D34" s="1"/>
  <c r="D13" i="145"/>
  <c r="C13" i="146"/>
  <c r="C34" s="1"/>
  <c r="C13" i="145"/>
  <c r="C44" s="1"/>
  <c r="H13" i="146"/>
  <c r="H34" s="1"/>
  <c r="H13" i="145"/>
  <c r="F20" i="151"/>
  <c r="F18"/>
  <c r="F16"/>
  <c r="F14"/>
  <c r="F43"/>
  <c r="F42"/>
  <c r="F40"/>
  <c r="F39"/>
  <c r="F38"/>
  <c r="F36"/>
  <c r="F34"/>
  <c r="F32"/>
  <c r="F30"/>
  <c r="F29"/>
  <c r="F28"/>
  <c r="F26"/>
  <c r="F24"/>
  <c r="F22"/>
  <c r="F21"/>
  <c r="F15"/>
  <c r="E13"/>
  <c r="F19"/>
  <c r="D44"/>
  <c r="F13"/>
  <c r="F17"/>
  <c r="F23"/>
  <c r="F25"/>
  <c r="F27"/>
  <c r="F31"/>
  <c r="F33"/>
  <c r="F35"/>
  <c r="F37"/>
  <c r="F41"/>
  <c r="F22" i="150"/>
  <c r="F20"/>
  <c r="F18"/>
  <c r="F16"/>
  <c r="F42"/>
  <c r="F40"/>
  <c r="F38"/>
  <c r="F37"/>
  <c r="F36"/>
  <c r="F34"/>
  <c r="F33"/>
  <c r="F32"/>
  <c r="F30"/>
  <c r="F28"/>
  <c r="F27"/>
  <c r="F26"/>
  <c r="F24"/>
  <c r="F14"/>
  <c r="E13"/>
  <c r="F13"/>
  <c r="F15"/>
  <c r="F25"/>
  <c r="F29"/>
  <c r="F31"/>
  <c r="F35"/>
  <c r="F39"/>
  <c r="F41"/>
  <c r="F43"/>
  <c r="D44"/>
  <c r="F17"/>
  <c r="F19"/>
  <c r="F21"/>
  <c r="F23"/>
  <c r="F43" i="149"/>
  <c r="F42"/>
  <c r="F40"/>
  <c r="F38"/>
  <c r="F37"/>
  <c r="F35"/>
  <c r="F34"/>
  <c r="F33"/>
  <c r="F30"/>
  <c r="F28"/>
  <c r="F26"/>
  <c r="F24"/>
  <c r="F22"/>
  <c r="F20"/>
  <c r="F16"/>
  <c r="F14"/>
  <c r="F36"/>
  <c r="F32"/>
  <c r="F29"/>
  <c r="F27"/>
  <c r="F25"/>
  <c r="F23"/>
  <c r="F21"/>
  <c r="F19"/>
  <c r="F18"/>
  <c r="F15"/>
  <c r="E13"/>
  <c r="F13"/>
  <c r="F17"/>
  <c r="F31"/>
  <c r="F39"/>
  <c r="F41"/>
  <c r="D44"/>
  <c r="F42" i="148"/>
  <c r="F38"/>
  <c r="F34"/>
  <c r="F30"/>
  <c r="F27"/>
  <c r="F25"/>
  <c r="F19"/>
  <c r="F16"/>
  <c r="F14"/>
  <c r="F26"/>
  <c r="F24"/>
  <c r="F22"/>
  <c r="F20"/>
  <c r="F18"/>
  <c r="F15"/>
  <c r="E13"/>
  <c r="F40"/>
  <c r="F36"/>
  <c r="F32"/>
  <c r="F28"/>
  <c r="F23"/>
  <c r="F21"/>
  <c r="F17"/>
  <c r="F29"/>
  <c r="F31"/>
  <c r="F33"/>
  <c r="F35"/>
  <c r="F37"/>
  <c r="F39"/>
  <c r="F41"/>
  <c r="F43"/>
  <c r="D44"/>
  <c r="F13"/>
  <c r="F44" i="147"/>
  <c r="E44"/>
  <c r="G29" i="103"/>
  <c r="F29" i="81"/>
  <c r="G29"/>
  <c r="D44" i="126"/>
  <c r="E44" s="1"/>
  <c r="F42"/>
  <c r="H44"/>
  <c r="J44" s="1"/>
  <c r="J42"/>
  <c r="E29" i="83"/>
  <c r="D29"/>
  <c r="C13" i="132"/>
  <c r="C34" s="1"/>
  <c r="C23" i="19"/>
  <c r="H13" i="132"/>
  <c r="J17" s="1"/>
  <c r="H23" i="19"/>
  <c r="J31" s="1"/>
  <c r="D13" i="132"/>
  <c r="F17" s="1"/>
  <c r="D23" i="19"/>
  <c r="F31" s="1"/>
  <c r="D29" i="106"/>
  <c r="D29" i="105"/>
  <c r="D29" i="103"/>
  <c r="D29" i="86"/>
  <c r="J41" i="126"/>
  <c r="J39"/>
  <c r="J37"/>
  <c r="J35"/>
  <c r="J33"/>
  <c r="J28"/>
  <c r="J16"/>
  <c r="J40"/>
  <c r="J38"/>
  <c r="J36"/>
  <c r="J34"/>
  <c r="J32"/>
  <c r="J18"/>
  <c r="J21"/>
  <c r="J19"/>
  <c r="J30"/>
  <c r="J13"/>
  <c r="J15"/>
  <c r="J20"/>
  <c r="J24"/>
  <c r="J29"/>
  <c r="J43"/>
  <c r="J25"/>
  <c r="J23"/>
  <c r="J27"/>
  <c r="J14"/>
  <c r="J17"/>
  <c r="J22"/>
  <c r="J26"/>
  <c r="J31"/>
  <c r="I13"/>
  <c r="F40"/>
  <c r="F39"/>
  <c r="F38"/>
  <c r="F37"/>
  <c r="F36"/>
  <c r="F35"/>
  <c r="F34"/>
  <c r="F33"/>
  <c r="F32"/>
  <c r="F18"/>
  <c r="F16"/>
  <c r="F28"/>
  <c r="F25"/>
  <c r="F23"/>
  <c r="F21"/>
  <c r="F13"/>
  <c r="F14"/>
  <c r="F15"/>
  <c r="F17"/>
  <c r="F20"/>
  <c r="F22"/>
  <c r="F24"/>
  <c r="F26"/>
  <c r="F29"/>
  <c r="F31"/>
  <c r="F43"/>
  <c r="F19"/>
  <c r="F30"/>
  <c r="F27"/>
  <c r="F41"/>
  <c r="E13"/>
  <c r="J32" i="132"/>
  <c r="F28"/>
  <c r="E43" i="130"/>
  <c r="F43"/>
  <c r="I43"/>
  <c r="J43"/>
  <c r="J44" i="128"/>
  <c r="I44"/>
  <c r="F44"/>
  <c r="E44"/>
  <c r="H13" i="120"/>
  <c r="H44" s="1"/>
  <c r="H13" i="119"/>
  <c r="D29" i="87"/>
  <c r="E29" i="105"/>
  <c r="G29"/>
  <c r="C13" i="120"/>
  <c r="C44" s="1"/>
  <c r="C13" i="119"/>
  <c r="D13" i="120"/>
  <c r="D44" s="1"/>
  <c r="D13" i="119"/>
  <c r="C13" i="67"/>
  <c r="C14" s="1"/>
  <c r="C14" i="119" s="1"/>
  <c r="C13" i="80"/>
  <c r="H13" i="107"/>
  <c r="J48" s="1"/>
  <c r="H13" i="67"/>
  <c r="J43" s="1"/>
  <c r="H13" i="80"/>
  <c r="I15" i="19"/>
  <c r="D13" i="107"/>
  <c r="F48" s="1"/>
  <c r="D13" i="67"/>
  <c r="F43" s="1"/>
  <c r="D13" i="80"/>
  <c r="D49" s="1"/>
  <c r="G13" i="19"/>
  <c r="E29" i="103"/>
  <c r="E29" i="106"/>
  <c r="G29"/>
  <c r="F29"/>
  <c r="H29"/>
  <c r="J28"/>
  <c r="K28"/>
  <c r="I28"/>
  <c r="F29" i="105"/>
  <c r="H29"/>
  <c r="J28"/>
  <c r="K28"/>
  <c r="I28"/>
  <c r="E29" i="104"/>
  <c r="G29"/>
  <c r="D29"/>
  <c r="F29"/>
  <c r="H29"/>
  <c r="J28"/>
  <c r="K28"/>
  <c r="I28"/>
  <c r="F29" i="103"/>
  <c r="H29"/>
  <c r="J28"/>
  <c r="K28"/>
  <c r="I28"/>
  <c r="H29" i="87"/>
  <c r="J28"/>
  <c r="K28"/>
  <c r="I28"/>
  <c r="G29"/>
  <c r="F29"/>
  <c r="E29" i="86"/>
  <c r="G29"/>
  <c r="F29"/>
  <c r="H29"/>
  <c r="J28"/>
  <c r="K28"/>
  <c r="I28"/>
  <c r="H29" i="85"/>
  <c r="J28"/>
  <c r="K28"/>
  <c r="I28"/>
  <c r="G29"/>
  <c r="H29" i="84"/>
  <c r="J28"/>
  <c r="K28"/>
  <c r="I28"/>
  <c r="G29"/>
  <c r="H29" i="83"/>
  <c r="J28"/>
  <c r="K28"/>
  <c r="I28"/>
  <c r="G29"/>
  <c r="F29"/>
  <c r="D29" i="82"/>
  <c r="G29"/>
  <c r="E29"/>
  <c r="F29"/>
  <c r="H29"/>
  <c r="J28"/>
  <c r="K28"/>
  <c r="I28"/>
  <c r="D29" i="81"/>
  <c r="H29"/>
  <c r="J28"/>
  <c r="K28"/>
  <c r="I28"/>
  <c r="E29"/>
  <c r="J14" i="19"/>
  <c r="F15"/>
  <c r="E15"/>
  <c r="J15"/>
  <c r="I17"/>
  <c r="I19"/>
  <c r="E21"/>
  <c r="I20"/>
  <c r="I18"/>
  <c r="I16"/>
  <c r="D47"/>
  <c r="D46"/>
  <c r="D48"/>
  <c r="F30" i="80" l="1"/>
  <c r="F31"/>
  <c r="J29"/>
  <c r="J31"/>
  <c r="J30"/>
  <c r="J37" i="119"/>
  <c r="J36"/>
  <c r="F37"/>
  <c r="F36"/>
  <c r="J32" i="146"/>
  <c r="J33"/>
  <c r="F32"/>
  <c r="F33"/>
  <c r="F42" i="67"/>
  <c r="J42"/>
  <c r="F29" i="80"/>
  <c r="F39" i="67"/>
  <c r="F40"/>
  <c r="F41"/>
  <c r="J40"/>
  <c r="J41"/>
  <c r="J44"/>
  <c r="J39"/>
  <c r="F14" i="132"/>
  <c r="F26"/>
  <c r="F15"/>
  <c r="J29"/>
  <c r="F37" i="67"/>
  <c r="F38"/>
  <c r="J37"/>
  <c r="J38"/>
  <c r="J14" i="132"/>
  <c r="F33"/>
  <c r="F35" i="67"/>
  <c r="F34"/>
  <c r="F36"/>
  <c r="J35"/>
  <c r="J34"/>
  <c r="J36"/>
  <c r="F32"/>
  <c r="F33"/>
  <c r="J32"/>
  <c r="J33"/>
  <c r="F28"/>
  <c r="F30"/>
  <c r="F29"/>
  <c r="F31"/>
  <c r="J28"/>
  <c r="J30"/>
  <c r="J29"/>
  <c r="J31"/>
  <c r="F30" i="132"/>
  <c r="F18"/>
  <c r="F16"/>
  <c r="F22"/>
  <c r="F25"/>
  <c r="F19"/>
  <c r="F21"/>
  <c r="F24"/>
  <c r="F31"/>
  <c r="F44" i="126"/>
  <c r="J22" i="146"/>
  <c r="J24"/>
  <c r="J28"/>
  <c r="J14"/>
  <c r="J15"/>
  <c r="J20"/>
  <c r="J29"/>
  <c r="J13"/>
  <c r="J23"/>
  <c r="J27"/>
  <c r="J31"/>
  <c r="J16"/>
  <c r="J18"/>
  <c r="J30"/>
  <c r="J17"/>
  <c r="J26"/>
  <c r="J19"/>
  <c r="J21"/>
  <c r="J25"/>
  <c r="F30"/>
  <c r="F16"/>
  <c r="F18"/>
  <c r="E13"/>
  <c r="F26"/>
  <c r="F27"/>
  <c r="F19"/>
  <c r="F21"/>
  <c r="F25"/>
  <c r="F14"/>
  <c r="F22"/>
  <c r="F24"/>
  <c r="F28"/>
  <c r="F15"/>
  <c r="F20"/>
  <c r="F13"/>
  <c r="F17"/>
  <c r="F23"/>
  <c r="F29"/>
  <c r="F31"/>
  <c r="G13"/>
  <c r="G34" s="1"/>
  <c r="G13" i="145"/>
  <c r="G44" s="1"/>
  <c r="J16"/>
  <c r="J18"/>
  <c r="J21"/>
  <c r="J23"/>
  <c r="J25"/>
  <c r="J27"/>
  <c r="J29"/>
  <c r="J32"/>
  <c r="J34"/>
  <c r="J36"/>
  <c r="J38"/>
  <c r="J40"/>
  <c r="J42"/>
  <c r="H44"/>
  <c r="J13"/>
  <c r="J15"/>
  <c r="J17"/>
  <c r="J20"/>
  <c r="J22"/>
  <c r="J24"/>
  <c r="J26"/>
  <c r="J28"/>
  <c r="J30"/>
  <c r="J31"/>
  <c r="J33"/>
  <c r="J35"/>
  <c r="J37"/>
  <c r="J39"/>
  <c r="J41"/>
  <c r="J43"/>
  <c r="J19"/>
  <c r="J14"/>
  <c r="E13"/>
  <c r="F13"/>
  <c r="F15"/>
  <c r="F17"/>
  <c r="F20"/>
  <c r="F22"/>
  <c r="F24"/>
  <c r="F26"/>
  <c r="F28"/>
  <c r="F30"/>
  <c r="F31"/>
  <c r="F33"/>
  <c r="F35"/>
  <c r="F37"/>
  <c r="F39"/>
  <c r="F41"/>
  <c r="F43"/>
  <c r="D44"/>
  <c r="F16"/>
  <c r="F18"/>
  <c r="F21"/>
  <c r="F23"/>
  <c r="F25"/>
  <c r="F27"/>
  <c r="F29"/>
  <c r="F32"/>
  <c r="F34"/>
  <c r="F36"/>
  <c r="F38"/>
  <c r="F40"/>
  <c r="F42"/>
  <c r="F19"/>
  <c r="F14"/>
  <c r="F44" i="151"/>
  <c r="E44"/>
  <c r="F44" i="150"/>
  <c r="E44"/>
  <c r="F44" i="149"/>
  <c r="E44"/>
  <c r="F44" i="148"/>
  <c r="E44"/>
  <c r="F23" i="132"/>
  <c r="F32"/>
  <c r="F20"/>
  <c r="F27"/>
  <c r="F13"/>
  <c r="I44" i="126"/>
  <c r="D34" i="132"/>
  <c r="F34" s="1"/>
  <c r="F29"/>
  <c r="E13"/>
  <c r="J30"/>
  <c r="J27"/>
  <c r="J24"/>
  <c r="J21"/>
  <c r="J31"/>
  <c r="J28"/>
  <c r="J25"/>
  <c r="J18"/>
  <c r="J15"/>
  <c r="J33"/>
  <c r="J13"/>
  <c r="J22"/>
  <c r="J19"/>
  <c r="J16"/>
  <c r="H34"/>
  <c r="J34" s="1"/>
  <c r="J26"/>
  <c r="J23"/>
  <c r="J20"/>
  <c r="G13"/>
  <c r="G34" s="1"/>
  <c r="G23" i="19"/>
  <c r="I23" s="1"/>
  <c r="D14" i="67"/>
  <c r="D14" i="119" s="1"/>
  <c r="H14" i="67"/>
  <c r="H14" i="119" s="1"/>
  <c r="J25" i="19"/>
  <c r="J26"/>
  <c r="F13" i="120"/>
  <c r="G13"/>
  <c r="G44" s="1"/>
  <c r="G13" i="119"/>
  <c r="F19" i="120"/>
  <c r="F27"/>
  <c r="F26"/>
  <c r="F25"/>
  <c r="F24"/>
  <c r="F23"/>
  <c r="F22"/>
  <c r="F21"/>
  <c r="F20"/>
  <c r="F18"/>
  <c r="F17"/>
  <c r="F16"/>
  <c r="E13"/>
  <c r="F31"/>
  <c r="F32"/>
  <c r="F33"/>
  <c r="F34"/>
  <c r="F35"/>
  <c r="F36"/>
  <c r="F37"/>
  <c r="F38"/>
  <c r="F39"/>
  <c r="F40"/>
  <c r="F41"/>
  <c r="F42"/>
  <c r="F15"/>
  <c r="F30"/>
  <c r="F29"/>
  <c r="F28"/>
  <c r="F43"/>
  <c r="F14"/>
  <c r="J19"/>
  <c r="J30"/>
  <c r="J29"/>
  <c r="J28"/>
  <c r="J43"/>
  <c r="J15"/>
  <c r="J27"/>
  <c r="J26"/>
  <c r="J25"/>
  <c r="J24"/>
  <c r="J23"/>
  <c r="J22"/>
  <c r="J21"/>
  <c r="J20"/>
  <c r="J18"/>
  <c r="J17"/>
  <c r="J16"/>
  <c r="J31"/>
  <c r="J32"/>
  <c r="J33"/>
  <c r="J34"/>
  <c r="J35"/>
  <c r="J36"/>
  <c r="J37"/>
  <c r="J38"/>
  <c r="J39"/>
  <c r="J40"/>
  <c r="J41"/>
  <c r="J42"/>
  <c r="J13"/>
  <c r="J14"/>
  <c r="F18" i="119"/>
  <c r="F19"/>
  <c r="F21"/>
  <c r="F23"/>
  <c r="F25"/>
  <c r="F27"/>
  <c r="F29"/>
  <c r="F31"/>
  <c r="F33"/>
  <c r="F35"/>
  <c r="F38"/>
  <c r="E13"/>
  <c r="F20"/>
  <c r="F22"/>
  <c r="F24"/>
  <c r="F26"/>
  <c r="F28"/>
  <c r="F30"/>
  <c r="F32"/>
  <c r="F34"/>
  <c r="F13"/>
  <c r="F17"/>
  <c r="J13"/>
  <c r="J17"/>
  <c r="J18"/>
  <c r="J34"/>
  <c r="J19"/>
  <c r="J21"/>
  <c r="J23"/>
  <c r="J25"/>
  <c r="J27"/>
  <c r="J29"/>
  <c r="J31"/>
  <c r="J33"/>
  <c r="J35"/>
  <c r="I13"/>
  <c r="J20"/>
  <c r="J22"/>
  <c r="J24"/>
  <c r="J26"/>
  <c r="J28"/>
  <c r="J30"/>
  <c r="J32"/>
  <c r="J38"/>
  <c r="G13" i="107"/>
  <c r="I13" s="1"/>
  <c r="G13" i="67"/>
  <c r="G14" s="1"/>
  <c r="G14" i="119" s="1"/>
  <c r="G13" i="80"/>
  <c r="I13" s="1"/>
  <c r="F21"/>
  <c r="F23"/>
  <c r="F24"/>
  <c r="F25"/>
  <c r="F26"/>
  <c r="F27"/>
  <c r="F13"/>
  <c r="F14"/>
  <c r="F15"/>
  <c r="F16"/>
  <c r="F17"/>
  <c r="F18"/>
  <c r="F19"/>
  <c r="F20"/>
  <c r="F28"/>
  <c r="E13"/>
  <c r="F22"/>
  <c r="F13" i="107"/>
  <c r="F14"/>
  <c r="D51" s="1"/>
  <c r="F16"/>
  <c r="D53" s="1"/>
  <c r="F18"/>
  <c r="D55" s="1"/>
  <c r="F20"/>
  <c r="F22"/>
  <c r="F24"/>
  <c r="F26"/>
  <c r="F28"/>
  <c r="F30"/>
  <c r="F32"/>
  <c r="F34"/>
  <c r="F36"/>
  <c r="F38"/>
  <c r="F40"/>
  <c r="D57" s="1"/>
  <c r="F42"/>
  <c r="F44"/>
  <c r="F46"/>
  <c r="E13"/>
  <c r="F15"/>
  <c r="D52" s="1"/>
  <c r="F17"/>
  <c r="D54" s="1"/>
  <c r="F19"/>
  <c r="F21"/>
  <c r="F23"/>
  <c r="F25"/>
  <c r="F27"/>
  <c r="F29"/>
  <c r="F31"/>
  <c r="F33"/>
  <c r="F35"/>
  <c r="F37"/>
  <c r="F39"/>
  <c r="D56" s="1"/>
  <c r="F41"/>
  <c r="D58" s="1"/>
  <c r="F43"/>
  <c r="F45"/>
  <c r="F47"/>
  <c r="J21" i="80"/>
  <c r="J22"/>
  <c r="J23"/>
  <c r="J24"/>
  <c r="J25"/>
  <c r="J26"/>
  <c r="J27"/>
  <c r="J13"/>
  <c r="J14"/>
  <c r="J15"/>
  <c r="J16"/>
  <c r="J17"/>
  <c r="J18"/>
  <c r="J19"/>
  <c r="J20"/>
  <c r="J28"/>
  <c r="J13" i="107"/>
  <c r="J15"/>
  <c r="J17"/>
  <c r="J19"/>
  <c r="J21"/>
  <c r="J23"/>
  <c r="J25"/>
  <c r="J27"/>
  <c r="J29"/>
  <c r="J31"/>
  <c r="J33"/>
  <c r="J35"/>
  <c r="J37"/>
  <c r="J39"/>
  <c r="J41"/>
  <c r="J43"/>
  <c r="J45"/>
  <c r="J47"/>
  <c r="J14"/>
  <c r="J16"/>
  <c r="J18"/>
  <c r="J20"/>
  <c r="J22"/>
  <c r="J24"/>
  <c r="J26"/>
  <c r="J28"/>
  <c r="J30"/>
  <c r="J32"/>
  <c r="J34"/>
  <c r="J36"/>
  <c r="J38"/>
  <c r="J40"/>
  <c r="J42"/>
  <c r="J44"/>
  <c r="J46"/>
  <c r="F44" i="67"/>
  <c r="F19"/>
  <c r="F21"/>
  <c r="F23"/>
  <c r="F25"/>
  <c r="F27"/>
  <c r="F18"/>
  <c r="F20"/>
  <c r="F22"/>
  <c r="F24"/>
  <c r="F26"/>
  <c r="J18"/>
  <c r="J26"/>
  <c r="J24"/>
  <c r="J22"/>
  <c r="J20"/>
  <c r="J27"/>
  <c r="J25"/>
  <c r="J23"/>
  <c r="J21"/>
  <c r="J19"/>
  <c r="J23" i="19"/>
  <c r="J30"/>
  <c r="J29"/>
  <c r="J28"/>
  <c r="J27"/>
  <c r="J24"/>
  <c r="F25"/>
  <c r="F26"/>
  <c r="F27"/>
  <c r="F28"/>
  <c r="F29"/>
  <c r="F30"/>
  <c r="F24"/>
  <c r="F23"/>
  <c r="M32"/>
  <c r="I30"/>
  <c r="E30"/>
  <c r="I29"/>
  <c r="E29"/>
  <c r="I28"/>
  <c r="E28"/>
  <c r="I27"/>
  <c r="E27"/>
  <c r="I26"/>
  <c r="E26"/>
  <c r="I25"/>
  <c r="E25"/>
  <c r="I24"/>
  <c r="E24"/>
  <c r="E23"/>
  <c r="I34" i="132" l="1"/>
  <c r="I13" i="146"/>
  <c r="F44" i="145"/>
  <c r="E44"/>
  <c r="J44"/>
  <c r="I44"/>
  <c r="F34" i="146"/>
  <c r="E34"/>
  <c r="J34"/>
  <c r="I34"/>
  <c r="I13" i="145"/>
  <c r="E34" i="132"/>
  <c r="I13"/>
  <c r="I13" i="120"/>
  <c r="J14" i="119"/>
  <c r="I14"/>
  <c r="E44" i="120"/>
  <c r="F44"/>
  <c r="F14" i="119"/>
  <c r="E14"/>
  <c r="I44" i="120"/>
  <c r="J44"/>
  <c r="I21" i="19"/>
  <c r="F25" i="64"/>
  <c r="E25"/>
  <c r="D25"/>
  <c r="C25"/>
  <c r="M46" i="67" l="1"/>
  <c r="I44"/>
  <c r="E44"/>
  <c r="J17"/>
  <c r="I17"/>
  <c r="F17"/>
  <c r="E17"/>
  <c r="J14"/>
  <c r="I14"/>
  <c r="F14"/>
  <c r="E14"/>
  <c r="J13"/>
  <c r="I13"/>
  <c r="F13"/>
  <c r="E13"/>
  <c r="J13" i="19" l="1"/>
  <c r="F14"/>
  <c r="F13"/>
  <c r="E14"/>
  <c r="I14"/>
  <c r="E13"/>
  <c r="I13"/>
  <c r="I13" i="64" l="1"/>
  <c r="N41"/>
  <c r="N40"/>
  <c r="N39"/>
  <c r="N38"/>
  <c r="N36"/>
  <c r="N35"/>
  <c r="N34"/>
  <c r="N33"/>
  <c r="N32"/>
  <c r="N24"/>
  <c r="N22"/>
  <c r="N20"/>
  <c r="N18"/>
  <c r="N16"/>
  <c r="N14"/>
  <c r="N13" l="1"/>
  <c r="N15"/>
  <c r="N17"/>
  <c r="N19"/>
  <c r="N21"/>
  <c r="N23"/>
  <c r="J13"/>
  <c r="E26"/>
  <c r="G26"/>
  <c r="G28" l="1"/>
  <c r="D28"/>
  <c r="E28"/>
  <c r="F28"/>
  <c r="H28"/>
  <c r="C28"/>
  <c r="F26"/>
  <c r="D26"/>
  <c r="G29" l="1"/>
  <c r="D29"/>
  <c r="E29"/>
  <c r="J28"/>
  <c r="K28"/>
  <c r="F29"/>
  <c r="I28"/>
  <c r="H29"/>
  <c r="M22" i="19" l="1"/>
</calcChain>
</file>

<file path=xl/sharedStrings.xml><?xml version="1.0" encoding="utf-8"?>
<sst xmlns="http://schemas.openxmlformats.org/spreadsheetml/2006/main" count="911" uniqueCount="144">
  <si>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</si>
  <si>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</si>
  <si>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</si>
  <si>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</si>
  <si>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</si>
  <si>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</si>
  <si>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</si>
  <si>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</si>
  <si>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</si>
  <si>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</si>
  <si>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</si>
  <si>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</si>
  <si>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</si>
  <si>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</si>
  <si>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</si>
  <si>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</si>
  <si>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</si>
  <si>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</si>
  <si>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</si>
  <si>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</si>
  <si>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</si>
  <si>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</si>
  <si>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</si>
  <si>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</si>
  <si>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</si>
  <si>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</si>
  <si>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</si>
  <si>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</si>
  <si>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</si>
  <si>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</si>
  <si>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</si>
  <si>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</si>
  <si>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</si>
  <si>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</si>
  <si>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</si>
  <si>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</si>
  <si>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</si>
  <si>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</si>
  <si>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</si>
  <si>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</si>
  <si>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</si>
  <si>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</si>
  <si>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</si>
  <si>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</si>
  <si>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</si>
  <si>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</si>
  <si>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</si>
  <si>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</si>
  <si>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</si>
  <si>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</si>
  <si>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</si>
  <si>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</si>
  <si>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</si>
  <si>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</si>
  <si>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</si>
  <si>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</si>
  <si>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</si>
  <si>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</si>
  <si>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</si>
  <si>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</si>
  <si>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</si>
  <si>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</si>
  <si>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</si>
  <si>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</si>
  <si>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</si>
  <si>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</si>
  <si>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</si>
  <si>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</si>
  <si>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</si>
  <si>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</si>
  <si>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</si>
  <si>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</si>
  <si>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</si>
  <si>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</si>
  <si>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</si>
  <si>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</si>
  <si>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</si>
  <si>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</si>
  <si>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</si>
  <si>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</si>
  <si>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</si>
  <si>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</si>
  <si>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</si>
  <si>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</si>
  <si>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</si>
  <si>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</si>
  <si>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</si>
  <si>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</si>
  <si>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</si>
  <si>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</si>
  <si>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</si>
  <si>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</si>
  <si>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</si>
  <si>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</si>
  <si>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</si>
  <si>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</si>
  <si>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</si>
  <si>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</si>
  <si>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</si>
  <si>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</si>
  <si>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</si>
  <si>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</si>
  <si>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</si>
  <si>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</si>
  <si>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</si>
  <si>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</si>
  <si>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</si>
  <si>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</si>
  <si>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</si>
  <si>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</si>
  <si>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</si>
  <si>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</si>
  <si>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</si>
  <si>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</si>
  <si>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</si>
  <si>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</si>
  <si>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</si>
  <si>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</si>
  <si>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</si>
  <si>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</si>
  <si>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</si>
  <si>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</si>
  <si>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</si>
  <si>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</si>
  <si>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</si>
  <si>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</si>
  <si>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</si>
  <si>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% del total '13</t>
  </si>
  <si>
    <t xml:space="preserve"> '13 como % de 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</si>
  <si>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</si>
  <si>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</si>
  <si>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</si>
  <si>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</si>
  <si>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</si>
  <si>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</si>
  <si>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</si>
  <si>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Año corrido a agosto</t>
  </si>
  <si>
    <t>Agosto</t>
  </si>
  <si>
    <t>Fuente: The Economist. Edición impresa 02 de noviembre de 2013.</t>
  </si>
  <si>
    <t>Agosto de 2013: Zona Euro y Japón.</t>
  </si>
  <si>
    <t>Septiembre de 2013: Brasil.</t>
  </si>
  <si>
    <t>Segundo trimestre de 2013: Argentina, Canadá, Chile, Colombia, Estados Unidos, Gran Bretaña, México, Perú y Venezuela.</t>
  </si>
  <si>
    <t>Tercer trimestre de 2013: China.</t>
  </si>
  <si>
    <t>Sin información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</si>
</sst>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6" borderId="0" xfId="1" applyFont="1" applyFill="1"/>
    <xf numFmtId="3" fontId="2" fillId="6" borderId="0" xfId="1" applyNumberFormat="1" applyFont="1" applyFill="1"/>
    <xf numFmtId="0" fontId="23" fillId="6" borderId="0" xfId="1" applyFont="1" applyFill="1"/>
    <xf numFmtId="3" fontId="23" fillId="6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63" Type="http://schemas.openxmlformats.org/officeDocument/2006/relationships/externalLink" Target="externalLinks/externalLink14.xml"/><Relationship Id="rId68" Type="http://schemas.openxmlformats.org/officeDocument/2006/relationships/externalLink" Target="externalLinks/externalLink19.xml"/><Relationship Id="rId76" Type="http://schemas.openxmlformats.org/officeDocument/2006/relationships/externalLink" Target="externalLinks/externalLink27.xml"/><Relationship Id="rId84" Type="http://schemas.openxmlformats.org/officeDocument/2006/relationships/externalLink" Target="externalLinks/externalLink35.xml"/><Relationship Id="rId89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22.xml"/><Relationship Id="rId9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externalLink" Target="externalLinks/externalLink9.xml"/><Relationship Id="rId66" Type="http://schemas.openxmlformats.org/officeDocument/2006/relationships/externalLink" Target="externalLinks/externalLink17.xml"/><Relationship Id="rId74" Type="http://schemas.openxmlformats.org/officeDocument/2006/relationships/externalLink" Target="externalLinks/externalLink25.xml"/><Relationship Id="rId79" Type="http://schemas.openxmlformats.org/officeDocument/2006/relationships/externalLink" Target="externalLinks/externalLink30.xml"/><Relationship Id="rId87" Type="http://schemas.openxmlformats.org/officeDocument/2006/relationships/externalLink" Target="externalLinks/externalLink38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2.xml"/><Relationship Id="rId82" Type="http://schemas.openxmlformats.org/officeDocument/2006/relationships/externalLink" Target="externalLinks/externalLink33.xml"/><Relationship Id="rId90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7.xml"/><Relationship Id="rId64" Type="http://schemas.openxmlformats.org/officeDocument/2006/relationships/externalLink" Target="externalLinks/externalLink15.xml"/><Relationship Id="rId69" Type="http://schemas.openxmlformats.org/officeDocument/2006/relationships/externalLink" Target="externalLinks/externalLink20.xml"/><Relationship Id="rId77" Type="http://schemas.openxmlformats.org/officeDocument/2006/relationships/externalLink" Target="externalLinks/externalLink2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72" Type="http://schemas.openxmlformats.org/officeDocument/2006/relationships/externalLink" Target="externalLinks/externalLink23.xml"/><Relationship Id="rId80" Type="http://schemas.openxmlformats.org/officeDocument/2006/relationships/externalLink" Target="externalLinks/externalLink31.xml"/><Relationship Id="rId85" Type="http://schemas.openxmlformats.org/officeDocument/2006/relationships/externalLink" Target="externalLinks/externalLink36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0.xml"/><Relationship Id="rId67" Type="http://schemas.openxmlformats.org/officeDocument/2006/relationships/externalLink" Target="externalLinks/externalLink1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62" Type="http://schemas.openxmlformats.org/officeDocument/2006/relationships/externalLink" Target="externalLinks/externalLink13.xml"/><Relationship Id="rId70" Type="http://schemas.openxmlformats.org/officeDocument/2006/relationships/externalLink" Target="externalLinks/externalLink21.xml"/><Relationship Id="rId75" Type="http://schemas.openxmlformats.org/officeDocument/2006/relationships/externalLink" Target="externalLinks/externalLink26.xml"/><Relationship Id="rId83" Type="http://schemas.openxmlformats.org/officeDocument/2006/relationships/externalLink" Target="externalLinks/externalLink34.xml"/><Relationship Id="rId88" Type="http://schemas.openxmlformats.org/officeDocument/2006/relationships/externalLink" Target="externalLinks/externalLink39.xml"/><Relationship Id="rId9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8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60" Type="http://schemas.openxmlformats.org/officeDocument/2006/relationships/externalLink" Target="externalLinks/externalLink11.xml"/><Relationship Id="rId65" Type="http://schemas.openxmlformats.org/officeDocument/2006/relationships/externalLink" Target="externalLinks/externalLink16.xml"/><Relationship Id="rId73" Type="http://schemas.openxmlformats.org/officeDocument/2006/relationships/externalLink" Target="externalLinks/externalLink24.xml"/><Relationship Id="rId78" Type="http://schemas.openxmlformats.org/officeDocument/2006/relationships/externalLink" Target="externalLinks/externalLink29.xml"/><Relationship Id="rId81" Type="http://schemas.openxmlformats.org/officeDocument/2006/relationships/externalLink" Target="externalLinks/externalLink32.xml"/><Relationship Id="rId86" Type="http://schemas.openxmlformats.org/officeDocument/2006/relationships/externalLink" Target="externalLinks/externalLink3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40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679.22808282999654</c:v>
                </c:pt>
                <c:pt idx="1">
                  <c:v>1430.8850032799985</c:v>
                </c:pt>
                <c:pt idx="2">
                  <c:v>63.007943549999808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501"/>
          <c:w val="0.904091034673322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97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7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161.96889111999994</c:v>
                </c:pt>
                <c:pt idx="1">
                  <c:v>2011.1550335400091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156"/>
          <c:w val="0.904091034673322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645"/>
          <c:w val="0.89869278438906486"/>
          <c:h val="0.4195382583546580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7363743325187803"/>
                  <c:y val="7.2413826500469791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05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963.50003900000002</c:v>
                </c:pt>
                <c:pt idx="1">
                  <c:v>472.34150799999998</c:v>
                </c:pt>
                <c:pt idx="2">
                  <c:v>275.33180499999997</c:v>
                </c:pt>
                <c:pt idx="3">
                  <c:v>461.9505726600089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[23]XX!$D$21:$D$69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[23]XX!$E$21:$E$69</c:f>
              <c:numCache>
                <c:formatCode>General</c:formatCode>
                <c:ptCount val="49"/>
                <c:pt idx="0">
                  <c:v>268.85121094583354</c:v>
                </c:pt>
                <c:pt idx="1">
                  <c:v>267.38152982583352</c:v>
                </c:pt>
                <c:pt idx="2">
                  <c:v>251.57076055833343</c:v>
                </c:pt>
                <c:pt idx="3">
                  <c:v>246.73716237750025</c:v>
                </c:pt>
                <c:pt idx="4">
                  <c:v>240.44964620166692</c:v>
                </c:pt>
                <c:pt idx="5">
                  <c:v>234.5159568525003</c:v>
                </c:pt>
                <c:pt idx="6">
                  <c:v>230.72841675833357</c:v>
                </c:pt>
                <c:pt idx="7">
                  <c:v>232.76664986500023</c:v>
                </c:pt>
                <c:pt idx="8">
                  <c:v>233.00075532583367</c:v>
                </c:pt>
                <c:pt idx="9">
                  <c:v>240.2700685458336</c:v>
                </c:pt>
                <c:pt idx="10">
                  <c:v>238.68893599583353</c:v>
                </c:pt>
                <c:pt idx="11">
                  <c:v>236.08008996250024</c:v>
                </c:pt>
                <c:pt idx="12">
                  <c:v>237.29215059583353</c:v>
                </c:pt>
                <c:pt idx="13">
                  <c:v>238.81907428833358</c:v>
                </c:pt>
                <c:pt idx="14">
                  <c:v>241.49182755833351</c:v>
                </c:pt>
                <c:pt idx="15">
                  <c:v>242.25884603333353</c:v>
                </c:pt>
                <c:pt idx="16">
                  <c:v>245.42027006916689</c:v>
                </c:pt>
                <c:pt idx="17">
                  <c:v>250.1724220583335</c:v>
                </c:pt>
                <c:pt idx="18">
                  <c:v>253.73118966499999</c:v>
                </c:pt>
                <c:pt idx="19">
                  <c:v>261.22621411833319</c:v>
                </c:pt>
                <c:pt idx="20">
                  <c:v>270.68971929583302</c:v>
                </c:pt>
                <c:pt idx="21">
                  <c:v>263.19216695166637</c:v>
                </c:pt>
                <c:pt idx="22">
                  <c:v>268.46598892499975</c:v>
                </c:pt>
                <c:pt idx="23">
                  <c:v>275.93532965749972</c:v>
                </c:pt>
                <c:pt idx="24">
                  <c:v>284.22095771999972</c:v>
                </c:pt>
                <c:pt idx="25">
                  <c:v>283.28526768333302</c:v>
                </c:pt>
                <c:pt idx="26">
                  <c:v>284.37371235583299</c:v>
                </c:pt>
                <c:pt idx="27">
                  <c:v>293.33765963749937</c:v>
                </c:pt>
                <c:pt idx="28">
                  <c:v>311.85928456249934</c:v>
                </c:pt>
                <c:pt idx="29">
                  <c:v>314.26227524333268</c:v>
                </c:pt>
                <c:pt idx="30">
                  <c:v>316.48109851499947</c:v>
                </c:pt>
                <c:pt idx="31">
                  <c:v>311.14731446416607</c:v>
                </c:pt>
                <c:pt idx="32">
                  <c:v>302.01194986333292</c:v>
                </c:pt>
                <c:pt idx="33">
                  <c:v>305.45655923999954</c:v>
                </c:pt>
                <c:pt idx="34">
                  <c:v>301.80321552166612</c:v>
                </c:pt>
                <c:pt idx="35">
                  <c:v>304.7159434908329</c:v>
                </c:pt>
                <c:pt idx="36">
                  <c:v>300.54610211999943</c:v>
                </c:pt>
                <c:pt idx="37">
                  <c:v>300.49763794833279</c:v>
                </c:pt>
                <c:pt idx="38">
                  <c:v>300.85941029083278</c:v>
                </c:pt>
                <c:pt idx="39">
                  <c:v>294.8269647399996</c:v>
                </c:pt>
                <c:pt idx="40">
                  <c:v>274.15020892999962</c:v>
                </c:pt>
                <c:pt idx="41">
                  <c:v>269.88161055583294</c:v>
                </c:pt>
                <c:pt idx="42">
                  <c:v>266.74966571833295</c:v>
                </c:pt>
                <c:pt idx="43">
                  <c:v>262.40956851333311</c:v>
                </c:pt>
                <c:pt idx="44">
                  <c:v>270.43656281666648</c:v>
                </c:pt>
                <c:pt idx="45">
                  <c:v>271.83793058499998</c:v>
                </c:pt>
                <c:pt idx="46">
                  <c:v>274.27805436249992</c:v>
                </c:pt>
                <c:pt idx="47">
                  <c:v>270.90957411249991</c:v>
                </c:pt>
                <c:pt idx="48">
                  <c:v>268.77418958999988</c:v>
                </c:pt>
              </c:numCache>
            </c:numRef>
          </c:val>
        </c:ser>
        <c:marker val="1"/>
        <c:axId val="94126080"/>
        <c:axId val="94127616"/>
      </c:lineChart>
      <c:dateAx>
        <c:axId val="9412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2761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4127616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260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[23]tradicional!$D$21:$D$69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[23]tradicional!$E$21:$E$69</c:f>
              <c:numCache>
                <c:formatCode>General</c:formatCode>
                <c:ptCount val="49"/>
                <c:pt idx="0">
                  <c:v>27.374908371666663</c:v>
                </c:pt>
                <c:pt idx="1">
                  <c:v>26.442601859999996</c:v>
                </c:pt>
                <c:pt idx="2">
                  <c:v>24.348121965833329</c:v>
                </c:pt>
                <c:pt idx="3">
                  <c:v>23.774063100833335</c:v>
                </c:pt>
                <c:pt idx="4">
                  <c:v>23.073302143333333</c:v>
                </c:pt>
                <c:pt idx="5">
                  <c:v>21.118794651666665</c:v>
                </c:pt>
                <c:pt idx="6">
                  <c:v>19.516160041666666</c:v>
                </c:pt>
                <c:pt idx="7">
                  <c:v>18.696673272499993</c:v>
                </c:pt>
                <c:pt idx="8">
                  <c:v>17.396809649999998</c:v>
                </c:pt>
                <c:pt idx="9">
                  <c:v>18.211766261666661</c:v>
                </c:pt>
                <c:pt idx="10">
                  <c:v>18.589453489999997</c:v>
                </c:pt>
                <c:pt idx="11">
                  <c:v>18.645009659999996</c:v>
                </c:pt>
                <c:pt idx="12">
                  <c:v>19.168347471666664</c:v>
                </c:pt>
                <c:pt idx="13">
                  <c:v>19.345158044166659</c:v>
                </c:pt>
                <c:pt idx="14">
                  <c:v>20.289288043333325</c:v>
                </c:pt>
                <c:pt idx="15">
                  <c:v>21.74073899166666</c:v>
                </c:pt>
                <c:pt idx="16">
                  <c:v>22.31157501416666</c:v>
                </c:pt>
                <c:pt idx="17">
                  <c:v>23.71154666499999</c:v>
                </c:pt>
                <c:pt idx="18">
                  <c:v>24.685472419999993</c:v>
                </c:pt>
                <c:pt idx="19">
                  <c:v>27.096483214999992</c:v>
                </c:pt>
                <c:pt idx="20">
                  <c:v>33.092297354999992</c:v>
                </c:pt>
                <c:pt idx="21">
                  <c:v>33.780108429999991</c:v>
                </c:pt>
                <c:pt idx="22">
                  <c:v>33.289549450833327</c:v>
                </c:pt>
                <c:pt idx="23">
                  <c:v>34.64367708999999</c:v>
                </c:pt>
                <c:pt idx="24">
                  <c:v>35.259097894999996</c:v>
                </c:pt>
                <c:pt idx="25">
                  <c:v>35.872103770833327</c:v>
                </c:pt>
                <c:pt idx="26">
                  <c:v>36.094636334999997</c:v>
                </c:pt>
                <c:pt idx="27">
                  <c:v>35.524607031666669</c:v>
                </c:pt>
                <c:pt idx="28">
                  <c:v>35.532377985833342</c:v>
                </c:pt>
                <c:pt idx="29">
                  <c:v>35.242371815833337</c:v>
                </c:pt>
                <c:pt idx="30">
                  <c:v>36.331476731666676</c:v>
                </c:pt>
                <c:pt idx="31">
                  <c:v>34.255840543333342</c:v>
                </c:pt>
                <c:pt idx="32">
                  <c:v>28.173274596666676</c:v>
                </c:pt>
                <c:pt idx="33">
                  <c:v>27.143898666666672</c:v>
                </c:pt>
                <c:pt idx="34">
                  <c:v>26.372222715000007</c:v>
                </c:pt>
                <c:pt idx="35">
                  <c:v>25.706296425833344</c:v>
                </c:pt>
                <c:pt idx="36">
                  <c:v>24.726852612500011</c:v>
                </c:pt>
                <c:pt idx="37">
                  <c:v>23.818623981666665</c:v>
                </c:pt>
                <c:pt idx="38">
                  <c:v>23.10250150333334</c:v>
                </c:pt>
                <c:pt idx="39">
                  <c:v>22.388636439166671</c:v>
                </c:pt>
                <c:pt idx="40">
                  <c:v>21.484530741666674</c:v>
                </c:pt>
                <c:pt idx="41">
                  <c:v>20.504876534166673</c:v>
                </c:pt>
                <c:pt idx="42">
                  <c:v>19.70408981333334</c:v>
                </c:pt>
                <c:pt idx="43">
                  <c:v>18.726756197500006</c:v>
                </c:pt>
                <c:pt idx="44">
                  <c:v>19.054497997500008</c:v>
                </c:pt>
                <c:pt idx="45">
                  <c:v>19.094207334166672</c:v>
                </c:pt>
                <c:pt idx="46">
                  <c:v>19.394601308333339</c:v>
                </c:pt>
                <c:pt idx="47">
                  <c:v>18.975440170000009</c:v>
                </c:pt>
                <c:pt idx="48">
                  <c:v>19.441251019166675</c:v>
                </c:pt>
              </c:numCache>
            </c:numRef>
          </c:val>
          <c:smooth val="1"/>
        </c:ser>
        <c:marker val="1"/>
        <c:axId val="94130560"/>
        <c:axId val="47010176"/>
      </c:lineChart>
      <c:dateAx>
        <c:axId val="94130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01017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47010176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305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[23]no_tradicional!$D$21:$D$69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[23]no_tradicional!$E$21:$E$69</c:f>
              <c:numCache>
                <c:formatCode>General</c:formatCode>
                <c:ptCount val="49"/>
                <c:pt idx="0">
                  <c:v>241.47630257416685</c:v>
                </c:pt>
                <c:pt idx="1">
                  <c:v>240.93892796583347</c:v>
                </c:pt>
                <c:pt idx="2">
                  <c:v>227.22263859249998</c:v>
                </c:pt>
                <c:pt idx="3">
                  <c:v>222.96309927666684</c:v>
                </c:pt>
                <c:pt idx="4">
                  <c:v>217.37634405833342</c:v>
                </c:pt>
                <c:pt idx="5">
                  <c:v>213.39716220083344</c:v>
                </c:pt>
                <c:pt idx="6">
                  <c:v>211.21225671666681</c:v>
                </c:pt>
                <c:pt idx="7">
                  <c:v>214.06997659250007</c:v>
                </c:pt>
                <c:pt idx="8">
                  <c:v>215.60394567583353</c:v>
                </c:pt>
                <c:pt idx="9">
                  <c:v>222.05830228416679</c:v>
                </c:pt>
                <c:pt idx="10">
                  <c:v>220.09948250583352</c:v>
                </c:pt>
                <c:pt idx="11">
                  <c:v>217.43508030250018</c:v>
                </c:pt>
                <c:pt idx="12">
                  <c:v>218.12380312416681</c:v>
                </c:pt>
                <c:pt idx="13">
                  <c:v>219.47391624416687</c:v>
                </c:pt>
                <c:pt idx="14">
                  <c:v>221.20253951500013</c:v>
                </c:pt>
                <c:pt idx="15">
                  <c:v>220.51810704166681</c:v>
                </c:pt>
                <c:pt idx="16">
                  <c:v>223.10869505500011</c:v>
                </c:pt>
                <c:pt idx="17">
                  <c:v>226.46087539333348</c:v>
                </c:pt>
                <c:pt idx="18">
                  <c:v>229.04571724500002</c:v>
                </c:pt>
                <c:pt idx="19">
                  <c:v>234.12973090333335</c:v>
                </c:pt>
                <c:pt idx="20">
                  <c:v>237.59742194083324</c:v>
                </c:pt>
                <c:pt idx="21">
                  <c:v>229.41205852166661</c:v>
                </c:pt>
                <c:pt idx="22">
                  <c:v>235.1764394741665</c:v>
                </c:pt>
                <c:pt idx="23">
                  <c:v>241.29165256749982</c:v>
                </c:pt>
                <c:pt idx="24">
                  <c:v>248.96185982499989</c:v>
                </c:pt>
                <c:pt idx="25">
                  <c:v>247.41316391249987</c:v>
                </c:pt>
                <c:pt idx="26">
                  <c:v>248.27907602083326</c:v>
                </c:pt>
                <c:pt idx="27">
                  <c:v>257.81305260583304</c:v>
                </c:pt>
                <c:pt idx="28">
                  <c:v>276.32690657666643</c:v>
                </c:pt>
                <c:pt idx="29">
                  <c:v>279.0199034274998</c:v>
                </c:pt>
                <c:pt idx="30">
                  <c:v>280.14962178333332</c:v>
                </c:pt>
                <c:pt idx="31">
                  <c:v>276.89147392083333</c:v>
                </c:pt>
                <c:pt idx="32">
                  <c:v>273.83867526666671</c:v>
                </c:pt>
                <c:pt idx="33">
                  <c:v>278.31266057333352</c:v>
                </c:pt>
                <c:pt idx="34">
                  <c:v>275.43099280666678</c:v>
                </c:pt>
                <c:pt idx="35">
                  <c:v>279.00964706500019</c:v>
                </c:pt>
                <c:pt idx="36">
                  <c:v>275.81924950750005</c:v>
                </c:pt>
                <c:pt idx="37">
                  <c:v>276.67901396666667</c:v>
                </c:pt>
                <c:pt idx="38">
                  <c:v>277.75690878749992</c:v>
                </c:pt>
                <c:pt idx="39">
                  <c:v>272.43832830083346</c:v>
                </c:pt>
                <c:pt idx="40">
                  <c:v>252.66567818833335</c:v>
                </c:pt>
                <c:pt idx="41">
                  <c:v>249.37673402166658</c:v>
                </c:pt>
                <c:pt idx="42">
                  <c:v>247.04557590499982</c:v>
                </c:pt>
                <c:pt idx="43">
                  <c:v>243.68281231583322</c:v>
                </c:pt>
                <c:pt idx="44">
                  <c:v>251.38206481916654</c:v>
                </c:pt>
                <c:pt idx="45">
                  <c:v>252.74372325083314</c:v>
                </c:pt>
                <c:pt idx="46">
                  <c:v>254.88345305416655</c:v>
                </c:pt>
                <c:pt idx="47">
                  <c:v>251.93413394249981</c:v>
                </c:pt>
                <c:pt idx="48">
                  <c:v>249.33293857083311</c:v>
                </c:pt>
              </c:numCache>
            </c:numRef>
          </c:val>
          <c:smooth val="1"/>
        </c:ser>
        <c:marker val="1"/>
        <c:axId val="47040384"/>
        <c:axId val="47041920"/>
      </c:lineChart>
      <c:dateAx>
        <c:axId val="47040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041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041920"/>
        <c:scaling>
          <c:orientation val="minMax"/>
          <c:max val="290"/>
          <c:min val="2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0403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[23]primarios!$D$21:$D$69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[23]primarios!$E$21:$E$69</c:f>
              <c:numCache>
                <c:formatCode>General</c:formatCode>
                <c:ptCount val="49"/>
                <c:pt idx="0">
                  <c:v>30.17648667666667</c:v>
                </c:pt>
                <c:pt idx="1">
                  <c:v>31.927254866666672</c:v>
                </c:pt>
                <c:pt idx="2">
                  <c:v>32.142074760833331</c:v>
                </c:pt>
                <c:pt idx="3">
                  <c:v>34.873955625000001</c:v>
                </c:pt>
                <c:pt idx="4">
                  <c:v>36.543608190833339</c:v>
                </c:pt>
                <c:pt idx="5">
                  <c:v>36.323219085000012</c:v>
                </c:pt>
                <c:pt idx="6">
                  <c:v>36.623110281666676</c:v>
                </c:pt>
                <c:pt idx="7">
                  <c:v>38.425524970833344</c:v>
                </c:pt>
                <c:pt idx="8">
                  <c:v>38.062163390000016</c:v>
                </c:pt>
                <c:pt idx="9">
                  <c:v>43.191294315000029</c:v>
                </c:pt>
                <c:pt idx="10">
                  <c:v>43.811088802500031</c:v>
                </c:pt>
                <c:pt idx="11">
                  <c:v>43.730648719166687</c:v>
                </c:pt>
                <c:pt idx="12">
                  <c:v>45.832287762500023</c:v>
                </c:pt>
                <c:pt idx="13">
                  <c:v>47.036727987500022</c:v>
                </c:pt>
                <c:pt idx="14">
                  <c:v>48.134240323333351</c:v>
                </c:pt>
                <c:pt idx="15">
                  <c:v>50.220753455833353</c:v>
                </c:pt>
                <c:pt idx="16">
                  <c:v>55.348200825833352</c:v>
                </c:pt>
                <c:pt idx="17">
                  <c:v>58.75539699833336</c:v>
                </c:pt>
                <c:pt idx="18">
                  <c:v>62.452236305000049</c:v>
                </c:pt>
                <c:pt idx="19">
                  <c:v>66.874802830833389</c:v>
                </c:pt>
                <c:pt idx="20">
                  <c:v>72.932631028333375</c:v>
                </c:pt>
                <c:pt idx="21">
                  <c:v>73.133428315000018</c:v>
                </c:pt>
                <c:pt idx="22">
                  <c:v>76.682555970000024</c:v>
                </c:pt>
                <c:pt idx="23">
                  <c:v>79.904317990000024</c:v>
                </c:pt>
                <c:pt idx="24">
                  <c:v>81.576675826666687</c:v>
                </c:pt>
                <c:pt idx="25">
                  <c:v>81.006768581666691</c:v>
                </c:pt>
                <c:pt idx="26">
                  <c:v>82.106277093333347</c:v>
                </c:pt>
                <c:pt idx="27">
                  <c:v>81.791566984999989</c:v>
                </c:pt>
                <c:pt idx="28">
                  <c:v>77.608592742500008</c:v>
                </c:pt>
                <c:pt idx="29">
                  <c:v>79.82459984166664</c:v>
                </c:pt>
                <c:pt idx="30">
                  <c:v>79.413890433333293</c:v>
                </c:pt>
                <c:pt idx="31">
                  <c:v>80.314665188333308</c:v>
                </c:pt>
                <c:pt idx="32">
                  <c:v>75.884952464999969</c:v>
                </c:pt>
                <c:pt idx="33">
                  <c:v>74.449964254166645</c:v>
                </c:pt>
                <c:pt idx="34">
                  <c:v>71.467577919166658</c:v>
                </c:pt>
                <c:pt idx="35">
                  <c:v>74.465155979999992</c:v>
                </c:pt>
                <c:pt idx="36">
                  <c:v>73.478533960833346</c:v>
                </c:pt>
                <c:pt idx="37">
                  <c:v>74.114920097500004</c:v>
                </c:pt>
                <c:pt idx="38">
                  <c:v>73.298161381666674</c:v>
                </c:pt>
                <c:pt idx="39">
                  <c:v>72.444113673333376</c:v>
                </c:pt>
                <c:pt idx="40">
                  <c:v>71.563326016666693</c:v>
                </c:pt>
                <c:pt idx="41">
                  <c:v>67.212181382500049</c:v>
                </c:pt>
                <c:pt idx="42">
                  <c:v>65.863617006666701</c:v>
                </c:pt>
                <c:pt idx="43">
                  <c:v>63.811366664166691</c:v>
                </c:pt>
                <c:pt idx="44">
                  <c:v>68.932848668333349</c:v>
                </c:pt>
                <c:pt idx="45">
                  <c:v>71.45296297500002</c:v>
                </c:pt>
                <c:pt idx="46">
                  <c:v>74.732181721666691</c:v>
                </c:pt>
                <c:pt idx="47">
                  <c:v>72.529730692500024</c:v>
                </c:pt>
                <c:pt idx="48">
                  <c:v>73.502993032500029</c:v>
                </c:pt>
              </c:numCache>
            </c:numRef>
          </c:val>
        </c:ser>
        <c:marker val="1"/>
        <c:axId val="46983808"/>
        <c:axId val="47012864"/>
      </c:lineChart>
      <c:dateAx>
        <c:axId val="4698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012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012864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98380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[23]manufacturas!$D$21:$D$69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[23]manufacturas!$E$21:$E$69</c:f>
              <c:numCache>
                <c:formatCode>General</c:formatCode>
                <c:ptCount val="49"/>
                <c:pt idx="0">
                  <c:v>227.01128770749997</c:v>
                </c:pt>
                <c:pt idx="1">
                  <c:v>223.36983941083335</c:v>
                </c:pt>
                <c:pt idx="2">
                  <c:v>207.89809446666663</c:v>
                </c:pt>
                <c:pt idx="3">
                  <c:v>200.7940942249999</c:v>
                </c:pt>
                <c:pt idx="4">
                  <c:v>193.19845372083333</c:v>
                </c:pt>
                <c:pt idx="5">
                  <c:v>188.13769037999998</c:v>
                </c:pt>
                <c:pt idx="6">
                  <c:v>184.42061757666667</c:v>
                </c:pt>
                <c:pt idx="7">
                  <c:v>184.59187256666667</c:v>
                </c:pt>
                <c:pt idx="8">
                  <c:v>185.18837420833333</c:v>
                </c:pt>
                <c:pt idx="9">
                  <c:v>187.21732052999997</c:v>
                </c:pt>
                <c:pt idx="10">
                  <c:v>185.282880245</c:v>
                </c:pt>
                <c:pt idx="11">
                  <c:v>182.759274315</c:v>
                </c:pt>
                <c:pt idx="12">
                  <c:v>181.96253017749999</c:v>
                </c:pt>
                <c:pt idx="13">
                  <c:v>182.52998658499996</c:v>
                </c:pt>
                <c:pt idx="14">
                  <c:v>184.15243227583332</c:v>
                </c:pt>
                <c:pt idx="15">
                  <c:v>182.72735506166669</c:v>
                </c:pt>
                <c:pt idx="16">
                  <c:v>180.97429979250001</c:v>
                </c:pt>
                <c:pt idx="17">
                  <c:v>182.14580265166671</c:v>
                </c:pt>
                <c:pt idx="18">
                  <c:v>181.93197078750003</c:v>
                </c:pt>
                <c:pt idx="19">
                  <c:v>185.26938361500007</c:v>
                </c:pt>
                <c:pt idx="20">
                  <c:v>188.53122097833341</c:v>
                </c:pt>
                <c:pt idx="21">
                  <c:v>180.89320066000008</c:v>
                </c:pt>
                <c:pt idx="22">
                  <c:v>182.3074961591667</c:v>
                </c:pt>
                <c:pt idx="23">
                  <c:v>186.61012555916673</c:v>
                </c:pt>
                <c:pt idx="24">
                  <c:v>192.82355423916673</c:v>
                </c:pt>
                <c:pt idx="25">
                  <c:v>192.35859421333342</c:v>
                </c:pt>
                <c:pt idx="26">
                  <c:v>192.12113945666678</c:v>
                </c:pt>
                <c:pt idx="27">
                  <c:v>201.41335793083348</c:v>
                </c:pt>
                <c:pt idx="28">
                  <c:v>223.88103794000008</c:v>
                </c:pt>
                <c:pt idx="29">
                  <c:v>224.11152710166672</c:v>
                </c:pt>
                <c:pt idx="30">
                  <c:v>226.75323798583338</c:v>
                </c:pt>
                <c:pt idx="31">
                  <c:v>220.55312363749997</c:v>
                </c:pt>
                <c:pt idx="32">
                  <c:v>216.08296578916665</c:v>
                </c:pt>
                <c:pt idx="33">
                  <c:v>221.04941336833338</c:v>
                </c:pt>
                <c:pt idx="34">
                  <c:v>220.58556809416675</c:v>
                </c:pt>
                <c:pt idx="35">
                  <c:v>220.51972388750005</c:v>
                </c:pt>
                <c:pt idx="36">
                  <c:v>217.48744934250001</c:v>
                </c:pt>
                <c:pt idx="37">
                  <c:v>216.67346741666674</c:v>
                </c:pt>
                <c:pt idx="38">
                  <c:v>217.8689935033334</c:v>
                </c:pt>
                <c:pt idx="39">
                  <c:v>212.62615322833338</c:v>
                </c:pt>
                <c:pt idx="40">
                  <c:v>193.09092680250009</c:v>
                </c:pt>
                <c:pt idx="41">
                  <c:v>193.06885598416673</c:v>
                </c:pt>
                <c:pt idx="42">
                  <c:v>191.33287469333342</c:v>
                </c:pt>
                <c:pt idx="43">
                  <c:v>189.35911276250008</c:v>
                </c:pt>
                <c:pt idx="44">
                  <c:v>192.26698905666672</c:v>
                </c:pt>
                <c:pt idx="45">
                  <c:v>191.39660760250004</c:v>
                </c:pt>
                <c:pt idx="46">
                  <c:v>190.79293236916669</c:v>
                </c:pt>
                <c:pt idx="47">
                  <c:v>189.45377507583336</c:v>
                </c:pt>
                <c:pt idx="48">
                  <c:v>186.70915691083334</c:v>
                </c:pt>
              </c:numCache>
            </c:numRef>
          </c:val>
        </c:ser>
        <c:marker val="1"/>
        <c:axId val="47541632"/>
        <c:axId val="47578112"/>
      </c:lineChart>
      <c:dateAx>
        <c:axId val="47541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5781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578112"/>
        <c:scaling>
          <c:orientation val="minMax"/>
          <c:max val="240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5416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[23]recursos_naturales!$D$21:$D$69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[23]recursos_naturales!$E$21:$E$69</c:f>
              <c:numCache>
                <c:formatCode>General</c:formatCode>
                <c:ptCount val="49"/>
                <c:pt idx="0">
                  <c:v>35.299703333333341</c:v>
                </c:pt>
                <c:pt idx="1">
                  <c:v>34.824286493333339</c:v>
                </c:pt>
                <c:pt idx="2">
                  <c:v>32.243557485000004</c:v>
                </c:pt>
                <c:pt idx="3">
                  <c:v>31.53546718583334</c:v>
                </c:pt>
                <c:pt idx="4">
                  <c:v>30.296471960000002</c:v>
                </c:pt>
                <c:pt idx="5">
                  <c:v>29.148520721666667</c:v>
                </c:pt>
                <c:pt idx="6">
                  <c:v>28.26169859916666</c:v>
                </c:pt>
                <c:pt idx="7">
                  <c:v>27.870889724999994</c:v>
                </c:pt>
                <c:pt idx="8">
                  <c:v>28.270781442499992</c:v>
                </c:pt>
                <c:pt idx="9">
                  <c:v>28.646178166666655</c:v>
                </c:pt>
                <c:pt idx="10">
                  <c:v>29.329239820833326</c:v>
                </c:pt>
                <c:pt idx="11">
                  <c:v>29.200958909166662</c:v>
                </c:pt>
                <c:pt idx="12">
                  <c:v>28.765130392499994</c:v>
                </c:pt>
                <c:pt idx="13">
                  <c:v>28.302321001666659</c:v>
                </c:pt>
                <c:pt idx="14">
                  <c:v>28.680464632499994</c:v>
                </c:pt>
                <c:pt idx="15">
                  <c:v>28.484022091666663</c:v>
                </c:pt>
                <c:pt idx="16">
                  <c:v>28.34190099833333</c:v>
                </c:pt>
                <c:pt idx="17">
                  <c:v>28.370073045833323</c:v>
                </c:pt>
                <c:pt idx="18">
                  <c:v>27.874724496666669</c:v>
                </c:pt>
                <c:pt idx="19">
                  <c:v>28.051319377499997</c:v>
                </c:pt>
                <c:pt idx="20">
                  <c:v>32.195589215833337</c:v>
                </c:pt>
                <c:pt idx="21">
                  <c:v>31.961964322499998</c:v>
                </c:pt>
                <c:pt idx="22">
                  <c:v>32.636789238333328</c:v>
                </c:pt>
                <c:pt idx="23">
                  <c:v>33.801584639166663</c:v>
                </c:pt>
                <c:pt idx="24">
                  <c:v>34.883206586666653</c:v>
                </c:pt>
                <c:pt idx="25">
                  <c:v>35.510729514999994</c:v>
                </c:pt>
                <c:pt idx="26">
                  <c:v>35.275519754999991</c:v>
                </c:pt>
                <c:pt idx="27">
                  <c:v>35.985754107499993</c:v>
                </c:pt>
                <c:pt idx="28">
                  <c:v>36.352732057499999</c:v>
                </c:pt>
                <c:pt idx="29">
                  <c:v>37.301163548333328</c:v>
                </c:pt>
                <c:pt idx="30">
                  <c:v>38.747981721666662</c:v>
                </c:pt>
                <c:pt idx="31">
                  <c:v>39.184753581666662</c:v>
                </c:pt>
                <c:pt idx="32">
                  <c:v>35.324827204999998</c:v>
                </c:pt>
                <c:pt idx="33">
                  <c:v>36.179057161666655</c:v>
                </c:pt>
                <c:pt idx="34">
                  <c:v>36.21211937333333</c:v>
                </c:pt>
                <c:pt idx="35">
                  <c:v>36.151838674999986</c:v>
                </c:pt>
                <c:pt idx="36">
                  <c:v>36.765992202500001</c:v>
                </c:pt>
                <c:pt idx="37">
                  <c:v>37.105815966666668</c:v>
                </c:pt>
                <c:pt idx="38">
                  <c:v>37.875017677500004</c:v>
                </c:pt>
                <c:pt idx="39">
                  <c:v>38.474255476666663</c:v>
                </c:pt>
                <c:pt idx="40">
                  <c:v>39.415483378333342</c:v>
                </c:pt>
                <c:pt idx="41">
                  <c:v>39.481642555000001</c:v>
                </c:pt>
                <c:pt idx="42">
                  <c:v>39.659771574166662</c:v>
                </c:pt>
                <c:pt idx="43">
                  <c:v>38.88164641416666</c:v>
                </c:pt>
                <c:pt idx="44">
                  <c:v>39.468955145833327</c:v>
                </c:pt>
                <c:pt idx="45">
                  <c:v>39.368340936666662</c:v>
                </c:pt>
                <c:pt idx="46">
                  <c:v>38.949781368333326</c:v>
                </c:pt>
                <c:pt idx="47">
                  <c:v>38.739164536666657</c:v>
                </c:pt>
                <c:pt idx="48">
                  <c:v>37.998563467499984</c:v>
                </c:pt>
              </c:numCache>
            </c:numRef>
          </c:val>
        </c:ser>
        <c:marker val="1"/>
        <c:axId val="47682304"/>
        <c:axId val="47684992"/>
      </c:lineChart>
      <c:dateAx>
        <c:axId val="4768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684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684992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6823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695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[23]baja_tecnologia!$D$21:$D$69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[23]baja_tecnologia!$E$21:$E$69</c:f>
              <c:numCache>
                <c:formatCode>General</c:formatCode>
                <c:ptCount val="49"/>
                <c:pt idx="0">
                  <c:v>83.250806505833296</c:v>
                </c:pt>
                <c:pt idx="1">
                  <c:v>81.052007452499993</c:v>
                </c:pt>
                <c:pt idx="2">
                  <c:v>73.776467886666637</c:v>
                </c:pt>
                <c:pt idx="3">
                  <c:v>69.054416789166623</c:v>
                </c:pt>
                <c:pt idx="4">
                  <c:v>65.094994756666651</c:v>
                </c:pt>
                <c:pt idx="5">
                  <c:v>62.869302660833313</c:v>
                </c:pt>
                <c:pt idx="6">
                  <c:v>61.405341583333332</c:v>
                </c:pt>
                <c:pt idx="7">
                  <c:v>60.307972048333305</c:v>
                </c:pt>
                <c:pt idx="8">
                  <c:v>60.569731233333293</c:v>
                </c:pt>
                <c:pt idx="9">
                  <c:v>57.603122200833305</c:v>
                </c:pt>
                <c:pt idx="10">
                  <c:v>55.611733357499979</c:v>
                </c:pt>
                <c:pt idx="11">
                  <c:v>55.573205934166651</c:v>
                </c:pt>
                <c:pt idx="12">
                  <c:v>55.568932989999979</c:v>
                </c:pt>
                <c:pt idx="13">
                  <c:v>56.0357246208333</c:v>
                </c:pt>
                <c:pt idx="14">
                  <c:v>56.516551564999965</c:v>
                </c:pt>
                <c:pt idx="15">
                  <c:v>56.513769209999964</c:v>
                </c:pt>
                <c:pt idx="16">
                  <c:v>56.901193828333312</c:v>
                </c:pt>
                <c:pt idx="17">
                  <c:v>56.861960684166668</c:v>
                </c:pt>
                <c:pt idx="18">
                  <c:v>57.752309002499992</c:v>
                </c:pt>
                <c:pt idx="19">
                  <c:v>58.922173871666679</c:v>
                </c:pt>
                <c:pt idx="20">
                  <c:v>59.017029719166693</c:v>
                </c:pt>
                <c:pt idx="21">
                  <c:v>58.14678649416669</c:v>
                </c:pt>
                <c:pt idx="22">
                  <c:v>57.864273564166645</c:v>
                </c:pt>
                <c:pt idx="23">
                  <c:v>57.360235556666673</c:v>
                </c:pt>
                <c:pt idx="24">
                  <c:v>58.391141680000004</c:v>
                </c:pt>
                <c:pt idx="25">
                  <c:v>57.342731566666664</c:v>
                </c:pt>
                <c:pt idx="26">
                  <c:v>57.476391860000014</c:v>
                </c:pt>
                <c:pt idx="27">
                  <c:v>58.989060500833375</c:v>
                </c:pt>
                <c:pt idx="28">
                  <c:v>58.603809716666689</c:v>
                </c:pt>
                <c:pt idx="29">
                  <c:v>59.396859880000015</c:v>
                </c:pt>
                <c:pt idx="30">
                  <c:v>58.646379578333345</c:v>
                </c:pt>
                <c:pt idx="31">
                  <c:v>57.686223544166666</c:v>
                </c:pt>
                <c:pt idx="32">
                  <c:v>57.348903176666681</c:v>
                </c:pt>
                <c:pt idx="33">
                  <c:v>58.917466997500014</c:v>
                </c:pt>
                <c:pt idx="34">
                  <c:v>59.220892519166711</c:v>
                </c:pt>
                <c:pt idx="35">
                  <c:v>61.146244951666716</c:v>
                </c:pt>
                <c:pt idx="36">
                  <c:v>61.632342389166723</c:v>
                </c:pt>
                <c:pt idx="37">
                  <c:v>62.925002588333392</c:v>
                </c:pt>
                <c:pt idx="38">
                  <c:v>63.94996245916672</c:v>
                </c:pt>
                <c:pt idx="39">
                  <c:v>63.500824805000036</c:v>
                </c:pt>
                <c:pt idx="40">
                  <c:v>63.481054684166729</c:v>
                </c:pt>
                <c:pt idx="41">
                  <c:v>63.474724076666746</c:v>
                </c:pt>
                <c:pt idx="42">
                  <c:v>63.386985456666743</c:v>
                </c:pt>
                <c:pt idx="43">
                  <c:v>62.549098110833398</c:v>
                </c:pt>
                <c:pt idx="44">
                  <c:v>62.791435630833384</c:v>
                </c:pt>
                <c:pt idx="45">
                  <c:v>62.635119232500045</c:v>
                </c:pt>
                <c:pt idx="46">
                  <c:v>61.651583162500032</c:v>
                </c:pt>
                <c:pt idx="47">
                  <c:v>60.343144245833344</c:v>
                </c:pt>
                <c:pt idx="48">
                  <c:v>59.144263175833352</c:v>
                </c:pt>
              </c:numCache>
            </c:numRef>
          </c:val>
        </c:ser>
        <c:marker val="1"/>
        <c:axId val="47970944"/>
        <c:axId val="48030080"/>
      </c:lineChart>
      <c:dateAx>
        <c:axId val="4797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0300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030080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9709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[23]tecnologia_media!$D$21:$D$69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[23]tecnologia_media!$E$21:$E$69</c:f>
              <c:numCache>
                <c:formatCode>General</c:formatCode>
                <c:ptCount val="49"/>
                <c:pt idx="0">
                  <c:v>66.295936724166651</c:v>
                </c:pt>
                <c:pt idx="1">
                  <c:v>64.259477834999998</c:v>
                </c:pt>
                <c:pt idx="2">
                  <c:v>60.887286849166664</c:v>
                </c:pt>
                <c:pt idx="3">
                  <c:v>58.997883614999999</c:v>
                </c:pt>
                <c:pt idx="4">
                  <c:v>56.243134450833345</c:v>
                </c:pt>
                <c:pt idx="5">
                  <c:v>54.274923219166688</c:v>
                </c:pt>
                <c:pt idx="6">
                  <c:v>53.361004086666675</c:v>
                </c:pt>
                <c:pt idx="7">
                  <c:v>53.388042694999996</c:v>
                </c:pt>
                <c:pt idx="8">
                  <c:v>54.571816458333338</c:v>
                </c:pt>
                <c:pt idx="9">
                  <c:v>55.21078009666666</c:v>
                </c:pt>
                <c:pt idx="10">
                  <c:v>56.064233048333328</c:v>
                </c:pt>
                <c:pt idx="11">
                  <c:v>55.334134758333313</c:v>
                </c:pt>
                <c:pt idx="12">
                  <c:v>56.116088740833312</c:v>
                </c:pt>
                <c:pt idx="13">
                  <c:v>56.308474392499988</c:v>
                </c:pt>
                <c:pt idx="14">
                  <c:v>56.673184855833334</c:v>
                </c:pt>
                <c:pt idx="15">
                  <c:v>56.351798140833345</c:v>
                </c:pt>
                <c:pt idx="16">
                  <c:v>55.893285645833345</c:v>
                </c:pt>
                <c:pt idx="17">
                  <c:v>56.63070984666669</c:v>
                </c:pt>
                <c:pt idx="18">
                  <c:v>56.351975743333355</c:v>
                </c:pt>
                <c:pt idx="19">
                  <c:v>59.57584653166672</c:v>
                </c:pt>
                <c:pt idx="20">
                  <c:v>58.764355694166717</c:v>
                </c:pt>
                <c:pt idx="21">
                  <c:v>57.766212403333391</c:v>
                </c:pt>
                <c:pt idx="22">
                  <c:v>57.480204899166722</c:v>
                </c:pt>
                <c:pt idx="23">
                  <c:v>57.63529591416674</c:v>
                </c:pt>
                <c:pt idx="24">
                  <c:v>59.07022218083339</c:v>
                </c:pt>
                <c:pt idx="25">
                  <c:v>59.504163342500071</c:v>
                </c:pt>
                <c:pt idx="26">
                  <c:v>59.622097920833404</c:v>
                </c:pt>
                <c:pt idx="27">
                  <c:v>60.439305908333402</c:v>
                </c:pt>
                <c:pt idx="28">
                  <c:v>61.709255439166718</c:v>
                </c:pt>
                <c:pt idx="29">
                  <c:v>61.650980428333376</c:v>
                </c:pt>
                <c:pt idx="30">
                  <c:v>63.159486851666706</c:v>
                </c:pt>
                <c:pt idx="31">
                  <c:v>59.657944835833355</c:v>
                </c:pt>
                <c:pt idx="32">
                  <c:v>59.423740479166689</c:v>
                </c:pt>
                <c:pt idx="33">
                  <c:v>61.462164483333346</c:v>
                </c:pt>
                <c:pt idx="34">
                  <c:v>62.000368621666674</c:v>
                </c:pt>
                <c:pt idx="35">
                  <c:v>63.149176650000008</c:v>
                </c:pt>
                <c:pt idx="36">
                  <c:v>62.141242998333325</c:v>
                </c:pt>
                <c:pt idx="37">
                  <c:v>61.644632432500025</c:v>
                </c:pt>
                <c:pt idx="38">
                  <c:v>62.113685090833364</c:v>
                </c:pt>
                <c:pt idx="39">
                  <c:v>62.293475530000023</c:v>
                </c:pt>
                <c:pt idx="40">
                  <c:v>61.669698319166692</c:v>
                </c:pt>
                <c:pt idx="41">
                  <c:v>61.211971792500016</c:v>
                </c:pt>
                <c:pt idx="42">
                  <c:v>59.49761498666669</c:v>
                </c:pt>
                <c:pt idx="43">
                  <c:v>58.827694313333353</c:v>
                </c:pt>
                <c:pt idx="44">
                  <c:v>59.434260360833342</c:v>
                </c:pt>
                <c:pt idx="45">
                  <c:v>58.451704584166684</c:v>
                </c:pt>
                <c:pt idx="46">
                  <c:v>58.057317203333348</c:v>
                </c:pt>
                <c:pt idx="47">
                  <c:v>57.742051715000009</c:v>
                </c:pt>
                <c:pt idx="48">
                  <c:v>56.718147441666694</c:v>
                </c:pt>
              </c:numCache>
            </c:numRef>
          </c:val>
          <c:smooth val="1"/>
        </c:ser>
        <c:marker val="1"/>
        <c:axId val="47229952"/>
        <c:axId val="47845760"/>
      </c:lineChart>
      <c:dateAx>
        <c:axId val="4722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45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845760"/>
        <c:scaling>
          <c:orientation val="minMax"/>
          <c:max val="7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2299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[23]alta_tecnologia!$D$21:$D$69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[23]alta_tecnologia!$E$21:$E$69</c:f>
              <c:numCache>
                <c:formatCode>General</c:formatCode>
                <c:ptCount val="49"/>
                <c:pt idx="0">
                  <c:v>42.164841144166651</c:v>
                </c:pt>
                <c:pt idx="1">
                  <c:v>43.234067629999991</c:v>
                </c:pt>
                <c:pt idx="2">
                  <c:v>40.99078224583333</c:v>
                </c:pt>
                <c:pt idx="3">
                  <c:v>41.206326634999996</c:v>
                </c:pt>
                <c:pt idx="4">
                  <c:v>41.563852553333341</c:v>
                </c:pt>
                <c:pt idx="5">
                  <c:v>41.844943778333331</c:v>
                </c:pt>
                <c:pt idx="6">
                  <c:v>41.392573307500001</c:v>
                </c:pt>
                <c:pt idx="7">
                  <c:v>43.024968098333346</c:v>
                </c:pt>
                <c:pt idx="8">
                  <c:v>41.776045074166682</c:v>
                </c:pt>
                <c:pt idx="9">
                  <c:v>45.757240065833351</c:v>
                </c:pt>
                <c:pt idx="10">
                  <c:v>44.277674018333357</c:v>
                </c:pt>
                <c:pt idx="11">
                  <c:v>42.650974713333362</c:v>
                </c:pt>
                <c:pt idx="12">
                  <c:v>41.512378054166689</c:v>
                </c:pt>
                <c:pt idx="13">
                  <c:v>41.883466570000017</c:v>
                </c:pt>
                <c:pt idx="14">
                  <c:v>42.282231222500009</c:v>
                </c:pt>
                <c:pt idx="15">
                  <c:v>41.377765619166688</c:v>
                </c:pt>
                <c:pt idx="16">
                  <c:v>39.837919320000019</c:v>
                </c:pt>
                <c:pt idx="17">
                  <c:v>40.283059075000025</c:v>
                </c:pt>
                <c:pt idx="18">
                  <c:v>39.952961545000029</c:v>
                </c:pt>
                <c:pt idx="19">
                  <c:v>38.720043834166688</c:v>
                </c:pt>
                <c:pt idx="20">
                  <c:v>38.554246349166682</c:v>
                </c:pt>
                <c:pt idx="21">
                  <c:v>33.018237440000007</c:v>
                </c:pt>
                <c:pt idx="22">
                  <c:v>34.326228457500008</c:v>
                </c:pt>
                <c:pt idx="23">
                  <c:v>37.813009449166671</c:v>
                </c:pt>
                <c:pt idx="24">
                  <c:v>40.478983791666678</c:v>
                </c:pt>
                <c:pt idx="25">
                  <c:v>40.000969789166682</c:v>
                </c:pt>
                <c:pt idx="26">
                  <c:v>39.747129920833359</c:v>
                </c:pt>
                <c:pt idx="27">
                  <c:v>45.999237414166686</c:v>
                </c:pt>
                <c:pt idx="28">
                  <c:v>67.215240726666693</c:v>
                </c:pt>
                <c:pt idx="29">
                  <c:v>65.762523245000025</c:v>
                </c:pt>
                <c:pt idx="30">
                  <c:v>66.199389834166695</c:v>
                </c:pt>
                <c:pt idx="31">
                  <c:v>64.024201675833368</c:v>
                </c:pt>
                <c:pt idx="32">
                  <c:v>63.985494928333345</c:v>
                </c:pt>
                <c:pt idx="33">
                  <c:v>64.490724725833346</c:v>
                </c:pt>
                <c:pt idx="34">
                  <c:v>63.15218758000001</c:v>
                </c:pt>
                <c:pt idx="35">
                  <c:v>60.072463610833331</c:v>
                </c:pt>
                <c:pt idx="36">
                  <c:v>56.947871752499999</c:v>
                </c:pt>
                <c:pt idx="37">
                  <c:v>54.998016429166661</c:v>
                </c:pt>
                <c:pt idx="38">
                  <c:v>53.930328275833318</c:v>
                </c:pt>
                <c:pt idx="39">
                  <c:v>48.357597416666657</c:v>
                </c:pt>
                <c:pt idx="40">
                  <c:v>28.52469042083332</c:v>
                </c:pt>
                <c:pt idx="41">
                  <c:v>28.900517559999983</c:v>
                </c:pt>
                <c:pt idx="42">
                  <c:v>28.788502675833318</c:v>
                </c:pt>
                <c:pt idx="43">
                  <c:v>29.100673924166657</c:v>
                </c:pt>
                <c:pt idx="44">
                  <c:v>30.57233791916666</c:v>
                </c:pt>
                <c:pt idx="45">
                  <c:v>30.941442849166659</c:v>
                </c:pt>
                <c:pt idx="46">
                  <c:v>32.134250634999994</c:v>
                </c:pt>
                <c:pt idx="47">
                  <c:v>32.629414578333332</c:v>
                </c:pt>
                <c:pt idx="48">
                  <c:v>32.848182825833334</c:v>
                </c:pt>
              </c:numCache>
            </c:numRef>
          </c:val>
          <c:smooth val="1"/>
        </c:ser>
        <c:marker val="1"/>
        <c:axId val="48301568"/>
        <c:axId val="48303104"/>
      </c:lineChart>
      <c:dateAx>
        <c:axId val="48301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03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303104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015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[23]Pais_1!$D$21:$D$69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[23]Pais_1!$E$21:$E$69</c:f>
              <c:numCache>
                <c:formatCode>General</c:formatCode>
                <c:ptCount val="49"/>
                <c:pt idx="0">
                  <c:v>44.574482019166673</c:v>
                </c:pt>
                <c:pt idx="1">
                  <c:v>42.957302045833337</c:v>
                </c:pt>
                <c:pt idx="2">
                  <c:v>41.212596027499998</c:v>
                </c:pt>
                <c:pt idx="3">
                  <c:v>41.599104040833339</c:v>
                </c:pt>
                <c:pt idx="4">
                  <c:v>40.445388418333337</c:v>
                </c:pt>
                <c:pt idx="5">
                  <c:v>40.63349053999999</c:v>
                </c:pt>
                <c:pt idx="6">
                  <c:v>40.719388239166655</c:v>
                </c:pt>
                <c:pt idx="7">
                  <c:v>43.420637922499985</c:v>
                </c:pt>
                <c:pt idx="8">
                  <c:v>43.687136848333303</c:v>
                </c:pt>
                <c:pt idx="9">
                  <c:v>47.821472211666645</c:v>
                </c:pt>
                <c:pt idx="10">
                  <c:v>48.287665184999973</c:v>
                </c:pt>
                <c:pt idx="11">
                  <c:v>47.775240619999984</c:v>
                </c:pt>
                <c:pt idx="12">
                  <c:v>50.32596716499998</c:v>
                </c:pt>
                <c:pt idx="13">
                  <c:v>51.552582860833319</c:v>
                </c:pt>
                <c:pt idx="14">
                  <c:v>52.214561520833321</c:v>
                </c:pt>
                <c:pt idx="15">
                  <c:v>55.267244163333324</c:v>
                </c:pt>
                <c:pt idx="16">
                  <c:v>59.440425088333306</c:v>
                </c:pt>
                <c:pt idx="17">
                  <c:v>62.426371009166651</c:v>
                </c:pt>
                <c:pt idx="18">
                  <c:v>65.35655977499998</c:v>
                </c:pt>
                <c:pt idx="19">
                  <c:v>65.796760202499982</c:v>
                </c:pt>
                <c:pt idx="20">
                  <c:v>71.222631551666652</c:v>
                </c:pt>
                <c:pt idx="21">
                  <c:v>69.841634504999988</c:v>
                </c:pt>
                <c:pt idx="22">
                  <c:v>73.104621744166664</c:v>
                </c:pt>
                <c:pt idx="23">
                  <c:v>74.591551842499982</c:v>
                </c:pt>
                <c:pt idx="24">
                  <c:v>74.257950952499996</c:v>
                </c:pt>
                <c:pt idx="25">
                  <c:v>73.043186389166664</c:v>
                </c:pt>
                <c:pt idx="26">
                  <c:v>73.519351304999972</c:v>
                </c:pt>
                <c:pt idx="27">
                  <c:v>72.279979283333304</c:v>
                </c:pt>
                <c:pt idx="28">
                  <c:v>67.996569358333332</c:v>
                </c:pt>
                <c:pt idx="29">
                  <c:v>69.509933630833345</c:v>
                </c:pt>
                <c:pt idx="30">
                  <c:v>68.637167784166678</c:v>
                </c:pt>
                <c:pt idx="31">
                  <c:v>70.36738457666668</c:v>
                </c:pt>
                <c:pt idx="32">
                  <c:v>65.779620783333343</c:v>
                </c:pt>
                <c:pt idx="33">
                  <c:v>65.294607780000021</c:v>
                </c:pt>
                <c:pt idx="34">
                  <c:v>62.382729143333336</c:v>
                </c:pt>
                <c:pt idx="35">
                  <c:v>65.628275115833318</c:v>
                </c:pt>
                <c:pt idx="36">
                  <c:v>65.770363827500006</c:v>
                </c:pt>
                <c:pt idx="37">
                  <c:v>66.714109345000011</c:v>
                </c:pt>
                <c:pt idx="38">
                  <c:v>66.830843944166659</c:v>
                </c:pt>
                <c:pt idx="39">
                  <c:v>66.684928189166669</c:v>
                </c:pt>
                <c:pt idx="40">
                  <c:v>67.895533604166658</c:v>
                </c:pt>
                <c:pt idx="41">
                  <c:v>64.15027771666665</c:v>
                </c:pt>
                <c:pt idx="42">
                  <c:v>63.895846735833324</c:v>
                </c:pt>
                <c:pt idx="43">
                  <c:v>63.417734581666629</c:v>
                </c:pt>
                <c:pt idx="44">
                  <c:v>68.6532193908333</c:v>
                </c:pt>
                <c:pt idx="45">
                  <c:v>71.248642577499936</c:v>
                </c:pt>
                <c:pt idx="46">
                  <c:v>73.908960889166607</c:v>
                </c:pt>
                <c:pt idx="47">
                  <c:v>71.412197940833295</c:v>
                </c:pt>
                <c:pt idx="48">
                  <c:v>71.739957366666644</c:v>
                </c:pt>
              </c:numCache>
            </c:numRef>
          </c:val>
          <c:smooth val="1"/>
        </c:ser>
        <c:marker val="1"/>
        <c:axId val="48409984"/>
        <c:axId val="48555136"/>
      </c:lineChart>
      <c:dateAx>
        <c:axId val="48409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551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55513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4099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[23]Pais_2!$D$21:$D$69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[23]Pais_2!$E$21:$E$69</c:f>
              <c:numCache>
                <c:formatCode>General</c:formatCode>
                <c:ptCount val="49"/>
                <c:pt idx="0">
                  <c:v>32.562219945833334</c:v>
                </c:pt>
                <c:pt idx="1">
                  <c:v>32.19937629166666</c:v>
                </c:pt>
                <c:pt idx="2">
                  <c:v>30.735366798333335</c:v>
                </c:pt>
                <c:pt idx="3">
                  <c:v>29.973160124999996</c:v>
                </c:pt>
                <c:pt idx="4">
                  <c:v>28.956642776666669</c:v>
                </c:pt>
                <c:pt idx="5">
                  <c:v>27.971363097500003</c:v>
                </c:pt>
                <c:pt idx="6">
                  <c:v>28.444494177500005</c:v>
                </c:pt>
                <c:pt idx="7">
                  <c:v>29.344832988333337</c:v>
                </c:pt>
                <c:pt idx="8">
                  <c:v>30.221206226666681</c:v>
                </c:pt>
                <c:pt idx="9">
                  <c:v>31.000651070833346</c:v>
                </c:pt>
                <c:pt idx="10">
                  <c:v>31.554452459166683</c:v>
                </c:pt>
                <c:pt idx="11">
                  <c:v>32.007247226666685</c:v>
                </c:pt>
                <c:pt idx="12">
                  <c:v>32.931458432500015</c:v>
                </c:pt>
                <c:pt idx="13">
                  <c:v>34.731135131666683</c:v>
                </c:pt>
                <c:pt idx="14">
                  <c:v>37.48909719166668</c:v>
                </c:pt>
                <c:pt idx="15">
                  <c:v>37.623099780000011</c:v>
                </c:pt>
                <c:pt idx="16">
                  <c:v>38.169807350833345</c:v>
                </c:pt>
                <c:pt idx="17">
                  <c:v>38.912828353333346</c:v>
                </c:pt>
                <c:pt idx="18">
                  <c:v>38.67809687583334</c:v>
                </c:pt>
                <c:pt idx="19">
                  <c:v>39.330040229166691</c:v>
                </c:pt>
                <c:pt idx="20">
                  <c:v>38.528304556666683</c:v>
                </c:pt>
                <c:pt idx="21">
                  <c:v>38.206201730833349</c:v>
                </c:pt>
                <c:pt idx="22">
                  <c:v>37.973722187500016</c:v>
                </c:pt>
                <c:pt idx="23">
                  <c:v>37.56004297833335</c:v>
                </c:pt>
                <c:pt idx="24">
                  <c:v>37.769355800000021</c:v>
                </c:pt>
                <c:pt idx="25">
                  <c:v>36.239738284166698</c:v>
                </c:pt>
                <c:pt idx="26">
                  <c:v>33.91358048750002</c:v>
                </c:pt>
                <c:pt idx="27">
                  <c:v>34.326860955833361</c:v>
                </c:pt>
                <c:pt idx="28">
                  <c:v>34.351092142500022</c:v>
                </c:pt>
                <c:pt idx="29">
                  <c:v>34.517256564166686</c:v>
                </c:pt>
                <c:pt idx="30">
                  <c:v>35.263898272500015</c:v>
                </c:pt>
                <c:pt idx="31">
                  <c:v>34.431479158333325</c:v>
                </c:pt>
                <c:pt idx="32">
                  <c:v>34.463804320833333</c:v>
                </c:pt>
                <c:pt idx="33">
                  <c:v>35.037527961666648</c:v>
                </c:pt>
                <c:pt idx="34">
                  <c:v>35.103984746666654</c:v>
                </c:pt>
                <c:pt idx="35">
                  <c:v>35.814384890833317</c:v>
                </c:pt>
                <c:pt idx="36">
                  <c:v>35.82497643083331</c:v>
                </c:pt>
                <c:pt idx="37">
                  <c:v>36.373213550833313</c:v>
                </c:pt>
                <c:pt idx="38">
                  <c:v>36.955676825833315</c:v>
                </c:pt>
                <c:pt idx="39">
                  <c:v>37.286041432499992</c:v>
                </c:pt>
                <c:pt idx="40">
                  <c:v>37.319189258333317</c:v>
                </c:pt>
                <c:pt idx="41">
                  <c:v>37.411858144166651</c:v>
                </c:pt>
                <c:pt idx="42">
                  <c:v>37.170352246666653</c:v>
                </c:pt>
                <c:pt idx="43">
                  <c:v>36.907018391666654</c:v>
                </c:pt>
                <c:pt idx="44">
                  <c:v>38.105782149999989</c:v>
                </c:pt>
                <c:pt idx="45">
                  <c:v>38.532031844166653</c:v>
                </c:pt>
                <c:pt idx="46">
                  <c:v>39.009602894999993</c:v>
                </c:pt>
                <c:pt idx="47">
                  <c:v>39.532151362499995</c:v>
                </c:pt>
                <c:pt idx="48">
                  <c:v>39.225355921666662</c:v>
                </c:pt>
              </c:numCache>
            </c:numRef>
          </c:val>
          <c:smooth val="1"/>
        </c:ser>
        <c:marker val="1"/>
        <c:axId val="48572672"/>
        <c:axId val="48775168"/>
      </c:lineChart>
      <c:dateAx>
        <c:axId val="4857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751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775168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726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[23]Pais_3!$D$21:$D$69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[23]Pais_3!$E$21:$E$69</c:f>
              <c:numCache>
                <c:formatCode>General</c:formatCode>
                <c:ptCount val="49"/>
                <c:pt idx="0">
                  <c:v>91.507217539999999</c:v>
                </c:pt>
                <c:pt idx="1">
                  <c:v>90.03880273999998</c:v>
                </c:pt>
                <c:pt idx="2">
                  <c:v>81.378314037499976</c:v>
                </c:pt>
                <c:pt idx="3">
                  <c:v>75.486967783333341</c:v>
                </c:pt>
                <c:pt idx="4">
                  <c:v>68.45947492083333</c:v>
                </c:pt>
                <c:pt idx="5">
                  <c:v>64.124652753333336</c:v>
                </c:pt>
                <c:pt idx="6">
                  <c:v>59.862311115000004</c:v>
                </c:pt>
                <c:pt idx="7">
                  <c:v>56.108876693333343</c:v>
                </c:pt>
                <c:pt idx="8">
                  <c:v>53.99661837416668</c:v>
                </c:pt>
                <c:pt idx="9">
                  <c:v>48.999321677499999</c:v>
                </c:pt>
                <c:pt idx="10">
                  <c:v>43.820518076666673</c:v>
                </c:pt>
                <c:pt idx="11">
                  <c:v>41.195742134166686</c:v>
                </c:pt>
                <c:pt idx="12">
                  <c:v>38.330821993333359</c:v>
                </c:pt>
                <c:pt idx="13">
                  <c:v>34.557783334166679</c:v>
                </c:pt>
                <c:pt idx="14">
                  <c:v>32.021912458333354</c:v>
                </c:pt>
                <c:pt idx="15">
                  <c:v>29.502948394166669</c:v>
                </c:pt>
                <c:pt idx="16">
                  <c:v>28.781721915000002</c:v>
                </c:pt>
                <c:pt idx="17">
                  <c:v>28.502660009166672</c:v>
                </c:pt>
                <c:pt idx="18">
                  <c:v>26.941000686666666</c:v>
                </c:pt>
                <c:pt idx="19">
                  <c:v>25.912955294166675</c:v>
                </c:pt>
                <c:pt idx="20">
                  <c:v>25.415672046666675</c:v>
                </c:pt>
                <c:pt idx="21">
                  <c:v>24.226035928333342</c:v>
                </c:pt>
                <c:pt idx="22">
                  <c:v>24.340687144166669</c:v>
                </c:pt>
                <c:pt idx="23">
                  <c:v>24.443885376666667</c:v>
                </c:pt>
                <c:pt idx="24">
                  <c:v>25.458272857500003</c:v>
                </c:pt>
                <c:pt idx="25">
                  <c:v>25.895186806666668</c:v>
                </c:pt>
                <c:pt idx="26">
                  <c:v>26.664331198333333</c:v>
                </c:pt>
                <c:pt idx="27">
                  <c:v>28.114413496666668</c:v>
                </c:pt>
                <c:pt idx="28">
                  <c:v>30.498939934999999</c:v>
                </c:pt>
                <c:pt idx="29">
                  <c:v>31.161441773333323</c:v>
                </c:pt>
                <c:pt idx="30">
                  <c:v>31.525280651666659</c:v>
                </c:pt>
                <c:pt idx="31">
                  <c:v>32.078195521666665</c:v>
                </c:pt>
                <c:pt idx="32">
                  <c:v>32.529032778333338</c:v>
                </c:pt>
                <c:pt idx="33">
                  <c:v>33.652261660000008</c:v>
                </c:pt>
                <c:pt idx="34">
                  <c:v>34.847685898333339</c:v>
                </c:pt>
                <c:pt idx="35">
                  <c:v>36.348756509999994</c:v>
                </c:pt>
                <c:pt idx="36">
                  <c:v>37.678420502499996</c:v>
                </c:pt>
                <c:pt idx="37">
                  <c:v>38.594281608333326</c:v>
                </c:pt>
                <c:pt idx="38">
                  <c:v>39.398659109166658</c:v>
                </c:pt>
                <c:pt idx="39">
                  <c:v>39.232442224999993</c:v>
                </c:pt>
                <c:pt idx="40">
                  <c:v>37.026893621666659</c:v>
                </c:pt>
                <c:pt idx="41">
                  <c:v>36.552011454999992</c:v>
                </c:pt>
                <c:pt idx="42">
                  <c:v>35.939146304166655</c:v>
                </c:pt>
                <c:pt idx="43">
                  <c:v>34.678314169999986</c:v>
                </c:pt>
                <c:pt idx="44">
                  <c:v>33.87825449999999</c:v>
                </c:pt>
                <c:pt idx="45">
                  <c:v>32.863051869166661</c:v>
                </c:pt>
                <c:pt idx="46">
                  <c:v>31.349949324166658</c:v>
                </c:pt>
                <c:pt idx="47">
                  <c:v>29.713315461666667</c:v>
                </c:pt>
                <c:pt idx="48">
                  <c:v>28.015137267499995</c:v>
                </c:pt>
              </c:numCache>
            </c:numRef>
          </c:val>
          <c:smooth val="1"/>
        </c:ser>
        <c:marker val="1"/>
        <c:axId val="48778240"/>
        <c:axId val="48784512"/>
      </c:lineChart>
      <c:dateAx>
        <c:axId val="4877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84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78451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782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[23]Pais_4!$D$21:$D$69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[23]Pais_4!$E$21:$E$69</c:f>
              <c:numCache>
                <c:formatCode>General</c:formatCode>
                <c:ptCount val="49"/>
                <c:pt idx="0">
                  <c:v>12.363829501666665</c:v>
                </c:pt>
                <c:pt idx="1">
                  <c:v>12.794329441666664</c:v>
                </c:pt>
                <c:pt idx="2">
                  <c:v>13.127015901666661</c:v>
                </c:pt>
                <c:pt idx="3">
                  <c:v>13.023658302499994</c:v>
                </c:pt>
                <c:pt idx="4">
                  <c:v>13.140724007499999</c:v>
                </c:pt>
                <c:pt idx="5">
                  <c:v>12.835834206666666</c:v>
                </c:pt>
                <c:pt idx="6">
                  <c:v>12.575876212499999</c:v>
                </c:pt>
                <c:pt idx="7">
                  <c:v>12.56572276583333</c:v>
                </c:pt>
                <c:pt idx="8">
                  <c:v>12.388632020000001</c:v>
                </c:pt>
                <c:pt idx="9">
                  <c:v>12.59114568083333</c:v>
                </c:pt>
                <c:pt idx="10">
                  <c:v>13.251684199166661</c:v>
                </c:pt>
                <c:pt idx="11">
                  <c:v>13.389264475833329</c:v>
                </c:pt>
                <c:pt idx="12">
                  <c:v>13.396053619999996</c:v>
                </c:pt>
                <c:pt idx="13">
                  <c:v>13.124493697499995</c:v>
                </c:pt>
                <c:pt idx="14">
                  <c:v>12.534774179999998</c:v>
                </c:pt>
                <c:pt idx="15">
                  <c:v>12.666550229166665</c:v>
                </c:pt>
                <c:pt idx="16">
                  <c:v>12.184890927499998</c:v>
                </c:pt>
                <c:pt idx="17">
                  <c:v>12.383947199999996</c:v>
                </c:pt>
                <c:pt idx="18">
                  <c:v>12.415300883333332</c:v>
                </c:pt>
                <c:pt idx="19">
                  <c:v>12.349144071666666</c:v>
                </c:pt>
                <c:pt idx="20">
                  <c:v>12.525914428333332</c:v>
                </c:pt>
                <c:pt idx="21">
                  <c:v>12.412296777499998</c:v>
                </c:pt>
                <c:pt idx="22">
                  <c:v>12.086005053333333</c:v>
                </c:pt>
                <c:pt idx="23">
                  <c:v>12.185915074166667</c:v>
                </c:pt>
                <c:pt idx="24">
                  <c:v>12.493158029999998</c:v>
                </c:pt>
                <c:pt idx="25">
                  <c:v>12.555856278333332</c:v>
                </c:pt>
                <c:pt idx="26">
                  <c:v>13.068214145833332</c:v>
                </c:pt>
                <c:pt idx="27">
                  <c:v>15.913004581666661</c:v>
                </c:pt>
                <c:pt idx="28">
                  <c:v>19.384323212499996</c:v>
                </c:pt>
                <c:pt idx="29">
                  <c:v>19.732538467499996</c:v>
                </c:pt>
                <c:pt idx="30">
                  <c:v>20.667112564166665</c:v>
                </c:pt>
                <c:pt idx="31">
                  <c:v>20.460593554166667</c:v>
                </c:pt>
                <c:pt idx="32">
                  <c:v>20.307773458333333</c:v>
                </c:pt>
                <c:pt idx="33">
                  <c:v>20.745190224166659</c:v>
                </c:pt>
                <c:pt idx="34">
                  <c:v>20.894146248333325</c:v>
                </c:pt>
                <c:pt idx="35">
                  <c:v>21.190204483333321</c:v>
                </c:pt>
                <c:pt idx="36">
                  <c:v>21.054584679166656</c:v>
                </c:pt>
                <c:pt idx="37">
                  <c:v>21.358963500833323</c:v>
                </c:pt>
                <c:pt idx="38">
                  <c:v>21.41342968833332</c:v>
                </c:pt>
                <c:pt idx="39">
                  <c:v>18.844971963333325</c:v>
                </c:pt>
                <c:pt idx="40">
                  <c:v>15.970000834999993</c:v>
                </c:pt>
                <c:pt idx="41">
                  <c:v>15.645028462499992</c:v>
                </c:pt>
                <c:pt idx="42">
                  <c:v>14.859854667499993</c:v>
                </c:pt>
                <c:pt idx="43">
                  <c:v>14.935333970833328</c:v>
                </c:pt>
                <c:pt idx="44">
                  <c:v>15.340145778333328</c:v>
                </c:pt>
                <c:pt idx="45">
                  <c:v>15.399275312499995</c:v>
                </c:pt>
                <c:pt idx="46">
                  <c:v>15.404744308333328</c:v>
                </c:pt>
                <c:pt idx="47">
                  <c:v>15.349979099999993</c:v>
                </c:pt>
                <c:pt idx="48">
                  <c:v>15.480802720833331</c:v>
                </c:pt>
              </c:numCache>
            </c:numRef>
          </c:val>
          <c:smooth val="1"/>
        </c:ser>
        <c:marker val="1"/>
        <c:axId val="48877568"/>
        <c:axId val="48879104"/>
      </c:lineChart>
      <c:dateAx>
        <c:axId val="4887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79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879104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775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[23]Pais_5!$D$21:$D$69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[23]Pais_5!$E$21:$E$69</c:f>
              <c:numCache>
                <c:formatCode>General</c:formatCode>
                <c:ptCount val="49"/>
                <c:pt idx="0">
                  <c:v>7.6193411291666644</c:v>
                </c:pt>
                <c:pt idx="1">
                  <c:v>7.3717861191666652</c:v>
                </c:pt>
                <c:pt idx="2">
                  <c:v>6.3610162491666671</c:v>
                </c:pt>
                <c:pt idx="3">
                  <c:v>6.468260626666666</c:v>
                </c:pt>
                <c:pt idx="4">
                  <c:v>6.5514017783333323</c:v>
                </c:pt>
                <c:pt idx="5">
                  <c:v>6.8732925566666667</c:v>
                </c:pt>
                <c:pt idx="6">
                  <c:v>6.7953130733333333</c:v>
                </c:pt>
                <c:pt idx="7">
                  <c:v>6.7449189191666648</c:v>
                </c:pt>
                <c:pt idx="8">
                  <c:v>6.774730299999999</c:v>
                </c:pt>
                <c:pt idx="9">
                  <c:v>6.6250621366666662</c:v>
                </c:pt>
                <c:pt idx="10">
                  <c:v>6.7464206141666665</c:v>
                </c:pt>
                <c:pt idx="11">
                  <c:v>6.9601395699999999</c:v>
                </c:pt>
                <c:pt idx="12">
                  <c:v>7.0845458525000007</c:v>
                </c:pt>
                <c:pt idx="13">
                  <c:v>7.1620208466666675</c:v>
                </c:pt>
                <c:pt idx="14">
                  <c:v>7.1960916708333356</c:v>
                </c:pt>
                <c:pt idx="15">
                  <c:v>7.2317787841666687</c:v>
                </c:pt>
                <c:pt idx="16">
                  <c:v>7.1523072350000012</c:v>
                </c:pt>
                <c:pt idx="17">
                  <c:v>6.6954496849999998</c:v>
                </c:pt>
                <c:pt idx="18">
                  <c:v>6.9504124433333319</c:v>
                </c:pt>
                <c:pt idx="19">
                  <c:v>9.3125301683333337</c:v>
                </c:pt>
                <c:pt idx="20">
                  <c:v>10.186985153333332</c:v>
                </c:pt>
                <c:pt idx="21">
                  <c:v>10.251298496666665</c:v>
                </c:pt>
                <c:pt idx="22">
                  <c:v>11.254535889166666</c:v>
                </c:pt>
                <c:pt idx="23">
                  <c:v>11.743016564999998</c:v>
                </c:pt>
                <c:pt idx="24">
                  <c:v>12.850727167499999</c:v>
                </c:pt>
                <c:pt idx="25">
                  <c:v>13.715091778333331</c:v>
                </c:pt>
                <c:pt idx="26">
                  <c:v>14.554923963333332</c:v>
                </c:pt>
                <c:pt idx="27">
                  <c:v>14.998190687499999</c:v>
                </c:pt>
                <c:pt idx="28">
                  <c:v>15.367297680833332</c:v>
                </c:pt>
                <c:pt idx="29">
                  <c:v>15.70384204833333</c:v>
                </c:pt>
                <c:pt idx="30">
                  <c:v>16.423704016666662</c:v>
                </c:pt>
                <c:pt idx="31">
                  <c:v>14.442754508333328</c:v>
                </c:pt>
                <c:pt idx="32">
                  <c:v>13.883254489166662</c:v>
                </c:pt>
                <c:pt idx="33">
                  <c:v>14.337297891666664</c:v>
                </c:pt>
                <c:pt idx="34">
                  <c:v>13.966551735833333</c:v>
                </c:pt>
                <c:pt idx="35">
                  <c:v>14.289054347499997</c:v>
                </c:pt>
                <c:pt idx="36">
                  <c:v>13.624407608333327</c:v>
                </c:pt>
                <c:pt idx="37">
                  <c:v>13.319060414999994</c:v>
                </c:pt>
                <c:pt idx="38">
                  <c:v>13.268272514166661</c:v>
                </c:pt>
                <c:pt idx="39">
                  <c:v>12.963349898333327</c:v>
                </c:pt>
                <c:pt idx="40">
                  <c:v>12.774486460833328</c:v>
                </c:pt>
                <c:pt idx="41">
                  <c:v>12.751616096666664</c:v>
                </c:pt>
                <c:pt idx="42">
                  <c:v>12.064956919999995</c:v>
                </c:pt>
                <c:pt idx="43">
                  <c:v>11.658971623333329</c:v>
                </c:pt>
                <c:pt idx="44">
                  <c:v>12.184118451666663</c:v>
                </c:pt>
                <c:pt idx="45">
                  <c:v>12.738885524999995</c:v>
                </c:pt>
                <c:pt idx="46">
                  <c:v>13.022633454999996</c:v>
                </c:pt>
                <c:pt idx="47">
                  <c:v>12.880487674999992</c:v>
                </c:pt>
                <c:pt idx="48">
                  <c:v>13.129926120833332</c:v>
                </c:pt>
              </c:numCache>
            </c:numRef>
          </c:val>
          <c:smooth val="1"/>
        </c:ser>
        <c:marker val="1"/>
        <c:axId val="48885760"/>
        <c:axId val="49315840"/>
      </c:lineChart>
      <c:dateAx>
        <c:axId val="48885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158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315840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857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[23]ciiu_1!$D$21:$D$69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[23]ciiu_1!$E$21:$E$69</c:f>
              <c:numCache>
                <c:formatCode>General</c:formatCode>
                <c:ptCount val="49"/>
                <c:pt idx="0">
                  <c:v>8.2412909733333333</c:v>
                </c:pt>
                <c:pt idx="1">
                  <c:v>9.5145734016666683</c:v>
                </c:pt>
                <c:pt idx="2">
                  <c:v>10.84258495416667</c:v>
                </c:pt>
                <c:pt idx="3">
                  <c:v>12.138161029166673</c:v>
                </c:pt>
                <c:pt idx="4">
                  <c:v>13.685289770833341</c:v>
                </c:pt>
                <c:pt idx="5">
                  <c:v>15.056262162500007</c:v>
                </c:pt>
                <c:pt idx="6">
                  <c:v>16.913906625000006</c:v>
                </c:pt>
                <c:pt idx="7">
                  <c:v>19.425939830000008</c:v>
                </c:pt>
                <c:pt idx="8">
                  <c:v>20.817165196666675</c:v>
                </c:pt>
                <c:pt idx="9">
                  <c:v>25.421301685000007</c:v>
                </c:pt>
                <c:pt idx="10">
                  <c:v>26.834686419999997</c:v>
                </c:pt>
                <c:pt idx="11">
                  <c:v>26.919218944166669</c:v>
                </c:pt>
                <c:pt idx="12">
                  <c:v>28.38398176083334</c:v>
                </c:pt>
                <c:pt idx="13">
                  <c:v>29.484877137500003</c:v>
                </c:pt>
                <c:pt idx="14">
                  <c:v>30.007861652499997</c:v>
                </c:pt>
                <c:pt idx="15">
                  <c:v>32.192628568333326</c:v>
                </c:pt>
                <c:pt idx="16">
                  <c:v>36.811050180833313</c:v>
                </c:pt>
                <c:pt idx="17">
                  <c:v>38.920501387499975</c:v>
                </c:pt>
                <c:pt idx="18">
                  <c:v>41.033858628333313</c:v>
                </c:pt>
                <c:pt idx="19">
                  <c:v>42.922621126666634</c:v>
                </c:pt>
                <c:pt idx="20">
                  <c:v>46.41222407999998</c:v>
                </c:pt>
                <c:pt idx="21">
                  <c:v>45.931025934999973</c:v>
                </c:pt>
                <c:pt idx="22">
                  <c:v>49.701152694999983</c:v>
                </c:pt>
                <c:pt idx="23">
                  <c:v>51.827698202499988</c:v>
                </c:pt>
                <c:pt idx="24">
                  <c:v>53.301472651666664</c:v>
                </c:pt>
                <c:pt idx="25">
                  <c:v>52.510905649999991</c:v>
                </c:pt>
                <c:pt idx="26">
                  <c:v>53.036148822499989</c:v>
                </c:pt>
                <c:pt idx="27">
                  <c:v>53.355211284999989</c:v>
                </c:pt>
                <c:pt idx="28">
                  <c:v>49.304254249166661</c:v>
                </c:pt>
                <c:pt idx="29">
                  <c:v>51.93044577749999</c:v>
                </c:pt>
                <c:pt idx="30">
                  <c:v>51.149066214166673</c:v>
                </c:pt>
                <c:pt idx="31">
                  <c:v>54.249657341666683</c:v>
                </c:pt>
                <c:pt idx="32">
                  <c:v>52.275167924166674</c:v>
                </c:pt>
                <c:pt idx="33">
                  <c:v>51.932775249166689</c:v>
                </c:pt>
                <c:pt idx="34">
                  <c:v>48.986557592500027</c:v>
                </c:pt>
                <c:pt idx="35">
                  <c:v>52.20723711583333</c:v>
                </c:pt>
                <c:pt idx="36">
                  <c:v>51.958616264999989</c:v>
                </c:pt>
                <c:pt idx="37">
                  <c:v>52.949672347499991</c:v>
                </c:pt>
                <c:pt idx="38">
                  <c:v>52.897555864999987</c:v>
                </c:pt>
                <c:pt idx="39">
                  <c:v>52.772399600833324</c:v>
                </c:pt>
                <c:pt idx="40">
                  <c:v>52.821547451666667</c:v>
                </c:pt>
                <c:pt idx="41">
                  <c:v>49.352520728333339</c:v>
                </c:pt>
                <c:pt idx="42">
                  <c:v>48.592557464999999</c:v>
                </c:pt>
                <c:pt idx="43">
                  <c:v>46.945843264166662</c:v>
                </c:pt>
                <c:pt idx="44">
                  <c:v>51.225016166666641</c:v>
                </c:pt>
                <c:pt idx="45">
                  <c:v>53.351761706666601</c:v>
                </c:pt>
                <c:pt idx="46">
                  <c:v>56.130532319999951</c:v>
                </c:pt>
                <c:pt idx="47">
                  <c:v>53.759492677499964</c:v>
                </c:pt>
                <c:pt idx="48">
                  <c:v>53.857903929999956</c:v>
                </c:pt>
              </c:numCache>
            </c:numRef>
          </c:val>
          <c:smooth val="1"/>
        </c:ser>
        <c:marker val="1"/>
        <c:axId val="49318144"/>
        <c:axId val="49352704"/>
      </c:lineChart>
      <c:dateAx>
        <c:axId val="4931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52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35270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1814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[23]ciiu_2!$D$21:$D$69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[23]ciiu_2!$E$21:$E$69</c:f>
              <c:numCache>
                <c:formatCode>General</c:formatCode>
                <c:ptCount val="49"/>
                <c:pt idx="0">
                  <c:v>44.35935365000001</c:v>
                </c:pt>
                <c:pt idx="1">
                  <c:v>47.002448523333349</c:v>
                </c:pt>
                <c:pt idx="2">
                  <c:v>45.324054310833354</c:v>
                </c:pt>
                <c:pt idx="3">
                  <c:v>45.788504250000017</c:v>
                </c:pt>
                <c:pt idx="4">
                  <c:v>45.014168568333353</c:v>
                </c:pt>
                <c:pt idx="5">
                  <c:v>43.956835172500014</c:v>
                </c:pt>
                <c:pt idx="6">
                  <c:v>42.671427347500021</c:v>
                </c:pt>
                <c:pt idx="7">
                  <c:v>42.858163845833353</c:v>
                </c:pt>
                <c:pt idx="8">
                  <c:v>43.562413795833343</c:v>
                </c:pt>
                <c:pt idx="9">
                  <c:v>44.785934125000004</c:v>
                </c:pt>
                <c:pt idx="10">
                  <c:v>45.10113625916668</c:v>
                </c:pt>
                <c:pt idx="11">
                  <c:v>44.424552756666685</c:v>
                </c:pt>
                <c:pt idx="12">
                  <c:v>44.288158328333338</c:v>
                </c:pt>
                <c:pt idx="13">
                  <c:v>42.420907605000011</c:v>
                </c:pt>
                <c:pt idx="14">
                  <c:v>41.660988658333345</c:v>
                </c:pt>
                <c:pt idx="15">
                  <c:v>40.587365936666679</c:v>
                </c:pt>
                <c:pt idx="16">
                  <c:v>40.423228725000008</c:v>
                </c:pt>
                <c:pt idx="17">
                  <c:v>40.327827106666668</c:v>
                </c:pt>
                <c:pt idx="18">
                  <c:v>40.742997415833337</c:v>
                </c:pt>
                <c:pt idx="19">
                  <c:v>40.762934613333329</c:v>
                </c:pt>
                <c:pt idx="20">
                  <c:v>40.191517032499995</c:v>
                </c:pt>
                <c:pt idx="21">
                  <c:v>39.150853833333336</c:v>
                </c:pt>
                <c:pt idx="22">
                  <c:v>38.786233275833332</c:v>
                </c:pt>
                <c:pt idx="23">
                  <c:v>39.10660887416666</c:v>
                </c:pt>
                <c:pt idx="24">
                  <c:v>39.864105951666666</c:v>
                </c:pt>
                <c:pt idx="25">
                  <c:v>40.612711901666664</c:v>
                </c:pt>
                <c:pt idx="26">
                  <c:v>41.07653391583333</c:v>
                </c:pt>
                <c:pt idx="27">
                  <c:v>42.096884978333343</c:v>
                </c:pt>
                <c:pt idx="28">
                  <c:v>42.805342809166667</c:v>
                </c:pt>
                <c:pt idx="29">
                  <c:v>43.171692647500002</c:v>
                </c:pt>
                <c:pt idx="30">
                  <c:v>43.496030688333327</c:v>
                </c:pt>
                <c:pt idx="31">
                  <c:v>43.228913793333341</c:v>
                </c:pt>
                <c:pt idx="32">
                  <c:v>43.478838510833327</c:v>
                </c:pt>
                <c:pt idx="33">
                  <c:v>44.90556924083333</c:v>
                </c:pt>
                <c:pt idx="34">
                  <c:v>45.227196853333318</c:v>
                </c:pt>
                <c:pt idx="35">
                  <c:v>45.828865060833323</c:v>
                </c:pt>
                <c:pt idx="36">
                  <c:v>45.978570624166657</c:v>
                </c:pt>
                <c:pt idx="37">
                  <c:v>45.35934451666666</c:v>
                </c:pt>
                <c:pt idx="38">
                  <c:v>45.888796204999984</c:v>
                </c:pt>
                <c:pt idx="39">
                  <c:v>45.533277579999975</c:v>
                </c:pt>
                <c:pt idx="40">
                  <c:v>45.061046163333316</c:v>
                </c:pt>
                <c:pt idx="41">
                  <c:v>45.519360191666642</c:v>
                </c:pt>
                <c:pt idx="42">
                  <c:v>44.751689766666651</c:v>
                </c:pt>
                <c:pt idx="43">
                  <c:v>44.014890185833309</c:v>
                </c:pt>
                <c:pt idx="44">
                  <c:v>44.463598418333305</c:v>
                </c:pt>
                <c:pt idx="45">
                  <c:v>43.922961626666648</c:v>
                </c:pt>
                <c:pt idx="46">
                  <c:v>44.010668228333309</c:v>
                </c:pt>
                <c:pt idx="47">
                  <c:v>44.020520719999979</c:v>
                </c:pt>
                <c:pt idx="48">
                  <c:v>43.709650861666653</c:v>
                </c:pt>
              </c:numCache>
            </c:numRef>
          </c:val>
          <c:smooth val="1"/>
        </c:ser>
        <c:marker val="1"/>
        <c:axId val="49709440"/>
        <c:axId val="49710976"/>
      </c:lineChart>
      <c:dateAx>
        <c:axId val="49709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109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710976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94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[23]ciiu_3!$D$21:$D$69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[23]ciiu_3!$E$21:$E$69</c:f>
              <c:numCache>
                <c:formatCode>General</c:formatCode>
                <c:ptCount val="49"/>
                <c:pt idx="0">
                  <c:v>21.436667131666667</c:v>
                </c:pt>
                <c:pt idx="1">
                  <c:v>21.268530164166663</c:v>
                </c:pt>
                <c:pt idx="2">
                  <c:v>20.039754477500001</c:v>
                </c:pt>
                <c:pt idx="3">
                  <c:v>20.178767850000003</c:v>
                </c:pt>
                <c:pt idx="4">
                  <c:v>19.931631619166673</c:v>
                </c:pt>
                <c:pt idx="5">
                  <c:v>19.107756288333341</c:v>
                </c:pt>
                <c:pt idx="6">
                  <c:v>18.469198256666672</c:v>
                </c:pt>
                <c:pt idx="7">
                  <c:v>18.185925160000007</c:v>
                </c:pt>
                <c:pt idx="8">
                  <c:v>18.009831485833342</c:v>
                </c:pt>
                <c:pt idx="9">
                  <c:v>18.898869692500007</c:v>
                </c:pt>
                <c:pt idx="10">
                  <c:v>18.920276355833348</c:v>
                </c:pt>
                <c:pt idx="11">
                  <c:v>18.827581924166676</c:v>
                </c:pt>
                <c:pt idx="12">
                  <c:v>19.301638440833344</c:v>
                </c:pt>
                <c:pt idx="13">
                  <c:v>19.816331329166676</c:v>
                </c:pt>
                <c:pt idx="14">
                  <c:v>20.346194854166676</c:v>
                </c:pt>
                <c:pt idx="15">
                  <c:v>21.22093058916667</c:v>
                </c:pt>
                <c:pt idx="16">
                  <c:v>21.962152970833341</c:v>
                </c:pt>
                <c:pt idx="17">
                  <c:v>23.580786679166675</c:v>
                </c:pt>
                <c:pt idx="18">
                  <c:v>25.249741973333332</c:v>
                </c:pt>
                <c:pt idx="19">
                  <c:v>27.992489251666672</c:v>
                </c:pt>
                <c:pt idx="20">
                  <c:v>30.780365389166676</c:v>
                </c:pt>
                <c:pt idx="21">
                  <c:v>31.808958465000003</c:v>
                </c:pt>
                <c:pt idx="22">
                  <c:v>32.486783196666671</c:v>
                </c:pt>
                <c:pt idx="23">
                  <c:v>33.076064515833338</c:v>
                </c:pt>
                <c:pt idx="24">
                  <c:v>33.335994160833337</c:v>
                </c:pt>
                <c:pt idx="25">
                  <c:v>33.283156583333337</c:v>
                </c:pt>
                <c:pt idx="26">
                  <c:v>33.192691623333339</c:v>
                </c:pt>
                <c:pt idx="27">
                  <c:v>32.692951433333342</c:v>
                </c:pt>
                <c:pt idx="28">
                  <c:v>32.989719380000004</c:v>
                </c:pt>
                <c:pt idx="29">
                  <c:v>32.198859042500004</c:v>
                </c:pt>
                <c:pt idx="30">
                  <c:v>31.244780012500012</c:v>
                </c:pt>
                <c:pt idx="31">
                  <c:v>28.683374705000006</c:v>
                </c:pt>
                <c:pt idx="32">
                  <c:v>26.279724164166666</c:v>
                </c:pt>
                <c:pt idx="33">
                  <c:v>25.443186600833332</c:v>
                </c:pt>
                <c:pt idx="34">
                  <c:v>24.859214725833336</c:v>
                </c:pt>
                <c:pt idx="35">
                  <c:v>25.151105183333332</c:v>
                </c:pt>
                <c:pt idx="36">
                  <c:v>25.242073523333332</c:v>
                </c:pt>
                <c:pt idx="37">
                  <c:v>25.6557896875</c:v>
                </c:pt>
                <c:pt idx="38">
                  <c:v>25.893194809999994</c:v>
                </c:pt>
                <c:pt idx="39">
                  <c:v>25.807296774166662</c:v>
                </c:pt>
                <c:pt idx="40">
                  <c:v>25.004519185833331</c:v>
                </c:pt>
                <c:pt idx="41">
                  <c:v>24.641099706666665</c:v>
                </c:pt>
                <c:pt idx="42">
                  <c:v>25.151653842499996</c:v>
                </c:pt>
                <c:pt idx="43">
                  <c:v>25.146388361666656</c:v>
                </c:pt>
                <c:pt idx="44">
                  <c:v>26.071300829166656</c:v>
                </c:pt>
                <c:pt idx="45">
                  <c:v>26.37202933833332</c:v>
                </c:pt>
                <c:pt idx="46">
                  <c:v>26.89949404333333</c:v>
                </c:pt>
                <c:pt idx="47">
                  <c:v>27.329230911666659</c:v>
                </c:pt>
                <c:pt idx="48">
                  <c:v>28.120267769166663</c:v>
                </c:pt>
              </c:numCache>
            </c:numRef>
          </c:val>
        </c:ser>
        <c:marker val="1"/>
        <c:axId val="49740800"/>
        <c:axId val="49746688"/>
      </c:lineChart>
      <c:dateAx>
        <c:axId val="49740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66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746688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08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[23]ciiu_4!$D$21:$D$69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[23]ciiu_4!$E$21:$E$69</c:f>
              <c:numCache>
                <c:formatCode>General</c:formatCode>
                <c:ptCount val="49"/>
                <c:pt idx="0">
                  <c:v>15.728549615</c:v>
                </c:pt>
                <c:pt idx="1">
                  <c:v>15.679299966666667</c:v>
                </c:pt>
                <c:pt idx="2">
                  <c:v>15.19994593083333</c:v>
                </c:pt>
                <c:pt idx="3">
                  <c:v>14.990292768333331</c:v>
                </c:pt>
                <c:pt idx="4">
                  <c:v>14.7309885</c:v>
                </c:pt>
                <c:pt idx="5">
                  <c:v>14.518990800833331</c:v>
                </c:pt>
                <c:pt idx="6">
                  <c:v>13.946472753333333</c:v>
                </c:pt>
                <c:pt idx="7">
                  <c:v>13.738736267499997</c:v>
                </c:pt>
                <c:pt idx="8">
                  <c:v>13.819736270833333</c:v>
                </c:pt>
                <c:pt idx="9">
                  <c:v>13.7756889375</c:v>
                </c:pt>
                <c:pt idx="10">
                  <c:v>14.023670532499999</c:v>
                </c:pt>
                <c:pt idx="11">
                  <c:v>14.059890238333331</c:v>
                </c:pt>
                <c:pt idx="12">
                  <c:v>14.431678624166665</c:v>
                </c:pt>
                <c:pt idx="13">
                  <c:v>14.560930649999998</c:v>
                </c:pt>
                <c:pt idx="14">
                  <c:v>14.591671398333334</c:v>
                </c:pt>
                <c:pt idx="15">
                  <c:v>14.658592814166672</c:v>
                </c:pt>
                <c:pt idx="16">
                  <c:v>14.334616765833331</c:v>
                </c:pt>
                <c:pt idx="17">
                  <c:v>14.502024460000001</c:v>
                </c:pt>
                <c:pt idx="18">
                  <c:v>14.607061957499999</c:v>
                </c:pt>
                <c:pt idx="19">
                  <c:v>14.617392569166666</c:v>
                </c:pt>
                <c:pt idx="20">
                  <c:v>14.987164715</c:v>
                </c:pt>
                <c:pt idx="21">
                  <c:v>15.061438935</c:v>
                </c:pt>
                <c:pt idx="22">
                  <c:v>15.192552441666676</c:v>
                </c:pt>
                <c:pt idx="23">
                  <c:v>15.332398138333341</c:v>
                </c:pt>
                <c:pt idx="24">
                  <c:v>15.418565355833339</c:v>
                </c:pt>
                <c:pt idx="25">
                  <c:v>15.50635131083334</c:v>
                </c:pt>
                <c:pt idx="26">
                  <c:v>15.661868365833342</c:v>
                </c:pt>
                <c:pt idx="27">
                  <c:v>15.809223649166675</c:v>
                </c:pt>
                <c:pt idx="28">
                  <c:v>16.259010192500007</c:v>
                </c:pt>
                <c:pt idx="29">
                  <c:v>16.514289863333342</c:v>
                </c:pt>
                <c:pt idx="30">
                  <c:v>17.040904015000006</c:v>
                </c:pt>
                <c:pt idx="31">
                  <c:v>17.204968409166675</c:v>
                </c:pt>
                <c:pt idx="32">
                  <c:v>17.44754741833334</c:v>
                </c:pt>
                <c:pt idx="33">
                  <c:v>18.152476415000002</c:v>
                </c:pt>
                <c:pt idx="34">
                  <c:v>18.516204892499999</c:v>
                </c:pt>
                <c:pt idx="35">
                  <c:v>19.045656731666661</c:v>
                </c:pt>
                <c:pt idx="36">
                  <c:v>19.373752504999995</c:v>
                </c:pt>
                <c:pt idx="37">
                  <c:v>19.599477959166659</c:v>
                </c:pt>
                <c:pt idx="38">
                  <c:v>20.298800183333327</c:v>
                </c:pt>
                <c:pt idx="39">
                  <c:v>20.843107209166654</c:v>
                </c:pt>
                <c:pt idx="40">
                  <c:v>21.212503679999987</c:v>
                </c:pt>
                <c:pt idx="41">
                  <c:v>21.462671349166651</c:v>
                </c:pt>
                <c:pt idx="42">
                  <c:v>21.611198524999988</c:v>
                </c:pt>
                <c:pt idx="43">
                  <c:v>21.731618996666651</c:v>
                </c:pt>
                <c:pt idx="44">
                  <c:v>21.875680437499984</c:v>
                </c:pt>
                <c:pt idx="45">
                  <c:v>21.734491066666653</c:v>
                </c:pt>
                <c:pt idx="46">
                  <c:v>21.442173780833318</c:v>
                </c:pt>
                <c:pt idx="47">
                  <c:v>21.246029746666654</c:v>
                </c:pt>
                <c:pt idx="48">
                  <c:v>20.987683088333323</c:v>
                </c:pt>
              </c:numCache>
            </c:numRef>
          </c:val>
        </c:ser>
        <c:marker val="1"/>
        <c:axId val="49792896"/>
        <c:axId val="49794432"/>
      </c:lineChart>
      <c:dateAx>
        <c:axId val="4979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4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794432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2896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[23]ciiu_5!$D$21:$D$69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[23]ciiu_5!$E$21:$E$69</c:f>
              <c:numCache>
                <c:formatCode>General</c:formatCode>
                <c:ptCount val="49"/>
                <c:pt idx="0">
                  <c:v>30.226269621666663</c:v>
                </c:pt>
                <c:pt idx="1">
                  <c:v>29.669869774999995</c:v>
                </c:pt>
                <c:pt idx="2">
                  <c:v>26.74248184166666</c:v>
                </c:pt>
                <c:pt idx="3">
                  <c:v>24.65384767583333</c:v>
                </c:pt>
                <c:pt idx="4">
                  <c:v>23.05967395916667</c:v>
                </c:pt>
                <c:pt idx="5">
                  <c:v>22.263472544166664</c:v>
                </c:pt>
                <c:pt idx="6">
                  <c:v>21.356658923333338</c:v>
                </c:pt>
                <c:pt idx="7">
                  <c:v>20.560388841666668</c:v>
                </c:pt>
                <c:pt idx="8">
                  <c:v>20.16964782416667</c:v>
                </c:pt>
                <c:pt idx="9">
                  <c:v>17.008287950833338</c:v>
                </c:pt>
                <c:pt idx="10">
                  <c:v>14.666931703333338</c:v>
                </c:pt>
                <c:pt idx="11">
                  <c:v>14.417360290000003</c:v>
                </c:pt>
                <c:pt idx="12">
                  <c:v>14.330803093333337</c:v>
                </c:pt>
                <c:pt idx="13">
                  <c:v>14.599259789999998</c:v>
                </c:pt>
                <c:pt idx="14">
                  <c:v>14.533863280833332</c:v>
                </c:pt>
                <c:pt idx="15">
                  <c:v>14.656413392500001</c:v>
                </c:pt>
                <c:pt idx="16">
                  <c:v>14.905566910833334</c:v>
                </c:pt>
                <c:pt idx="17">
                  <c:v>15.284423713333334</c:v>
                </c:pt>
                <c:pt idx="18">
                  <c:v>15.472928923333336</c:v>
                </c:pt>
                <c:pt idx="19">
                  <c:v>16.986573063333342</c:v>
                </c:pt>
                <c:pt idx="20">
                  <c:v>17.184891613333345</c:v>
                </c:pt>
                <c:pt idx="21">
                  <c:v>17.230164251666675</c:v>
                </c:pt>
                <c:pt idx="22">
                  <c:v>17.680371700833348</c:v>
                </c:pt>
                <c:pt idx="23">
                  <c:v>17.724229830833348</c:v>
                </c:pt>
                <c:pt idx="24">
                  <c:v>18.267408269166683</c:v>
                </c:pt>
                <c:pt idx="25">
                  <c:v>18.05600345333335</c:v>
                </c:pt>
                <c:pt idx="26">
                  <c:v>18.332448111666682</c:v>
                </c:pt>
                <c:pt idx="27">
                  <c:v>18.663593040833344</c:v>
                </c:pt>
                <c:pt idx="28">
                  <c:v>18.806936319166681</c:v>
                </c:pt>
                <c:pt idx="29">
                  <c:v>18.835264034166681</c:v>
                </c:pt>
                <c:pt idx="30">
                  <c:v>19.048853341666682</c:v>
                </c:pt>
                <c:pt idx="31">
                  <c:v>17.892729034166674</c:v>
                </c:pt>
                <c:pt idx="32">
                  <c:v>17.767894255000009</c:v>
                </c:pt>
                <c:pt idx="33">
                  <c:v>18.476960850000005</c:v>
                </c:pt>
                <c:pt idx="34">
                  <c:v>18.284546445833335</c:v>
                </c:pt>
                <c:pt idx="35">
                  <c:v>18.918583850833329</c:v>
                </c:pt>
                <c:pt idx="36">
                  <c:v>19.07149873083333</c:v>
                </c:pt>
                <c:pt idx="37">
                  <c:v>19.738001481666668</c:v>
                </c:pt>
                <c:pt idx="38">
                  <c:v>20.185269109999997</c:v>
                </c:pt>
                <c:pt idx="39">
                  <c:v>20.040446088333336</c:v>
                </c:pt>
                <c:pt idx="40">
                  <c:v>19.932105189166666</c:v>
                </c:pt>
                <c:pt idx="41">
                  <c:v>19.911617657499999</c:v>
                </c:pt>
                <c:pt idx="42">
                  <c:v>19.865021451666671</c:v>
                </c:pt>
                <c:pt idx="43">
                  <c:v>19.531605270833342</c:v>
                </c:pt>
                <c:pt idx="44">
                  <c:v>19.727660788333342</c:v>
                </c:pt>
                <c:pt idx="45">
                  <c:v>19.524189086666677</c:v>
                </c:pt>
                <c:pt idx="46">
                  <c:v>19.26251470250001</c:v>
                </c:pt>
                <c:pt idx="47">
                  <c:v>19.121194034166678</c:v>
                </c:pt>
                <c:pt idx="48">
                  <c:v>18.737883674166671</c:v>
                </c:pt>
              </c:numCache>
            </c:numRef>
          </c:val>
        </c:ser>
        <c:marker val="1"/>
        <c:axId val="48214784"/>
        <c:axId val="48216320"/>
      </c:lineChart>
      <c:dateAx>
        <c:axId val="4821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16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216320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147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-80.5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48.5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247.7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31</xdr:row>
      <xdr:rowOff>85725</xdr:rowOff>
    </xdr:from>
    <xdr:to>
      <xdr:col>7</xdr:col>
      <xdr:colOff>285750</xdr:colOff>
      <xdr:row>44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29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Cuadro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umen_ciiu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aise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umen_venezuela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aises_disminuyeron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aises_aumentaron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Comex\Exportaciones\Cuadros_informe\resumen_pais_destino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umen_pais_destin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umen_pais_dest_prim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_pais_dest_manufactura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_pais_dest_rec_naturale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_pais_dest_baja_tek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_pais_dest_media_tek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_pais_dest_alta_tek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cuadro1c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resumen_subpartida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cuadro_historico1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historico_tradicionales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historico_intensidad_tecnologica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rinc_paises_tek_P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rincipales_paises_p2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rincipales_paises_p3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rincipales_paises_p4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principales_paises_p5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historico_ciiu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otal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radicional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no_tradicional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ek_primarios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ek_rec_naturales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ek_baja_tecnologia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ek_tecnologia_media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deptos_origen_tek_alta_tecnologia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ipo_exportacion"/>
      <sheetName val="Tek"/>
    </sheetNames>
    <sheetDataSet>
      <sheetData sheetId="0">
        <row r="2">
          <cell r="C2">
            <v>186488247.78999963</v>
          </cell>
          <cell r="D2">
            <v>15897211.899999989</v>
          </cell>
        </row>
        <row r="3">
          <cell r="C3">
            <v>2051147908.9500201</v>
          </cell>
          <cell r="D3">
            <v>255407268.40000099</v>
          </cell>
        </row>
        <row r="4">
          <cell r="C4">
            <v>161968891.11999995</v>
          </cell>
          <cell r="D4">
            <v>21486942.090000015</v>
          </cell>
        </row>
        <row r="5">
          <cell r="C5">
            <v>2011155033.540009</v>
          </cell>
          <cell r="D5">
            <v>224192923.93999922</v>
          </cell>
        </row>
      </sheetData>
      <sheetData sheetId="1">
        <row r="2">
          <cell r="D2">
            <v>655952078.63999748</v>
          </cell>
          <cell r="E2">
            <v>58422400.809999906</v>
          </cell>
        </row>
        <row r="3">
          <cell r="D3">
            <v>303184868.83999842</v>
          </cell>
          <cell r="E3">
            <v>45721718.70000007</v>
          </cell>
        </row>
        <row r="4">
          <cell r="D4">
            <v>493099372.21999812</v>
          </cell>
          <cell r="E4">
            <v>65476478.730000027</v>
          </cell>
        </row>
        <row r="5">
          <cell r="D5">
            <v>491989044.79999769</v>
          </cell>
          <cell r="E5">
            <v>61538640.3800001</v>
          </cell>
        </row>
        <row r="6">
          <cell r="D6">
            <v>219192956.12000015</v>
          </cell>
          <cell r="E6">
            <v>29476665.810000002</v>
          </cell>
        </row>
        <row r="7">
          <cell r="D7">
            <v>74217836.120000109</v>
          </cell>
          <cell r="E7">
            <v>10668575.869999997</v>
          </cell>
        </row>
        <row r="8">
          <cell r="D8">
            <v>2895</v>
          </cell>
          <cell r="E8">
            <v>2895</v>
          </cell>
        </row>
        <row r="9">
          <cell r="D9">
            <v>679228082.82999659</v>
          </cell>
          <cell r="E9">
            <v>70101548.890000105</v>
          </cell>
        </row>
        <row r="10">
          <cell r="D10">
            <v>286181829.9100014</v>
          </cell>
          <cell r="E10">
            <v>36834505.869999945</v>
          </cell>
        </row>
        <row r="11">
          <cell r="D11">
            <v>441057874.11999744</v>
          </cell>
          <cell r="E11">
            <v>51089905.890000157</v>
          </cell>
        </row>
        <row r="12">
          <cell r="D12">
            <v>432570434.26999837</v>
          </cell>
          <cell r="E12">
            <v>49251789.100000046</v>
          </cell>
        </row>
        <row r="13">
          <cell r="D13">
            <v>271074864.98000145</v>
          </cell>
          <cell r="E13">
            <v>32101884.779999979</v>
          </cell>
        </row>
        <row r="14">
          <cell r="D14">
            <v>63007943.549999811</v>
          </cell>
          <cell r="E14">
            <v>6297336.5000000047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C2">
            <v>488505198.39000022</v>
          </cell>
          <cell r="D2">
            <v>44838158.179999962</v>
          </cell>
          <cell r="E2" t="str">
            <v>Agricultura</v>
          </cell>
          <cell r="G2">
            <v>500941476.12999916</v>
          </cell>
          <cell r="H2">
            <v>46019093.210000031</v>
          </cell>
        </row>
        <row r="3">
          <cell r="C3">
            <v>359674845.52999997</v>
          </cell>
          <cell r="D3">
            <v>48358125.690000109</v>
          </cell>
          <cell r="E3" t="str">
            <v>Productos quimicos</v>
          </cell>
          <cell r="G3">
            <v>343458101.91000032</v>
          </cell>
          <cell r="H3">
            <v>44627687.389999941</v>
          </cell>
        </row>
        <row r="4">
          <cell r="C4">
            <v>203908667.62999979</v>
          </cell>
          <cell r="D4">
            <v>25482383.82</v>
          </cell>
          <cell r="E4" t="str">
            <v>Alimentos y bebidas</v>
          </cell>
          <cell r="G4">
            <v>241297650.62999955</v>
          </cell>
          <cell r="H4">
            <v>34974826.10999997</v>
          </cell>
        </row>
        <row r="5">
          <cell r="C5">
            <v>165083902.00000045</v>
          </cell>
          <cell r="D5">
            <v>21659321.889999993</v>
          </cell>
          <cell r="E5" t="str">
            <v>Caucho y de plastico</v>
          </cell>
          <cell r="G5">
            <v>162386054.89999992</v>
          </cell>
          <cell r="H5">
            <v>18559161.990000028</v>
          </cell>
        </row>
        <row r="6">
          <cell r="C6">
            <v>153557327.09000021</v>
          </cell>
          <cell r="D6">
            <v>21460008.819999978</v>
          </cell>
          <cell r="E6" t="str">
            <v>Textiles</v>
          </cell>
          <cell r="G6">
            <v>139226668.91000101</v>
          </cell>
          <cell r="H6">
            <v>16860284.499999981</v>
          </cell>
        </row>
        <row r="7">
          <cell r="C7">
            <v>111421125.02000001</v>
          </cell>
          <cell r="D7">
            <v>13686496.27999999</v>
          </cell>
          <cell r="E7" t="str">
            <v>Maquinaria y equipo</v>
          </cell>
          <cell r="G7">
            <v>112472452.60999991</v>
          </cell>
          <cell r="H7">
            <v>11453470.709999997</v>
          </cell>
        </row>
        <row r="8">
          <cell r="C8">
            <v>71273518.470000073</v>
          </cell>
          <cell r="D8">
            <v>13136901.999999994</v>
          </cell>
          <cell r="E8" t="str">
            <v>Productos metalúrgicos</v>
          </cell>
          <cell r="G8">
            <v>60381866.589999996</v>
          </cell>
          <cell r="H8">
            <v>7330035.959999999</v>
          </cell>
        </row>
        <row r="9">
          <cell r="C9">
            <v>69721992.759999976</v>
          </cell>
          <cell r="D9">
            <v>9584243.709999999</v>
          </cell>
          <cell r="E9" t="str">
            <v>Edición</v>
          </cell>
          <cell r="G9">
            <v>58247743.759999961</v>
          </cell>
          <cell r="H9">
            <v>5284392.8499999978</v>
          </cell>
        </row>
        <row r="10">
          <cell r="C10">
            <v>58621311.399999902</v>
          </cell>
          <cell r="D10">
            <v>7744872.4000000013</v>
          </cell>
          <cell r="E10" t="str">
            <v>Aparatos electricos</v>
          </cell>
          <cell r="G10">
            <v>54943069.179999955</v>
          </cell>
          <cell r="H10">
            <v>6954424.2199999969</v>
          </cell>
        </row>
        <row r="11">
          <cell r="C11">
            <v>63058335.249999955</v>
          </cell>
          <cell r="D11">
            <v>7734031.2700000042</v>
          </cell>
          <cell r="E11" t="str">
            <v>Minerales no metálicos</v>
          </cell>
          <cell r="G11">
            <v>53292377.349999949</v>
          </cell>
          <cell r="H11">
            <v>6820487.8899999997</v>
          </cell>
        </row>
        <row r="12">
          <cell r="C12">
            <v>63033997.189999983</v>
          </cell>
          <cell r="D12">
            <v>6909917.0900000082</v>
          </cell>
          <cell r="E12" t="str">
            <v>Prendas de vestir</v>
          </cell>
          <cell r="G12">
            <v>53243534.679999925</v>
          </cell>
          <cell r="H12">
            <v>6104399.3299999982</v>
          </cell>
        </row>
        <row r="13">
          <cell r="C13">
            <v>57416298.549999975</v>
          </cell>
          <cell r="D13">
            <v>8155869.9400000041</v>
          </cell>
          <cell r="E13" t="str">
            <v>Cueros</v>
          </cell>
          <cell r="G13">
            <v>50993247.499999918</v>
          </cell>
          <cell r="H13">
            <v>6390335.3599999975</v>
          </cell>
        </row>
        <row r="14">
          <cell r="C14">
            <v>37019284.48999998</v>
          </cell>
          <cell r="D14">
            <v>3249843.5700000008</v>
          </cell>
          <cell r="E14" t="str">
            <v>Equipo de radio</v>
          </cell>
          <cell r="G14">
            <v>48618595.780000016</v>
          </cell>
          <cell r="H14">
            <v>5459414.7100000009</v>
          </cell>
        </row>
        <row r="15">
          <cell r="C15">
            <v>48840813.009999901</v>
          </cell>
          <cell r="D15">
            <v>6170308.4000000004</v>
          </cell>
          <cell r="E15" t="str">
            <v>Productos de metal</v>
          </cell>
          <cell r="G15">
            <v>45008938.950000107</v>
          </cell>
          <cell r="H15">
            <v>5790446.4800000023</v>
          </cell>
        </row>
        <row r="16">
          <cell r="C16">
            <v>52796363.730000019</v>
          </cell>
          <cell r="D16">
            <v>6188054.0499999989</v>
          </cell>
          <cell r="E16" t="str">
            <v>Refinación del petroleo</v>
          </cell>
          <cell r="G16">
            <v>43690978.780000001</v>
          </cell>
          <cell r="H16">
            <v>4281868.6100000003</v>
          </cell>
        </row>
        <row r="17">
          <cell r="C17">
            <v>46987223.729999989</v>
          </cell>
          <cell r="D17">
            <v>6603206.2899999982</v>
          </cell>
          <cell r="E17" t="str">
            <v>Muebles industrias</v>
          </cell>
          <cell r="G17">
            <v>43465758.629999943</v>
          </cell>
          <cell r="H17">
            <v>5048525.3999999976</v>
          </cell>
        </row>
        <row r="18">
          <cell r="C18">
            <v>67163840.73999995</v>
          </cell>
          <cell r="D18">
            <v>6388974.8300000019</v>
          </cell>
          <cell r="E18" t="str">
            <v>Vehículos automotores</v>
          </cell>
          <cell r="G18">
            <v>41401432.839999929</v>
          </cell>
          <cell r="H18">
            <v>5462124.370000002</v>
          </cell>
        </row>
        <row r="19">
          <cell r="C19">
            <v>24844178.269999977</v>
          </cell>
          <cell r="D19">
            <v>2029238.04</v>
          </cell>
          <cell r="E19" t="str">
            <v>Instrumentos médicos</v>
          </cell>
          <cell r="G19">
            <v>36174382.810000055</v>
          </cell>
          <cell r="H19">
            <v>2257866.4700000011</v>
          </cell>
        </row>
        <row r="20">
          <cell r="C20">
            <v>15049985.670000004</v>
          </cell>
          <cell r="D20">
            <v>3270694.4499999997</v>
          </cell>
          <cell r="E20" t="str">
            <v>Equipos de transporte</v>
          </cell>
          <cell r="G20">
            <v>21883904.830000002</v>
          </cell>
          <cell r="H20">
            <v>316660.68</v>
          </cell>
        </row>
        <row r="21">
          <cell r="C21">
            <v>18195251.090000015</v>
          </cell>
          <cell r="D21">
            <v>2464000.1000000034</v>
          </cell>
          <cell r="E21" t="str">
            <v>Papel</v>
          </cell>
          <cell r="G21">
            <v>14765793.929999983</v>
          </cell>
          <cell r="H21">
            <v>1551093.1799999997</v>
          </cell>
        </row>
        <row r="22">
          <cell r="C22">
            <v>31992921.790000003</v>
          </cell>
          <cell r="D22">
            <v>192926.58000000002</v>
          </cell>
          <cell r="E22" t="str">
            <v>Carbón</v>
          </cell>
          <cell r="G22">
            <v>14621915.290000001</v>
          </cell>
          <cell r="H22">
            <v>122087</v>
          </cell>
        </row>
        <row r="23">
          <cell r="C23">
            <v>6035294.8799999924</v>
          </cell>
          <cell r="D23">
            <v>686594.39000000025</v>
          </cell>
          <cell r="E23" t="str">
            <v>Pesca</v>
          </cell>
          <cell r="G23">
            <v>7793877.2199999988</v>
          </cell>
          <cell r="H23">
            <v>898556.31000000041</v>
          </cell>
        </row>
        <row r="24">
          <cell r="C24">
            <v>4677076.0499999989</v>
          </cell>
          <cell r="D24">
            <v>602078.74</v>
          </cell>
          <cell r="E24" t="str">
            <v>Maquinaria de oficina</v>
          </cell>
          <cell r="G24">
            <v>7670709.2199999932</v>
          </cell>
          <cell r="H24">
            <v>1134799.8200000005</v>
          </cell>
        </row>
        <row r="25">
          <cell r="C25">
            <v>4923907.13</v>
          </cell>
          <cell r="D25">
            <v>1278745.03</v>
          </cell>
          <cell r="E25" t="str">
            <v>Sin información</v>
          </cell>
          <cell r="G25">
            <v>5404522.4500000002</v>
          </cell>
          <cell r="H25">
            <v>1089037</v>
          </cell>
        </row>
        <row r="26">
          <cell r="C26">
            <v>5119435.9899999993</v>
          </cell>
          <cell r="D26">
            <v>2062899.9200000004</v>
          </cell>
          <cell r="E26" t="str">
            <v>Madera</v>
          </cell>
          <cell r="G26">
            <v>4324867.2300000023</v>
          </cell>
          <cell r="H26">
            <v>220663.88000000006</v>
          </cell>
        </row>
        <row r="27">
          <cell r="C27">
            <v>4633743.8500000015</v>
          </cell>
          <cell r="D27">
            <v>902673.82000000007</v>
          </cell>
          <cell r="E27" t="str">
            <v>Reciclaje</v>
          </cell>
          <cell r="G27">
            <v>3696032.6899999985</v>
          </cell>
          <cell r="H27">
            <v>375046.33999999997</v>
          </cell>
        </row>
        <row r="28">
          <cell r="C28">
            <v>1662977.1500000001</v>
          </cell>
          <cell r="D28">
            <v>95427.09</v>
          </cell>
          <cell r="E28" t="str">
            <v>Explot. minerales no metalicos</v>
          </cell>
          <cell r="G28">
            <v>1392788.4500000002</v>
          </cell>
          <cell r="H28">
            <v>105586.8</v>
          </cell>
        </row>
        <row r="29">
          <cell r="C29">
            <v>404642.28000000014</v>
          </cell>
          <cell r="D29">
            <v>24970.309999999998</v>
          </cell>
          <cell r="E29" t="str">
            <v>Silvicultura</v>
          </cell>
          <cell r="G29">
            <v>1274414.6700000004</v>
          </cell>
          <cell r="H29">
            <v>93398.050000000017</v>
          </cell>
        </row>
        <row r="30">
          <cell r="C30">
            <v>637317.82999999996</v>
          </cell>
          <cell r="D30">
            <v>48710</v>
          </cell>
          <cell r="E30" t="str">
            <v>Esparcimiento</v>
          </cell>
          <cell r="G30">
            <v>683262.86</v>
          </cell>
          <cell r="H30">
            <v>44074.479999999996</v>
          </cell>
        </row>
        <row r="31">
          <cell r="C31">
            <v>1173734.95</v>
          </cell>
          <cell r="D31">
            <v>194310</v>
          </cell>
          <cell r="E31" t="str">
            <v>Minerales metaliferos</v>
          </cell>
          <cell r="G31">
            <v>270719.21000000002</v>
          </cell>
          <cell r="H31">
            <v>1720</v>
          </cell>
        </row>
        <row r="32">
          <cell r="C32">
            <v>27086</v>
          </cell>
          <cell r="D32">
            <v>270</v>
          </cell>
          <cell r="E32" t="str">
            <v>Tabaco</v>
          </cell>
          <cell r="G32">
            <v>34854.85</v>
          </cell>
          <cell r="H32">
            <v>20906.599999999999</v>
          </cell>
        </row>
        <row r="33">
          <cell r="E33" t="str">
            <v>Electricidad, gas y agua</v>
          </cell>
          <cell r="G33">
            <v>25857.9</v>
          </cell>
          <cell r="H33">
            <v>25857.9</v>
          </cell>
        </row>
        <row r="34">
          <cell r="C34">
            <v>57150.429999999993</v>
          </cell>
          <cell r="D34">
            <v>0</v>
          </cell>
          <cell r="E34" t="str">
            <v>Comercio al por mayor</v>
          </cell>
          <cell r="G34">
            <v>16326.019999999999</v>
          </cell>
          <cell r="H34">
            <v>0</v>
          </cell>
        </row>
        <row r="35">
          <cell r="C35">
            <v>42722.169999999991</v>
          </cell>
          <cell r="D35">
            <v>26682.000000000004</v>
          </cell>
          <cell r="E35" t="str">
            <v>Telecomunicaciones</v>
          </cell>
          <cell r="G35">
            <v>14600.9</v>
          </cell>
          <cell r="H35">
            <v>1532.43</v>
          </cell>
        </row>
        <row r="36">
          <cell r="C36">
            <v>74686.23</v>
          </cell>
          <cell r="D36">
            <v>73541.600000000006</v>
          </cell>
          <cell r="E36" t="str">
            <v>Activ. empresariales</v>
          </cell>
          <cell r="G36">
            <v>5145</v>
          </cell>
          <cell r="H36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"/>
      <sheetName val="Centroamerica"/>
      <sheetName val="Pais1"/>
      <sheetName val="pais2"/>
      <sheetName val="pais3"/>
      <sheetName val="pais4"/>
      <sheetName val="pais5"/>
    </sheetNames>
    <sheetDataSet>
      <sheetData sheetId="0">
        <row r="2">
          <cell r="B2" t="str">
            <v>Estados Unidos</v>
          </cell>
          <cell r="D2">
            <v>595.80915367999796</v>
          </cell>
          <cell r="E2">
            <v>62.743188860000046</v>
          </cell>
          <cell r="F2">
            <v>641.94223883000518</v>
          </cell>
          <cell r="G2">
            <v>66.676301970000083</v>
          </cell>
        </row>
        <row r="3">
          <cell r="B3" t="str">
            <v>Ecuador</v>
          </cell>
          <cell r="D3">
            <v>286.08450398000019</v>
          </cell>
          <cell r="E3">
            <v>37.747173339999989</v>
          </cell>
          <cell r="F3">
            <v>308.95850393999888</v>
          </cell>
          <cell r="G3">
            <v>34.065628050000036</v>
          </cell>
        </row>
        <row r="4">
          <cell r="B4" t="str">
            <v>Venezuela</v>
          </cell>
          <cell r="D4">
            <v>296.00589862999902</v>
          </cell>
          <cell r="E4">
            <v>46.047828680000151</v>
          </cell>
          <cell r="F4">
            <v>187.8648223800009</v>
          </cell>
          <cell r="G4">
            <v>25.66969035</v>
          </cell>
        </row>
        <row r="5">
          <cell r="B5" t="str">
            <v>Perú</v>
          </cell>
          <cell r="D5">
            <v>122.34408386000064</v>
          </cell>
          <cell r="E5">
            <v>12.441538820000014</v>
          </cell>
          <cell r="F5">
            <v>116.47370649000059</v>
          </cell>
          <cell r="G5">
            <v>14.011422270000013</v>
          </cell>
        </row>
        <row r="6">
          <cell r="B6" t="str">
            <v>Panamá</v>
          </cell>
          <cell r="D6">
            <v>106.07855451000034</v>
          </cell>
          <cell r="E6">
            <v>12.200416359999998</v>
          </cell>
          <cell r="F6">
            <v>110.34383043000064</v>
          </cell>
          <cell r="G6">
            <v>15.193677709999992</v>
          </cell>
        </row>
        <row r="7">
          <cell r="B7" t="str">
            <v>México</v>
          </cell>
          <cell r="D7">
            <v>91.852578950000506</v>
          </cell>
          <cell r="E7">
            <v>11.588105839999995</v>
          </cell>
          <cell r="F7">
            <v>104.9233637999999</v>
          </cell>
          <cell r="G7">
            <v>12.308471859999997</v>
          </cell>
        </row>
        <row r="8">
          <cell r="B8" t="str">
            <v>China</v>
          </cell>
          <cell r="D8">
            <v>35.417788810000005</v>
          </cell>
          <cell r="E8">
            <v>7.3422810599999995</v>
          </cell>
          <cell r="F8">
            <v>58.181000539999992</v>
          </cell>
          <cell r="G8">
            <v>6.9070600600000001</v>
          </cell>
        </row>
        <row r="9">
          <cell r="B9" t="str">
            <v>Chile</v>
          </cell>
          <cell r="D9">
            <v>53.340316209999827</v>
          </cell>
          <cell r="E9">
            <v>7.5823678799999996</v>
          </cell>
          <cell r="F9">
            <v>55.309268359999898</v>
          </cell>
          <cell r="G9">
            <v>7.3585153600000002</v>
          </cell>
        </row>
        <row r="10">
          <cell r="B10" t="str">
            <v>Brasil</v>
          </cell>
          <cell r="D10">
            <v>61.354700580000255</v>
          </cell>
          <cell r="E10">
            <v>5.5218765899999989</v>
          </cell>
          <cell r="F10">
            <v>37.951437810000094</v>
          </cell>
          <cell r="G10">
            <v>4.5451947399999959</v>
          </cell>
        </row>
        <row r="11">
          <cell r="B11" t="str">
            <v>Costa Rica</v>
          </cell>
          <cell r="D11">
            <v>33.129723450000085</v>
          </cell>
          <cell r="E11">
            <v>4.0357067199999994</v>
          </cell>
          <cell r="F11">
            <v>31.198238350000089</v>
          </cell>
          <cell r="G11">
            <v>3.2299763900000036</v>
          </cell>
        </row>
        <row r="12">
          <cell r="B12" t="str">
            <v>Rusia</v>
          </cell>
          <cell r="D12">
            <v>30.749407670000046</v>
          </cell>
          <cell r="E12">
            <v>3.3840490100000005</v>
          </cell>
          <cell r="F12">
            <v>30.437098740000014</v>
          </cell>
          <cell r="G12">
            <v>3.265541229999998</v>
          </cell>
        </row>
        <row r="13">
          <cell r="B13" t="str">
            <v>Guatemala</v>
          </cell>
          <cell r="D13">
            <v>31.930954500000031</v>
          </cell>
          <cell r="E13">
            <v>4.3465244899999984</v>
          </cell>
          <cell r="F13">
            <v>29.166605040000039</v>
          </cell>
          <cell r="G13">
            <v>3.0242321299999961</v>
          </cell>
        </row>
        <row r="14">
          <cell r="B14" t="str">
            <v>Bolivia</v>
          </cell>
          <cell r="D14">
            <v>12.83537793</v>
          </cell>
          <cell r="E14">
            <v>1.9794262800000011</v>
          </cell>
          <cell r="F14">
            <v>27.624200940000019</v>
          </cell>
          <cell r="G14">
            <v>1.9924216000000001</v>
          </cell>
        </row>
        <row r="15">
          <cell r="B15" t="str">
            <v>Alemania</v>
          </cell>
          <cell r="D15">
            <v>19.053712829999977</v>
          </cell>
          <cell r="E15">
            <v>2.6709838099999992</v>
          </cell>
          <cell r="F15">
            <v>27.564672879999989</v>
          </cell>
          <cell r="G15">
            <v>3.9020483599999989</v>
          </cell>
        </row>
        <row r="16">
          <cell r="B16" t="str">
            <v>Paises Bajos</v>
          </cell>
          <cell r="D16">
            <v>27.57007462</v>
          </cell>
          <cell r="E16">
            <v>2.8013927600000028</v>
          </cell>
          <cell r="F16">
            <v>27.110561009999977</v>
          </cell>
          <cell r="G16">
            <v>2.6162511799999999</v>
          </cell>
        </row>
        <row r="17">
          <cell r="B17" t="str">
            <v>República Dominicana</v>
          </cell>
          <cell r="D17">
            <v>29.922940759999957</v>
          </cell>
          <cell r="E17">
            <v>2.8909930500000014</v>
          </cell>
          <cell r="F17">
            <v>26.447288319999991</v>
          </cell>
          <cell r="G17">
            <v>2.8404848899999986</v>
          </cell>
        </row>
        <row r="18">
          <cell r="B18" t="str">
            <v>Reino Unido</v>
          </cell>
          <cell r="D18">
            <v>21.704087849999979</v>
          </cell>
          <cell r="E18">
            <v>2.7948632999999985</v>
          </cell>
          <cell r="F18">
            <v>23.49195473999999</v>
          </cell>
          <cell r="G18">
            <v>2.77295874</v>
          </cell>
        </row>
        <row r="19">
          <cell r="B19" t="str">
            <v>Japón</v>
          </cell>
          <cell r="D19">
            <v>28.566240780000026</v>
          </cell>
          <cell r="E19">
            <v>4.3805766800000008</v>
          </cell>
          <cell r="F19">
            <v>22.908450310000024</v>
          </cell>
          <cell r="G19">
            <v>2.6376745700000015</v>
          </cell>
        </row>
        <row r="20">
          <cell r="B20" t="str">
            <v>Bélgica</v>
          </cell>
          <cell r="D20">
            <v>9.2661767799999861</v>
          </cell>
          <cell r="E20">
            <v>1.5211795799999999</v>
          </cell>
          <cell r="F20">
            <v>22.622802749999988</v>
          </cell>
          <cell r="G20">
            <v>2.7027768599999993</v>
          </cell>
        </row>
        <row r="21">
          <cell r="B21" t="str">
            <v>Canadá</v>
          </cell>
          <cell r="D21">
            <v>32.115799079999995</v>
          </cell>
          <cell r="E21">
            <v>3.9515524000000011</v>
          </cell>
          <cell r="F21">
            <v>22.605539520000001</v>
          </cell>
          <cell r="G21">
            <v>3.3201513600000001</v>
          </cell>
        </row>
        <row r="22">
          <cell r="B22" t="str">
            <v>Francia</v>
          </cell>
          <cell r="D22">
            <v>26.376071450000005</v>
          </cell>
          <cell r="E22">
            <v>2.2452560200000011</v>
          </cell>
          <cell r="F22">
            <v>21.881876640000037</v>
          </cell>
          <cell r="G22">
            <v>2.5328128599999999</v>
          </cell>
        </row>
        <row r="23">
          <cell r="B23" t="str">
            <v>España</v>
          </cell>
          <cell r="D23">
            <v>26.632090189999946</v>
          </cell>
          <cell r="E23">
            <v>3.9810752199999992</v>
          </cell>
          <cell r="F23">
            <v>21.712840379999967</v>
          </cell>
          <cell r="G23">
            <v>1.9865222899999995</v>
          </cell>
        </row>
        <row r="24">
          <cell r="B24" t="str">
            <v>Argentina</v>
          </cell>
          <cell r="D24">
            <v>13.253070310000009</v>
          </cell>
          <cell r="E24">
            <v>1.5883003</v>
          </cell>
          <cell r="F24">
            <v>21.247755309999977</v>
          </cell>
          <cell r="G24">
            <v>1.9320935799999999</v>
          </cell>
        </row>
        <row r="25">
          <cell r="B25" t="str">
            <v>Puerto Rico</v>
          </cell>
          <cell r="D25">
            <v>18.204506100000025</v>
          </cell>
          <cell r="E25">
            <v>2.20890064</v>
          </cell>
          <cell r="F25">
            <v>16.249871729999999</v>
          </cell>
          <cell r="G25">
            <v>1.6549316700000003</v>
          </cell>
        </row>
        <row r="26">
          <cell r="B26" t="str">
            <v>Italia</v>
          </cell>
          <cell r="D26">
            <v>61.599533080000036</v>
          </cell>
          <cell r="E26">
            <v>4.9960640200000022</v>
          </cell>
          <cell r="F26">
            <v>14.280885400000003</v>
          </cell>
          <cell r="G26">
            <v>0.95517125999999974</v>
          </cell>
        </row>
        <row r="27">
          <cell r="B27" t="str">
            <v>Hong Kong</v>
          </cell>
          <cell r="D27">
            <v>11.448949080000013</v>
          </cell>
          <cell r="E27">
            <v>0.78604441999999997</v>
          </cell>
          <cell r="F27">
            <v>11.161391030000001</v>
          </cell>
          <cell r="G27">
            <v>1.4736856600000003</v>
          </cell>
        </row>
        <row r="28">
          <cell r="B28" t="str">
            <v>Honduras</v>
          </cell>
          <cell r="D28">
            <v>13.454594239999993</v>
          </cell>
          <cell r="E28">
            <v>1.4146548699999992</v>
          </cell>
          <cell r="F28">
            <v>10.303371120000014</v>
          </cell>
          <cell r="G28">
            <v>1.5178032700000006</v>
          </cell>
        </row>
        <row r="29">
          <cell r="B29" t="str">
            <v>El Salvador</v>
          </cell>
          <cell r="D29">
            <v>7.1727435799999952</v>
          </cell>
          <cell r="E29">
            <v>0.91098862999999963</v>
          </cell>
          <cell r="F29">
            <v>9.3181658500000015</v>
          </cell>
          <cell r="G29">
            <v>0.73967935999999967</v>
          </cell>
        </row>
        <row r="30">
          <cell r="B30" t="str">
            <v>Indonesia</v>
          </cell>
          <cell r="D30">
            <v>1.7560322300000013</v>
          </cell>
          <cell r="E30">
            <v>0</v>
          </cell>
          <cell r="F30">
            <v>6.2912623300000012</v>
          </cell>
          <cell r="G30">
            <v>2.7631039999999999E-2</v>
          </cell>
        </row>
        <row r="31">
          <cell r="B31" t="str">
            <v>Turquia</v>
          </cell>
          <cell r="D31">
            <v>1.8375639600000004</v>
          </cell>
          <cell r="E31">
            <v>0.39770591999999999</v>
          </cell>
          <cell r="F31">
            <v>6.2484023900000034</v>
          </cell>
          <cell r="G31">
            <v>5.0819999999999997E-3</v>
          </cell>
        </row>
      </sheetData>
      <sheetData sheetId="1">
        <row r="2">
          <cell r="B2" t="str">
            <v>Panamá</v>
          </cell>
          <cell r="D2">
            <v>106.07855451000017</v>
          </cell>
          <cell r="E2">
            <v>12.20041635999999</v>
          </cell>
          <cell r="F2">
            <v>110.34383043000048</v>
          </cell>
          <cell r="G2">
            <v>15.193677709999999</v>
          </cell>
        </row>
        <row r="3">
          <cell r="B3" t="str">
            <v>México</v>
          </cell>
          <cell r="D3">
            <v>91.852578950000677</v>
          </cell>
          <cell r="E3">
            <v>11.588105840000003</v>
          </cell>
          <cell r="F3">
            <v>104.92336379999975</v>
          </cell>
          <cell r="G3">
            <v>12.308471860000022</v>
          </cell>
        </row>
        <row r="4">
          <cell r="B4" t="str">
            <v>Costa Rica</v>
          </cell>
          <cell r="D4">
            <v>33.129723450000128</v>
          </cell>
          <cell r="E4">
            <v>4.0357067200000012</v>
          </cell>
          <cell r="F4">
            <v>31.198238350000047</v>
          </cell>
          <cell r="G4">
            <v>3.2299763900000023</v>
          </cell>
        </row>
        <row r="5">
          <cell r="B5" t="str">
            <v>Guatemala</v>
          </cell>
          <cell r="D5">
            <v>31.930954500000016</v>
          </cell>
          <cell r="E5">
            <v>4.3465244900000011</v>
          </cell>
          <cell r="F5">
            <v>29.166605039999933</v>
          </cell>
          <cell r="G5">
            <v>3.0242321299999988</v>
          </cell>
        </row>
        <row r="6">
          <cell r="B6" t="str">
            <v>República Dominicana</v>
          </cell>
          <cell r="D6">
            <v>29.922940760000063</v>
          </cell>
          <cell r="E6">
            <v>2.890993050000001</v>
          </cell>
          <cell r="F6">
            <v>26.447288320000006</v>
          </cell>
          <cell r="G6">
            <v>2.840484889999999</v>
          </cell>
        </row>
        <row r="7">
          <cell r="B7" t="str">
            <v>Honduras</v>
          </cell>
          <cell r="D7">
            <v>13.454594240000029</v>
          </cell>
          <cell r="E7">
            <v>1.4146548700000008</v>
          </cell>
          <cell r="F7">
            <v>10.303371119999989</v>
          </cell>
          <cell r="G7">
            <v>1.5178032700000006</v>
          </cell>
        </row>
        <row r="8">
          <cell r="B8" t="str">
            <v>El Salvador</v>
          </cell>
          <cell r="D8">
            <v>7.1727435799999988</v>
          </cell>
          <cell r="E8">
            <v>0.91098862999999997</v>
          </cell>
          <cell r="F8">
            <v>9.3181658500000033</v>
          </cell>
          <cell r="G8">
            <v>0.73967935999999945</v>
          </cell>
        </row>
        <row r="9">
          <cell r="B9" t="str">
            <v>Cuba</v>
          </cell>
          <cell r="D9">
            <v>5.0910599900000006</v>
          </cell>
          <cell r="E9">
            <v>1.0060040100000001</v>
          </cell>
          <cell r="F9">
            <v>4.8104917000000027</v>
          </cell>
          <cell r="G9">
            <v>0.30203499999999994</v>
          </cell>
        </row>
        <row r="10">
          <cell r="B10" t="str">
            <v>Nicaragua</v>
          </cell>
          <cell r="D10">
            <v>3.1587923399999971</v>
          </cell>
          <cell r="E10">
            <v>0.3059427999999999</v>
          </cell>
          <cell r="F10">
            <v>3.0474041899999995</v>
          </cell>
          <cell r="G10">
            <v>0.36587109000000007</v>
          </cell>
        </row>
        <row r="11">
          <cell r="B11" t="str">
            <v>Jamaica</v>
          </cell>
          <cell r="D11">
            <v>1.9003620100000007</v>
          </cell>
          <cell r="E11">
            <v>0.27732997000000004</v>
          </cell>
          <cell r="F11">
            <v>1.5487871799999997</v>
          </cell>
          <cell r="G11">
            <v>7.0335140000000004E-2</v>
          </cell>
        </row>
        <row r="12">
          <cell r="B12" t="str">
            <v>Haiti</v>
          </cell>
          <cell r="D12">
            <v>0.57395091000000009</v>
          </cell>
          <cell r="E12">
            <v>1.9566E-2</v>
          </cell>
          <cell r="F12">
            <v>1.0706968900000002</v>
          </cell>
          <cell r="G12">
            <v>6.1712219999999998E-2</v>
          </cell>
        </row>
        <row r="13">
          <cell r="B13" t="str">
            <v>Barbados</v>
          </cell>
          <cell r="D13">
            <v>0.79343827999999972</v>
          </cell>
          <cell r="E13">
            <v>0.13225774000000001</v>
          </cell>
          <cell r="F13">
            <v>0.74211452999999983</v>
          </cell>
          <cell r="G13">
            <v>7.8078939999999999E-2</v>
          </cell>
        </row>
        <row r="14">
          <cell r="B14" t="str">
            <v>Dominica</v>
          </cell>
          <cell r="D14">
            <v>0.45710576999999997</v>
          </cell>
          <cell r="E14">
            <v>6.2731800000000004E-2</v>
          </cell>
          <cell r="F14">
            <v>0.60746832000000006</v>
          </cell>
          <cell r="G14">
            <v>0.20957270999999994</v>
          </cell>
        </row>
        <row r="15">
          <cell r="B15" t="str">
            <v>Belice</v>
          </cell>
          <cell r="D15">
            <v>0.26411814000000006</v>
          </cell>
          <cell r="E15">
            <v>0</v>
          </cell>
          <cell r="F15">
            <v>0.47640679999999985</v>
          </cell>
          <cell r="G15">
            <v>3.0941189999999997E-2</v>
          </cell>
        </row>
        <row r="16">
          <cell r="B16" t="str">
            <v>Bahamas</v>
          </cell>
          <cell r="D16">
            <v>0.3948093800000001</v>
          </cell>
          <cell r="E16">
            <v>0.119606</v>
          </cell>
          <cell r="F16">
            <v>0.44101533999999998</v>
          </cell>
          <cell r="G16">
            <v>1.5650000000000001E-4</v>
          </cell>
        </row>
        <row r="17">
          <cell r="B17" t="str">
            <v>Santa Lucía</v>
          </cell>
          <cell r="D17">
            <v>0.10616262999999997</v>
          </cell>
          <cell r="E17">
            <v>0</v>
          </cell>
          <cell r="F17">
            <v>7.0533399999999996E-2</v>
          </cell>
          <cell r="G17">
            <v>1.9565839999999998E-2</v>
          </cell>
        </row>
        <row r="18">
          <cell r="B18" t="str">
            <v>Sancristobal y Nieves</v>
          </cell>
          <cell r="D18">
            <v>2.8313499999999998E-2</v>
          </cell>
          <cell r="E18">
            <v>0</v>
          </cell>
          <cell r="F18">
            <v>5.2334550000000001E-2</v>
          </cell>
          <cell r="G18">
            <v>0</v>
          </cell>
        </row>
        <row r="19">
          <cell r="B19" t="str">
            <v>Antigua y Barbuda</v>
          </cell>
          <cell r="D19">
            <v>2.7605539999999998E-2</v>
          </cell>
          <cell r="E19">
            <v>0</v>
          </cell>
          <cell r="F19">
            <v>4.5286610000000005E-2</v>
          </cell>
          <cell r="G19">
            <v>0</v>
          </cell>
        </row>
        <row r="20">
          <cell r="B20" t="str">
            <v>Granada</v>
          </cell>
          <cell r="D20">
            <v>4.4969849999999999E-2</v>
          </cell>
          <cell r="E20">
            <v>1.53568E-2</v>
          </cell>
          <cell r="F20">
            <v>3.6166460000000004E-2</v>
          </cell>
          <cell r="G20">
            <v>1.4371E-2</v>
          </cell>
        </row>
        <row r="21">
          <cell r="B21" t="str">
            <v>San Vicente y Las Granadinas</v>
          </cell>
          <cell r="D21">
            <v>2.2880730000000002E-2</v>
          </cell>
          <cell r="E21">
            <v>0</v>
          </cell>
          <cell r="F21">
            <v>0</v>
          </cell>
        </row>
      </sheetData>
      <sheetData sheetId="2">
        <row r="2">
          <cell r="B2" t="str">
            <v>Capullos frescos</v>
          </cell>
          <cell r="C2">
            <v>178.96798391000002</v>
          </cell>
          <cell r="D2">
            <v>11.327675460000002</v>
          </cell>
          <cell r="E2">
            <v>165.33520577999988</v>
          </cell>
          <cell r="F2">
            <v>12.45196176000001</v>
          </cell>
        </row>
        <row r="3">
          <cell r="B3" t="str">
            <v>Rosas frescas</v>
          </cell>
          <cell r="C3">
            <v>120.84104221000034</v>
          </cell>
          <cell r="D3">
            <v>11.337426350000012</v>
          </cell>
          <cell r="E3">
            <v>137.81197619999978</v>
          </cell>
          <cell r="F3">
            <v>12.683593709999995</v>
          </cell>
        </row>
        <row r="4">
          <cell r="B4" t="str">
            <v>Cafés sin tostar</v>
          </cell>
          <cell r="C4">
            <v>50.487789530000008</v>
          </cell>
          <cell r="D4">
            <v>4.3126892400000001</v>
          </cell>
          <cell r="E4">
            <v>41.886207199999987</v>
          </cell>
          <cell r="F4">
            <v>5.8628019700000022</v>
          </cell>
        </row>
        <row r="5">
          <cell r="B5" t="str">
            <v>Claveles</v>
          </cell>
          <cell r="C5">
            <v>17.719353369999993</v>
          </cell>
          <cell r="D5">
            <v>2.3256253800000022</v>
          </cell>
          <cell r="E5">
            <v>25.777281779999996</v>
          </cell>
          <cell r="F5">
            <v>2.8831544199999986</v>
          </cell>
        </row>
        <row r="6">
          <cell r="B6" t="str">
            <v>Claveles miniatura</v>
          </cell>
          <cell r="C6">
            <v>8.5324746300000207</v>
          </cell>
          <cell r="D6">
            <v>1.4675749199999994</v>
          </cell>
          <cell r="E6">
            <v>17.648080749999988</v>
          </cell>
          <cell r="F6">
            <v>1.4289867000000009</v>
          </cell>
        </row>
        <row r="7">
          <cell r="B7" t="str">
            <v>Teléfonos móviles</v>
          </cell>
          <cell r="C7">
            <v>6.3313521599999998</v>
          </cell>
          <cell r="D7">
            <v>1.03416548</v>
          </cell>
          <cell r="E7">
            <v>16.533589920000004</v>
          </cell>
          <cell r="F7">
            <v>2.184301</v>
          </cell>
        </row>
        <row r="8">
          <cell r="B8" t="str">
            <v>Alstroemerias frescas</v>
          </cell>
          <cell r="C8">
            <v>10.070461170000003</v>
          </cell>
          <cell r="D8">
            <v>1.1630393299999999</v>
          </cell>
          <cell r="E8">
            <v>14.794983090000004</v>
          </cell>
          <cell r="F8">
            <v>1.6490654699999998</v>
          </cell>
        </row>
        <row r="9">
          <cell r="B9" t="str">
            <v>Manufacturas de cuero</v>
          </cell>
          <cell r="C9">
            <v>12.067023009999994</v>
          </cell>
          <cell r="D9">
            <v>2.45415311</v>
          </cell>
          <cell r="E9">
            <v>13.04187181999999</v>
          </cell>
          <cell r="F9">
            <v>2.2497140299999998</v>
          </cell>
        </row>
        <row r="10">
          <cell r="B10" t="str">
            <v>Recipientes</v>
          </cell>
          <cell r="C10">
            <v>13.055547439999987</v>
          </cell>
          <cell r="D10">
            <v>1.7772103100000001</v>
          </cell>
          <cell r="E10">
            <v>11.487700519999981</v>
          </cell>
          <cell r="F10">
            <v>0.57930707999999986</v>
          </cell>
        </row>
        <row r="11">
          <cell r="B11" t="str">
            <v>Carburorreactores</v>
          </cell>
          <cell r="C11">
            <v>6.3323995799999997</v>
          </cell>
          <cell r="D11">
            <v>0.85616428999999994</v>
          </cell>
          <cell r="E11">
            <v>10.97994456</v>
          </cell>
          <cell r="F11">
            <v>1.6250159500000001</v>
          </cell>
        </row>
        <row r="12">
          <cell r="B12" t="str">
            <v>Láminas de polímeros</v>
          </cell>
          <cell r="C12">
            <v>10.774386640000003</v>
          </cell>
          <cell r="D12">
            <v>2.9067315799999993</v>
          </cell>
          <cell r="E12">
            <v>10.154037699999995</v>
          </cell>
          <cell r="F12">
            <v>1.47937545</v>
          </cell>
        </row>
        <row r="13">
          <cell r="B13" t="str">
            <v>Tilapias</v>
          </cell>
          <cell r="C13">
            <v>2.2145408399999997</v>
          </cell>
          <cell r="D13">
            <v>2.9940000000000001E-2</v>
          </cell>
          <cell r="E13">
            <v>9.0921858900000014</v>
          </cell>
          <cell r="F13">
            <v>0.52601239</v>
          </cell>
        </row>
        <row r="14">
          <cell r="B14" t="str">
            <v>Telas impregnadas</v>
          </cell>
          <cell r="C14">
            <v>6.7073071900000008</v>
          </cell>
          <cell r="D14">
            <v>2.1372685200000001</v>
          </cell>
          <cell r="E14">
            <v>8.3807555399999973</v>
          </cell>
          <cell r="F14">
            <v>1.0054512400000004</v>
          </cell>
        </row>
        <row r="15">
          <cell r="B15" t="str">
            <v>Motores para la aviación</v>
          </cell>
          <cell r="C15">
            <v>3.2463794499999992</v>
          </cell>
          <cell r="D15">
            <v>2.8753794499999996</v>
          </cell>
          <cell r="E15">
            <v>6.9046900000000013</v>
          </cell>
          <cell r="F15">
            <v>2E-3</v>
          </cell>
        </row>
        <row r="16">
          <cell r="B16" t="str">
            <v>Plantas y semillas</v>
          </cell>
          <cell r="C16">
            <v>6.600265399999997</v>
          </cell>
          <cell r="D16">
            <v>0.84040409999999977</v>
          </cell>
          <cell r="E16">
            <v>6.4425745200000017</v>
          </cell>
          <cell r="F16">
            <v>1.7031270700000003</v>
          </cell>
        </row>
        <row r="17">
          <cell r="B17" t="str">
            <v>Turbinas de gas</v>
          </cell>
          <cell r="C17">
            <v>1.1784558000000001</v>
          </cell>
          <cell r="D17">
            <v>0</v>
          </cell>
          <cell r="E17">
            <v>5.1136789400000007</v>
          </cell>
          <cell r="F17">
            <v>0</v>
          </cell>
        </row>
        <row r="18">
          <cell r="B18" t="str">
            <v>Autolizados de levaduras.</v>
          </cell>
          <cell r="C18">
            <v>3.8367117799999995</v>
          </cell>
          <cell r="D18">
            <v>0.23258600000000001</v>
          </cell>
          <cell r="E18">
            <v>4.5350833500000007</v>
          </cell>
          <cell r="F18">
            <v>0.37704799999999999</v>
          </cell>
        </row>
        <row r="19">
          <cell r="B19" t="str">
            <v>Pompones frescos</v>
          </cell>
          <cell r="C19">
            <v>1.4835976900000005</v>
          </cell>
          <cell r="D19">
            <v>0.13062580999999998</v>
          </cell>
          <cell r="E19">
            <v>4.0912071199999991</v>
          </cell>
          <cell r="F19">
            <v>0.41528017999999994</v>
          </cell>
        </row>
        <row r="20">
          <cell r="B20" t="str">
            <v>Aparatos radiodifusión</v>
          </cell>
          <cell r="C20">
            <v>3.5714219900000002</v>
          </cell>
          <cell r="D20">
            <v>0</v>
          </cell>
          <cell r="E20">
            <v>3.2705145699999996</v>
          </cell>
          <cell r="F20">
            <v>0.79767467000000003</v>
          </cell>
        </row>
        <row r="21">
          <cell r="B21" t="str">
            <v>Guarniciones para frenos</v>
          </cell>
          <cell r="C21">
            <v>4.6035990800000013</v>
          </cell>
          <cell r="D21">
            <v>0.6116026200000001</v>
          </cell>
          <cell r="E21">
            <v>2.8875226000000001</v>
          </cell>
          <cell r="F21">
            <v>0.61015259999999993</v>
          </cell>
        </row>
        <row r="22">
          <cell r="B22" t="str">
            <v>Aparatos navegación aérea</v>
          </cell>
          <cell r="C22">
            <v>0.64035599999999993</v>
          </cell>
          <cell r="D22">
            <v>6.0000000000000001E-3</v>
          </cell>
          <cell r="E22">
            <v>2.8560438399999994</v>
          </cell>
          <cell r="F22">
            <v>1.4999999999999999E-2</v>
          </cell>
        </row>
        <row r="23">
          <cell r="B23" t="str">
            <v>Harina de maíz</v>
          </cell>
          <cell r="C23">
            <v>2.4429936099999967</v>
          </cell>
          <cell r="D23">
            <v>0.53904200000000013</v>
          </cell>
          <cell r="E23">
            <v>2.7198284000000013</v>
          </cell>
          <cell r="F23">
            <v>0.63674440000000021</v>
          </cell>
        </row>
        <row r="24">
          <cell r="B24" t="str">
            <v>Armas largas</v>
          </cell>
          <cell r="C24">
            <v>3.02042762</v>
          </cell>
          <cell r="D24">
            <v>0</v>
          </cell>
          <cell r="E24">
            <v>2.6534251200000001</v>
          </cell>
          <cell r="F24">
            <v>0.57647899999999996</v>
          </cell>
        </row>
        <row r="25">
          <cell r="B25" t="str">
            <v>Gerbera frescas</v>
          </cell>
          <cell r="C25">
            <v>1.8910906800000007</v>
          </cell>
          <cell r="D25">
            <v>0.1453469</v>
          </cell>
          <cell r="E25">
            <v>2.4793734999999995</v>
          </cell>
          <cell r="F25">
            <v>0.39671755999999997</v>
          </cell>
        </row>
        <row r="26">
          <cell r="B26" t="str">
            <v>camisetas interiores</v>
          </cell>
          <cell r="C26">
            <v>1.82249507</v>
          </cell>
          <cell r="D26">
            <v>0.28271346999999997</v>
          </cell>
          <cell r="E26">
            <v>2.4465532300000006</v>
          </cell>
          <cell r="F26">
            <v>0.40724878999999997</v>
          </cell>
        </row>
        <row r="27">
          <cell r="B27" t="str">
            <v>Preparaciones capilares</v>
          </cell>
          <cell r="C27">
            <v>0.18627628000000002</v>
          </cell>
          <cell r="D27">
            <v>0.10542278999999999</v>
          </cell>
          <cell r="E27">
            <v>2.3742648500000003</v>
          </cell>
          <cell r="F27">
            <v>0.55109391000000008</v>
          </cell>
        </row>
        <row r="28">
          <cell r="B28" t="str">
            <v>Partes aparatos de geodesia</v>
          </cell>
          <cell r="C28">
            <v>1.02078413</v>
          </cell>
          <cell r="D28">
            <v>6.7749610000000002E-2</v>
          </cell>
          <cell r="E28">
            <v>2.3479409200000005</v>
          </cell>
          <cell r="F28">
            <v>0.16147194999999998</v>
          </cell>
        </row>
        <row r="29">
          <cell r="B29" t="str">
            <v>Libros</v>
          </cell>
          <cell r="C29">
            <v>8.1426339699999986</v>
          </cell>
          <cell r="D29">
            <v>1.1010727200000001</v>
          </cell>
          <cell r="E29">
            <v>2.2760469599999995</v>
          </cell>
          <cell r="F29">
            <v>0.31843297999999992</v>
          </cell>
        </row>
        <row r="30">
          <cell r="B30" t="str">
            <v>Placas y láminas</v>
          </cell>
          <cell r="C30">
            <v>1.9823651199999999</v>
          </cell>
          <cell r="D30">
            <v>0.16538626000000001</v>
          </cell>
          <cell r="E30">
            <v>2.1681735800000004</v>
          </cell>
          <cell r="F30">
            <v>0.42689317999999998</v>
          </cell>
        </row>
        <row r="31">
          <cell r="B31" t="str">
            <v>Partes de máquinas</v>
          </cell>
          <cell r="C31">
            <v>0.48260775000000011</v>
          </cell>
          <cell r="D31">
            <v>2.0072639999999999E-2</v>
          </cell>
          <cell r="E31">
            <v>1.9961643499999999</v>
          </cell>
          <cell r="F31">
            <v>0.53611087000000013</v>
          </cell>
        </row>
      </sheetData>
      <sheetData sheetId="3">
        <row r="2">
          <cell r="B2" t="str">
            <v>Medicamentos</v>
          </cell>
          <cell r="C2">
            <v>17.294614550000009</v>
          </cell>
          <cell r="D2">
            <v>2.3741303399999998</v>
          </cell>
          <cell r="E2">
            <v>16.813683610000009</v>
          </cell>
          <cell r="F2">
            <v>2.1757950300000002</v>
          </cell>
        </row>
        <row r="3">
          <cell r="B3" t="str">
            <v>Tejido de punto</v>
          </cell>
          <cell r="C3">
            <v>14.253328729999987</v>
          </cell>
          <cell r="D3">
            <v>2.2076725400000003</v>
          </cell>
          <cell r="E3">
            <v>14.439648730000004</v>
          </cell>
          <cell r="F3">
            <v>1.2168008800000001</v>
          </cell>
        </row>
        <row r="4">
          <cell r="B4" t="str">
            <v>Baldosas y losas</v>
          </cell>
          <cell r="C4">
            <v>2.0766728899999998</v>
          </cell>
          <cell r="D4">
            <v>0.25951993000000001</v>
          </cell>
          <cell r="E4">
            <v>11.158121800000004</v>
          </cell>
          <cell r="F4">
            <v>1.6340128499999997</v>
          </cell>
        </row>
        <row r="5">
          <cell r="B5" t="str">
            <v>Preparaciones  tensoactivas</v>
          </cell>
          <cell r="C5">
            <v>9.4108375099999968</v>
          </cell>
          <cell r="D5">
            <v>1.3120632100000003</v>
          </cell>
          <cell r="E5">
            <v>10.243952880000007</v>
          </cell>
          <cell r="F5">
            <v>0.58660609000000008</v>
          </cell>
        </row>
        <row r="6">
          <cell r="B6" t="str">
            <v>Páneles, consolas</v>
          </cell>
          <cell r="C6">
            <v>1.1021575799999999</v>
          </cell>
          <cell r="D6">
            <v>0</v>
          </cell>
          <cell r="E6">
            <v>9.8478517999999973</v>
          </cell>
          <cell r="F6">
            <v>2.4265495200000005</v>
          </cell>
        </row>
        <row r="7">
          <cell r="B7" t="str">
            <v>Libros</v>
          </cell>
          <cell r="C7">
            <v>4.3235045399999983</v>
          </cell>
          <cell r="D7">
            <v>0.47662317999999987</v>
          </cell>
          <cell r="E7">
            <v>5.8808438400000034</v>
          </cell>
          <cell r="F7">
            <v>0.37662782</v>
          </cell>
        </row>
        <row r="8">
          <cell r="B8" t="str">
            <v>Preparaciones capilares</v>
          </cell>
          <cell r="C8">
            <v>3.6094309999999998</v>
          </cell>
          <cell r="D8">
            <v>0.47056172999999996</v>
          </cell>
          <cell r="E8">
            <v>5.08811182</v>
          </cell>
          <cell r="F8">
            <v>0.90560775000000004</v>
          </cell>
        </row>
        <row r="9">
          <cell r="B9" t="str">
            <v>Champúes para el cabello</v>
          </cell>
          <cell r="C9">
            <v>1.1858542400000003</v>
          </cell>
          <cell r="D9">
            <v>0.26838083000000001</v>
          </cell>
          <cell r="E9">
            <v>4.5986926300000048</v>
          </cell>
          <cell r="F9">
            <v>0.52298473999999995</v>
          </cell>
        </row>
        <row r="10">
          <cell r="B10" t="str">
            <v>Preparaciones compuestas</v>
          </cell>
          <cell r="C10">
            <v>0.21071700999999998</v>
          </cell>
          <cell r="D10">
            <v>0.21071700999999998</v>
          </cell>
          <cell r="E10">
            <v>4.4953137800000009</v>
          </cell>
          <cell r="F10">
            <v>0.76685360000000014</v>
          </cell>
        </row>
        <row r="11">
          <cell r="B11" t="str">
            <v>Vehículos 1000 y 1500 cm3</v>
          </cell>
          <cell r="C11">
            <v>2.2624440000000003</v>
          </cell>
          <cell r="D11">
            <v>9.9559999999999996E-3</v>
          </cell>
          <cell r="E11">
            <v>4.1761720000000011</v>
          </cell>
          <cell r="F11">
            <v>0</v>
          </cell>
        </row>
        <row r="12">
          <cell r="B12" t="str">
            <v>Acabado para industria textil</v>
          </cell>
          <cell r="C12">
            <v>0.10511569999999998</v>
          </cell>
          <cell r="D12">
            <v>2.3762170000000006E-2</v>
          </cell>
          <cell r="E12">
            <v>3.9069145199999995</v>
          </cell>
          <cell r="F12">
            <v>0.37206086999999999</v>
          </cell>
        </row>
        <row r="13">
          <cell r="B13" t="str">
            <v>Rotuladores</v>
          </cell>
          <cell r="C13">
            <v>2.9167504600000007</v>
          </cell>
          <cell r="D13">
            <v>0.37587729000000003</v>
          </cell>
          <cell r="E13">
            <v>3.8733205199999978</v>
          </cell>
          <cell r="F13">
            <v>0.25345781000000001</v>
          </cell>
        </row>
        <row r="14">
          <cell r="B14" t="str">
            <v>Ejes con diferencial</v>
          </cell>
          <cell r="C14">
            <v>2.7995390000000002</v>
          </cell>
          <cell r="D14">
            <v>0.94355149999999988</v>
          </cell>
          <cell r="E14">
            <v>3.8132542600000008</v>
          </cell>
          <cell r="F14">
            <v>0.2746962</v>
          </cell>
        </row>
        <row r="15">
          <cell r="B15" t="str">
            <v>Mezclas odoriferas</v>
          </cell>
          <cell r="C15">
            <v>2.8439456499999984</v>
          </cell>
          <cell r="D15">
            <v>0.28581868999999999</v>
          </cell>
          <cell r="E15">
            <v>3.4349444400000011</v>
          </cell>
          <cell r="F15">
            <v>0.30828870999999997</v>
          </cell>
        </row>
        <row r="16">
          <cell r="B16" t="str">
            <v>Dentifricos</v>
          </cell>
          <cell r="C16">
            <v>0.3915323</v>
          </cell>
          <cell r="D16">
            <v>0.38955167000000002</v>
          </cell>
          <cell r="E16">
            <v>3.2210114800000005</v>
          </cell>
          <cell r="F16">
            <v>0.41570792999999995</v>
          </cell>
        </row>
        <row r="17">
          <cell r="B17" t="str">
            <v>Recipientes</v>
          </cell>
          <cell r="C17">
            <v>2.8712078499999976</v>
          </cell>
          <cell r="D17">
            <v>0.32107385999999999</v>
          </cell>
          <cell r="E17">
            <v>3.1998226699999996</v>
          </cell>
          <cell r="F17">
            <v>0.26529462999999998</v>
          </cell>
        </row>
        <row r="18">
          <cell r="B18" t="str">
            <v>Amortiguadores</v>
          </cell>
          <cell r="C18">
            <v>2.8011621600000005</v>
          </cell>
          <cell r="D18">
            <v>0.41411025999999995</v>
          </cell>
          <cell r="E18">
            <v>3.0625396500000006</v>
          </cell>
          <cell r="F18">
            <v>0.26901159999999996</v>
          </cell>
        </row>
        <row r="19">
          <cell r="B19" t="str">
            <v>Productos a base de cereales</v>
          </cell>
          <cell r="C19">
            <v>2.4686914799999995</v>
          </cell>
          <cell r="D19">
            <v>0.24932923000000001</v>
          </cell>
          <cell r="E19">
            <v>3.0512979900000015</v>
          </cell>
          <cell r="F19">
            <v>0.25326182000000003</v>
          </cell>
        </row>
        <row r="20">
          <cell r="B20" t="str">
            <v>Ruedas y sus partes</v>
          </cell>
          <cell r="C20">
            <v>2.3095540700000017</v>
          </cell>
          <cell r="D20">
            <v>0.48309460000000004</v>
          </cell>
          <cell r="E20">
            <v>2.8267308100000017</v>
          </cell>
          <cell r="F20">
            <v>0.39585943000000001</v>
          </cell>
        </row>
        <row r="21">
          <cell r="B21" t="str">
            <v>Jabones</v>
          </cell>
          <cell r="C21">
            <v>3.4470701700000004</v>
          </cell>
          <cell r="D21">
            <v>0.64139029999999997</v>
          </cell>
          <cell r="E21">
            <v>2.6490777400000005</v>
          </cell>
          <cell r="F21">
            <v>0.44217058999999992</v>
          </cell>
        </row>
        <row r="22">
          <cell r="B22" t="str">
            <v>Preparaciones de belleza</v>
          </cell>
          <cell r="C22">
            <v>5.2185519100000004</v>
          </cell>
          <cell r="D22">
            <v>1.1070903100000002</v>
          </cell>
          <cell r="E22">
            <v>2.6428220699999985</v>
          </cell>
          <cell r="F22">
            <v>0.25726776000000001</v>
          </cell>
        </row>
        <row r="23">
          <cell r="B23" t="str">
            <v>Guarniciones de fricción</v>
          </cell>
          <cell r="C23">
            <v>2.4357343400000002</v>
          </cell>
          <cell r="D23">
            <v>0.2162963</v>
          </cell>
          <cell r="E23">
            <v>2.4788673199999987</v>
          </cell>
          <cell r="F23">
            <v>0.42163815000000004</v>
          </cell>
        </row>
        <row r="24">
          <cell r="B24" t="str">
            <v>Bisuteria</v>
          </cell>
          <cell r="C24">
            <v>1.9540767599999997</v>
          </cell>
          <cell r="D24">
            <v>0.22394654999999999</v>
          </cell>
          <cell r="E24">
            <v>2.2717823299999989</v>
          </cell>
          <cell r="F24">
            <v>0.16793353999999999</v>
          </cell>
        </row>
        <row r="25">
          <cell r="B25" t="str">
            <v>Otros antibióticos humanos</v>
          </cell>
          <cell r="C25">
            <v>2.5110412199999992</v>
          </cell>
          <cell r="D25">
            <v>0.32672066999999999</v>
          </cell>
          <cell r="E25">
            <v>2.1855937399999998</v>
          </cell>
          <cell r="F25">
            <v>0.25036612999999996</v>
          </cell>
        </row>
        <row r="26">
          <cell r="B26" t="str">
            <v>Artículos de construcción</v>
          </cell>
          <cell r="C26">
            <v>2.1575075800000003</v>
          </cell>
          <cell r="D26">
            <v>3.3881460000000002E-2</v>
          </cell>
          <cell r="E26">
            <v>2.1588044200000001</v>
          </cell>
          <cell r="F26">
            <v>0.32380033000000003</v>
          </cell>
        </row>
        <row r="27">
          <cell r="B27" t="str">
            <v>Partes para ascensores</v>
          </cell>
          <cell r="C27">
            <v>1.6184850799999992</v>
          </cell>
          <cell r="D27">
            <v>0.16958997999999997</v>
          </cell>
          <cell r="E27">
            <v>2.1348495299999986</v>
          </cell>
          <cell r="F27">
            <v>0.35715998999999993</v>
          </cell>
        </row>
        <row r="28">
          <cell r="B28" t="str">
            <v>Juegos de cables para bujías</v>
          </cell>
          <cell r="C28">
            <v>1.96955287</v>
          </cell>
          <cell r="D28">
            <v>0.72573184000000013</v>
          </cell>
          <cell r="E28">
            <v>2.1106725700000002</v>
          </cell>
          <cell r="F28">
            <v>0.10083813999999999</v>
          </cell>
        </row>
        <row r="29">
          <cell r="B29" t="str">
            <v>Preparaciones manicuras</v>
          </cell>
          <cell r="C29">
            <v>0.7656385400000002</v>
          </cell>
          <cell r="D29">
            <v>9.2196009999999995E-2</v>
          </cell>
          <cell r="E29">
            <v>2.0551590299999996</v>
          </cell>
          <cell r="F29">
            <v>0.13015185999999998</v>
          </cell>
        </row>
        <row r="30">
          <cell r="B30" t="str">
            <v>Tapones</v>
          </cell>
          <cell r="C30">
            <v>1.6577662099999997</v>
          </cell>
          <cell r="D30">
            <v>0.19525291000000003</v>
          </cell>
          <cell r="E30">
            <v>1.997784350000001</v>
          </cell>
          <cell r="F30">
            <v>0.27784034000000007</v>
          </cell>
        </row>
        <row r="31">
          <cell r="B31" t="str">
            <v>Vacunas antiaftosas.</v>
          </cell>
          <cell r="C31">
            <v>1.42030911</v>
          </cell>
          <cell r="D31">
            <v>0</v>
          </cell>
          <cell r="E31">
            <v>1.8201203899999998</v>
          </cell>
          <cell r="F31">
            <v>0</v>
          </cell>
        </row>
      </sheetData>
      <sheetData sheetId="4">
        <row r="2">
          <cell r="B2" t="str">
            <v>Medicamentos</v>
          </cell>
          <cell r="C2">
            <v>14.921485470000013</v>
          </cell>
          <cell r="D2">
            <v>4.3804285299999988</v>
          </cell>
          <cell r="E2">
            <v>15.42418088</v>
          </cell>
          <cell r="F2">
            <v>1.57396413</v>
          </cell>
        </row>
        <row r="3">
          <cell r="B3" t="str">
            <v>Otros alimentos</v>
          </cell>
          <cell r="C3">
            <v>6.2669917200000063</v>
          </cell>
          <cell r="D3">
            <v>1.1078558399999996</v>
          </cell>
          <cell r="E3">
            <v>5.256738400000005</v>
          </cell>
          <cell r="F3">
            <v>0.53379359999999998</v>
          </cell>
        </row>
        <row r="4">
          <cell r="B4" t="str">
            <v>Grabados y fotografías</v>
          </cell>
          <cell r="C4">
            <v>5.5842564599999882</v>
          </cell>
          <cell r="D4">
            <v>0.7722534000000002</v>
          </cell>
          <cell r="E4">
            <v>4.9891050600000009</v>
          </cell>
          <cell r="F4">
            <v>0.56138000000000021</v>
          </cell>
        </row>
        <row r="5">
          <cell r="B5" t="str">
            <v>Sostenes</v>
          </cell>
          <cell r="C5">
            <v>4.4546993900000009</v>
          </cell>
          <cell r="D5">
            <v>0.52707264000000009</v>
          </cell>
          <cell r="E5">
            <v>4.7018321400000005</v>
          </cell>
          <cell r="F5">
            <v>0.42913203</v>
          </cell>
        </row>
        <row r="6">
          <cell r="B6" t="str">
            <v>Vidrio de seguridad</v>
          </cell>
          <cell r="C6">
            <v>6.4974606399999795</v>
          </cell>
          <cell r="D6">
            <v>0.73280554000000031</v>
          </cell>
          <cell r="E6">
            <v>4.5787043699999881</v>
          </cell>
          <cell r="F6">
            <v>0.77578427999999977</v>
          </cell>
        </row>
        <row r="7">
          <cell r="B7" t="str">
            <v>Preparaciones capilares</v>
          </cell>
          <cell r="C7">
            <v>5.8021936700000003</v>
          </cell>
          <cell r="D7">
            <v>1.52859883</v>
          </cell>
          <cell r="E7">
            <v>4.2231957400000004</v>
          </cell>
          <cell r="F7">
            <v>0.67624075000000017</v>
          </cell>
        </row>
        <row r="8">
          <cell r="B8" t="str">
            <v>Cajas de papel</v>
          </cell>
          <cell r="C8">
            <v>7.5960788799999968</v>
          </cell>
          <cell r="D8">
            <v>0.99169544999999981</v>
          </cell>
          <cell r="E8">
            <v>4.0143227100000018</v>
          </cell>
          <cell r="F8">
            <v>0.49947134999999993</v>
          </cell>
        </row>
        <row r="9">
          <cell r="B9" t="str">
            <v>Preparaciones compuestas</v>
          </cell>
          <cell r="C9">
            <v>1.3536242700000003</v>
          </cell>
          <cell r="D9">
            <v>0</v>
          </cell>
          <cell r="E9">
            <v>3.6279999399999978</v>
          </cell>
          <cell r="F9">
            <v>0.99860203999999997</v>
          </cell>
        </row>
        <row r="10">
          <cell r="B10" t="str">
            <v>Otros antibióticos humanos</v>
          </cell>
          <cell r="C10">
            <v>3.1176352000000005</v>
          </cell>
          <cell r="D10">
            <v>0.77766551000000006</v>
          </cell>
          <cell r="E10">
            <v>3.6257229800000013</v>
          </cell>
          <cell r="F10">
            <v>0.84821424000000034</v>
          </cell>
        </row>
        <row r="11">
          <cell r="B11" t="str">
            <v>Mezclas odoriferas</v>
          </cell>
          <cell r="C11">
            <v>2.0279471799999991</v>
          </cell>
          <cell r="D11">
            <v>0.29880301999999992</v>
          </cell>
          <cell r="E11">
            <v>3.1679117400000023</v>
          </cell>
          <cell r="F11">
            <v>0.93243473999999982</v>
          </cell>
        </row>
        <row r="12">
          <cell r="B12" t="str">
            <v>Productos a base de cereales</v>
          </cell>
          <cell r="C12">
            <v>1.3444908599999998</v>
          </cell>
          <cell r="D12">
            <v>0</v>
          </cell>
          <cell r="E12">
            <v>3.0647579600000001</v>
          </cell>
          <cell r="F12">
            <v>0.15080521</v>
          </cell>
        </row>
        <row r="13">
          <cell r="B13" t="str">
            <v>Corticosteroides</v>
          </cell>
          <cell r="C13">
            <v>2.0096981800000004</v>
          </cell>
          <cell r="D13">
            <v>0.60026445000000006</v>
          </cell>
          <cell r="E13">
            <v>2.7712117899999993</v>
          </cell>
          <cell r="F13">
            <v>0.99810102999999994</v>
          </cell>
        </row>
        <row r="14">
          <cell r="B14" t="str">
            <v>Electrodos recubiertos</v>
          </cell>
          <cell r="C14">
            <v>2.3295683999999999</v>
          </cell>
          <cell r="D14">
            <v>0</v>
          </cell>
          <cell r="E14">
            <v>2.6820112900000002</v>
          </cell>
          <cell r="F14">
            <v>1.0658914600000002</v>
          </cell>
        </row>
        <row r="15">
          <cell r="B15" t="str">
            <v>Preparaciones de belleza</v>
          </cell>
          <cell r="C15">
            <v>2.9324045399999998</v>
          </cell>
          <cell r="D15">
            <v>0.22095313999999999</v>
          </cell>
          <cell r="E15">
            <v>2.6409800999999993</v>
          </cell>
          <cell r="F15">
            <v>0.38638348</v>
          </cell>
        </row>
        <row r="16">
          <cell r="B16" t="str">
            <v>Fregaderos</v>
          </cell>
          <cell r="C16">
            <v>10.741033480000009</v>
          </cell>
          <cell r="D16">
            <v>1.1015309</v>
          </cell>
          <cell r="E16">
            <v>2.3996111299999989</v>
          </cell>
          <cell r="F16">
            <v>0.12148421999999999</v>
          </cell>
        </row>
        <row r="17">
          <cell r="B17" t="str">
            <v>Tejidos de hilados</v>
          </cell>
          <cell r="C17">
            <v>2.6681141199999998</v>
          </cell>
          <cell r="D17">
            <v>0.53091332999999996</v>
          </cell>
          <cell r="E17">
            <v>2.2576975299999993</v>
          </cell>
          <cell r="F17">
            <v>0.50527420000000001</v>
          </cell>
        </row>
        <row r="18">
          <cell r="B18" t="str">
            <v>Penicilinas o derivados</v>
          </cell>
          <cell r="C18">
            <v>2.7446815800000004</v>
          </cell>
          <cell r="D18">
            <v>1.0065327100000001</v>
          </cell>
          <cell r="E18">
            <v>2.2401478500000001</v>
          </cell>
          <cell r="F18">
            <v>0.17880984000000003</v>
          </cell>
        </row>
        <row r="19">
          <cell r="B19" t="str">
            <v>Filtros tubulares</v>
          </cell>
          <cell r="E19">
            <v>2.2068820000000002</v>
          </cell>
          <cell r="F19">
            <v>1.061626</v>
          </cell>
        </row>
        <row r="20">
          <cell r="B20" t="str">
            <v>Tirantes y similares</v>
          </cell>
          <cell r="C20">
            <v>2.66455815</v>
          </cell>
          <cell r="D20">
            <v>0.41495395999999996</v>
          </cell>
          <cell r="E20">
            <v>2.1606398399999986</v>
          </cell>
          <cell r="F20">
            <v>0.12910632000000005</v>
          </cell>
        </row>
        <row r="21">
          <cell r="B21" t="str">
            <v>Partes para radiadores</v>
          </cell>
          <cell r="C21">
            <v>1.3350880200000002</v>
          </cell>
          <cell r="D21">
            <v>9.6000000000000002E-4</v>
          </cell>
          <cell r="E21">
            <v>2.0413348399999993</v>
          </cell>
          <cell r="F21">
            <v>0.34793460000000004</v>
          </cell>
        </row>
        <row r="22">
          <cell r="B22" t="str">
            <v>Libros</v>
          </cell>
          <cell r="C22">
            <v>7.7677197200000041</v>
          </cell>
          <cell r="D22">
            <v>2.3193427600000001</v>
          </cell>
          <cell r="E22">
            <v>1.8628202500000004</v>
          </cell>
          <cell r="F22">
            <v>0.21668194000000002</v>
          </cell>
        </row>
        <row r="23">
          <cell r="B23" t="str">
            <v>Recipientes</v>
          </cell>
          <cell r="C23">
            <v>4.0011561700000016</v>
          </cell>
          <cell r="D23">
            <v>0.41441722999999991</v>
          </cell>
          <cell r="E23">
            <v>1.8071394800000011</v>
          </cell>
          <cell r="F23">
            <v>0.22982575999999999</v>
          </cell>
        </row>
        <row r="24">
          <cell r="B24" t="str">
            <v>Tejido de punto</v>
          </cell>
          <cell r="C24">
            <v>4.0376939700000003</v>
          </cell>
          <cell r="D24">
            <v>0.48420118999999995</v>
          </cell>
          <cell r="E24">
            <v>1.6881975200000001</v>
          </cell>
          <cell r="F24">
            <v>4.5393380000000004E-2</v>
          </cell>
        </row>
        <row r="25">
          <cell r="B25" t="str">
            <v>Tapones</v>
          </cell>
          <cell r="C25">
            <v>2.69439385</v>
          </cell>
          <cell r="D25">
            <v>0.50916748999999994</v>
          </cell>
          <cell r="E25">
            <v>1.6789544900000002</v>
          </cell>
          <cell r="F25">
            <v>8.4158670000000019E-2</v>
          </cell>
        </row>
        <row r="26">
          <cell r="B26" t="str">
            <v>Páneles, consolas</v>
          </cell>
          <cell r="C26">
            <v>6.0335015900000011</v>
          </cell>
          <cell r="D26">
            <v>0</v>
          </cell>
          <cell r="E26">
            <v>1.669988</v>
          </cell>
          <cell r="F26">
            <v>5.4679999999999999E-2</v>
          </cell>
        </row>
        <row r="27">
          <cell r="B27" t="str">
            <v>Bragas de punto</v>
          </cell>
          <cell r="C27">
            <v>2.211091179999999</v>
          </cell>
          <cell r="D27">
            <v>0.34971815000000006</v>
          </cell>
          <cell r="E27">
            <v>1.6289084699999996</v>
          </cell>
          <cell r="F27">
            <v>0.58526907000000006</v>
          </cell>
        </row>
        <row r="28">
          <cell r="B28" t="str">
            <v>Bisuteria</v>
          </cell>
          <cell r="C28">
            <v>2.9163896499999993</v>
          </cell>
          <cell r="D28">
            <v>0.54383961999999997</v>
          </cell>
          <cell r="E28">
            <v>1.5454232600000002</v>
          </cell>
          <cell r="F28">
            <v>7.1090099999999998E-3</v>
          </cell>
        </row>
        <row r="29">
          <cell r="B29" t="str">
            <v>Vajillas</v>
          </cell>
          <cell r="C29">
            <v>3.1538257499999971</v>
          </cell>
          <cell r="D29">
            <v>0.55124481000000003</v>
          </cell>
          <cell r="E29">
            <v>1.5108770399999996</v>
          </cell>
          <cell r="F29">
            <v>0.15410852</v>
          </cell>
        </row>
        <row r="30">
          <cell r="B30" t="str">
            <v>Baldosas y losas</v>
          </cell>
          <cell r="C30">
            <v>4.5171656100000011</v>
          </cell>
          <cell r="D30">
            <v>0.54610362999999995</v>
          </cell>
          <cell r="E30">
            <v>1.4939913600000001</v>
          </cell>
          <cell r="F30">
            <v>0.1195175</v>
          </cell>
        </row>
        <row r="31">
          <cell r="B31" t="str">
            <v>Papas preparadas</v>
          </cell>
          <cell r="C31">
            <v>1.6693421700000011</v>
          </cell>
          <cell r="D31">
            <v>0.83626335999999979</v>
          </cell>
          <cell r="E31">
            <v>1.4493253200000003</v>
          </cell>
          <cell r="F31">
            <v>0</v>
          </cell>
        </row>
      </sheetData>
      <sheetData sheetId="5">
        <row r="2">
          <cell r="B2" t="str">
            <v>Medicamentos</v>
          </cell>
          <cell r="C2">
            <v>5.8882268000000035</v>
          </cell>
          <cell r="D2">
            <v>0.81325413000000013</v>
          </cell>
          <cell r="E2">
            <v>7.0320064399999982</v>
          </cell>
          <cell r="F2">
            <v>0.64170023000000009</v>
          </cell>
        </row>
        <row r="3">
          <cell r="B3" t="str">
            <v>Mezclas odoriferas</v>
          </cell>
          <cell r="C3">
            <v>6.5007481099999938</v>
          </cell>
          <cell r="D3">
            <v>0.48322022000000003</v>
          </cell>
          <cell r="E3">
            <v>6.1974966799999978</v>
          </cell>
          <cell r="F3">
            <v>0.56410963000000025</v>
          </cell>
        </row>
        <row r="4">
          <cell r="B4" t="str">
            <v>Preparaciones capilares</v>
          </cell>
          <cell r="C4">
            <v>3.9770476299999999</v>
          </cell>
          <cell r="D4">
            <v>0.51341787999999999</v>
          </cell>
          <cell r="E4">
            <v>5.3885272799999964</v>
          </cell>
          <cell r="F4">
            <v>0.99575859000000033</v>
          </cell>
        </row>
        <row r="5">
          <cell r="B5" t="str">
            <v>Clavijas y enchufes</v>
          </cell>
          <cell r="C5">
            <v>2.6835378999999997</v>
          </cell>
          <cell r="D5">
            <v>0.29915532000000006</v>
          </cell>
          <cell r="E5">
            <v>3.3004157099999971</v>
          </cell>
          <cell r="F5">
            <v>0.38102749999999996</v>
          </cell>
        </row>
        <row r="6">
          <cell r="B6" t="str">
            <v>Champúes para el cabello</v>
          </cell>
          <cell r="C6">
            <v>1.8596329</v>
          </cell>
          <cell r="D6">
            <v>0.33773496000000003</v>
          </cell>
          <cell r="E6">
            <v>3.2132413699999995</v>
          </cell>
          <cell r="F6">
            <v>0.16565506000000002</v>
          </cell>
        </row>
        <row r="7">
          <cell r="B7" t="str">
            <v>Guantes de caucho</v>
          </cell>
          <cell r="C7">
            <v>2.4972075999999999</v>
          </cell>
          <cell r="D7">
            <v>0.26488967999999996</v>
          </cell>
          <cell r="E7">
            <v>3.0282744100000003</v>
          </cell>
          <cell r="F7">
            <v>0.45614811999999993</v>
          </cell>
        </row>
        <row r="8">
          <cell r="B8" t="str">
            <v>Libros</v>
          </cell>
          <cell r="C8">
            <v>3.0664119899999998</v>
          </cell>
          <cell r="D8">
            <v>0.26516264000000006</v>
          </cell>
          <cell r="E8">
            <v>2.605916950000001</v>
          </cell>
          <cell r="F8">
            <v>0.28212787999999994</v>
          </cell>
        </row>
        <row r="9">
          <cell r="B9" t="str">
            <v>Otros antibióticos humanos</v>
          </cell>
          <cell r="C9">
            <v>1.0824785899999996</v>
          </cell>
          <cell r="D9">
            <v>0.15841203000000001</v>
          </cell>
          <cell r="E9">
            <v>2.5146498600000009</v>
          </cell>
          <cell r="F9">
            <v>0.53733786999999988</v>
          </cell>
        </row>
        <row r="10">
          <cell r="B10" t="str">
            <v>Recipientes</v>
          </cell>
          <cell r="C10">
            <v>2.9517890100000024</v>
          </cell>
          <cell r="D10">
            <v>0.45948185000000002</v>
          </cell>
          <cell r="E10">
            <v>2.514122200000001</v>
          </cell>
          <cell r="F10">
            <v>0.31717890999999998</v>
          </cell>
        </row>
        <row r="11">
          <cell r="B11" t="str">
            <v>Telas sin tejer</v>
          </cell>
          <cell r="C11">
            <v>6.0279170000000007E-2</v>
          </cell>
          <cell r="D11">
            <v>1.102421E-2</v>
          </cell>
          <cell r="E11">
            <v>2.51152284</v>
          </cell>
          <cell r="F11">
            <v>0.28212788</v>
          </cell>
        </row>
        <row r="12">
          <cell r="B12" t="str">
            <v>Otros aceites lubricantes</v>
          </cell>
          <cell r="C12">
            <v>2.230075229999998</v>
          </cell>
          <cell r="D12">
            <v>9.130858E-2</v>
          </cell>
          <cell r="E12">
            <v>2.0732340100000006</v>
          </cell>
          <cell r="F12">
            <v>0.39290870999999994</v>
          </cell>
        </row>
        <row r="13">
          <cell r="B13" t="str">
            <v>Bisuteria</v>
          </cell>
          <cell r="C13">
            <v>2.3738203500000012</v>
          </cell>
          <cell r="D13">
            <v>0.28824091000000007</v>
          </cell>
          <cell r="E13">
            <v>1.9917756099999988</v>
          </cell>
          <cell r="F13">
            <v>0.16817876000000001</v>
          </cell>
        </row>
        <row r="14">
          <cell r="B14" t="str">
            <v>Placas de polímeros etileno</v>
          </cell>
          <cell r="C14">
            <v>1.7255271000000001</v>
          </cell>
          <cell r="D14">
            <v>0.21526816999999998</v>
          </cell>
          <cell r="E14">
            <v>1.7242140200000007</v>
          </cell>
          <cell r="F14">
            <v>0.15889013999999999</v>
          </cell>
        </row>
        <row r="15">
          <cell r="B15" t="str">
            <v>Perfumes y aguas de tocador.</v>
          </cell>
          <cell r="C15">
            <v>0.59284675999999992</v>
          </cell>
          <cell r="D15">
            <v>4.7304870000000006E-2</v>
          </cell>
          <cell r="E15">
            <v>1.2996657399999991</v>
          </cell>
          <cell r="F15">
            <v>8.1659849999999992E-2</v>
          </cell>
        </row>
        <row r="16">
          <cell r="B16" t="str">
            <v>Balastos</v>
          </cell>
          <cell r="C16">
            <v>1.2406797999999994</v>
          </cell>
          <cell r="D16">
            <v>0.22181480000000003</v>
          </cell>
          <cell r="E16">
            <v>1.2102534200000006</v>
          </cell>
          <cell r="F16">
            <v>0.17781442</v>
          </cell>
        </row>
        <row r="17">
          <cell r="B17" t="str">
            <v>Máquinas de sondeo</v>
          </cell>
          <cell r="C17">
            <v>1.145766E-2</v>
          </cell>
          <cell r="D17">
            <v>0</v>
          </cell>
          <cell r="E17">
            <v>1.1867949099999999</v>
          </cell>
          <cell r="F17">
            <v>0</v>
          </cell>
        </row>
        <row r="18">
          <cell r="B18" t="str">
            <v>Mezclas odoriferas</v>
          </cell>
          <cell r="C18">
            <v>1.2990206100000001</v>
          </cell>
          <cell r="D18">
            <v>0.22705500999999992</v>
          </cell>
          <cell r="E18">
            <v>1.1214626499999996</v>
          </cell>
          <cell r="F18">
            <v>3.8311199999999997E-2</v>
          </cell>
        </row>
        <row r="19">
          <cell r="B19" t="str">
            <v>Preparaciones de belleza</v>
          </cell>
          <cell r="C19">
            <v>1.0856729500000002</v>
          </cell>
          <cell r="D19">
            <v>0.21249124999999999</v>
          </cell>
          <cell r="E19">
            <v>1.1207573</v>
          </cell>
          <cell r="F19">
            <v>9.8223939999999982E-2</v>
          </cell>
        </row>
        <row r="20">
          <cell r="B20" t="str">
            <v>Artículos de construcción</v>
          </cell>
          <cell r="C20">
            <v>1.2364104500000006</v>
          </cell>
          <cell r="D20">
            <v>0.15661798999999996</v>
          </cell>
          <cell r="E20">
            <v>1.10936426</v>
          </cell>
          <cell r="F20">
            <v>0.2424364</v>
          </cell>
        </row>
        <row r="21">
          <cell r="B21" t="str">
            <v>Productos a base de cereales</v>
          </cell>
          <cell r="C21">
            <v>0.94520789000000061</v>
          </cell>
          <cell r="D21">
            <v>0.14110533</v>
          </cell>
          <cell r="E21">
            <v>1.0260584499999998</v>
          </cell>
          <cell r="F21">
            <v>0.18691096999999998</v>
          </cell>
        </row>
        <row r="22">
          <cell r="B22" t="str">
            <v>Electrodos recubiertos</v>
          </cell>
          <cell r="C22">
            <v>1.0502285</v>
          </cell>
          <cell r="D22">
            <v>0.1748836</v>
          </cell>
          <cell r="E22">
            <v>0.98469788999999985</v>
          </cell>
          <cell r="F22">
            <v>0</v>
          </cell>
        </row>
        <row r="23">
          <cell r="B23" t="str">
            <v>Encajes</v>
          </cell>
          <cell r="C23">
            <v>1.1612678699999996</v>
          </cell>
          <cell r="D23">
            <v>0.27064212000000004</v>
          </cell>
          <cell r="E23">
            <v>0.96159981000000028</v>
          </cell>
          <cell r="F23">
            <v>0.26484637999999999</v>
          </cell>
        </row>
        <row r="24">
          <cell r="B24" t="str">
            <v>Páneles, consolas</v>
          </cell>
          <cell r="C24">
            <v>0.2445956</v>
          </cell>
          <cell r="D24">
            <v>0</v>
          </cell>
          <cell r="E24">
            <v>0.95293591</v>
          </cell>
          <cell r="F24">
            <v>0</v>
          </cell>
        </row>
        <row r="25">
          <cell r="B25" t="str">
            <v>Torres de fundición</v>
          </cell>
          <cell r="C25">
            <v>0.45038736000000001</v>
          </cell>
          <cell r="D25">
            <v>0</v>
          </cell>
          <cell r="E25">
            <v>0.94964218999999994</v>
          </cell>
          <cell r="F25">
            <v>5.5228329999999999E-2</v>
          </cell>
        </row>
        <row r="26">
          <cell r="B26" t="str">
            <v>Concentrados de café</v>
          </cell>
          <cell r="C26">
            <v>1.8689549999999999E-2</v>
          </cell>
          <cell r="D26">
            <v>0</v>
          </cell>
          <cell r="E26">
            <v>0.92572385000000001</v>
          </cell>
          <cell r="F26">
            <v>0.10123665</v>
          </cell>
        </row>
        <row r="27">
          <cell r="B27" t="str">
            <v>Tejido de punto</v>
          </cell>
          <cell r="C27">
            <v>1.6573668399999995</v>
          </cell>
          <cell r="D27">
            <v>0.22256102999999999</v>
          </cell>
          <cell r="E27">
            <v>0.88130744999999933</v>
          </cell>
          <cell r="F27">
            <v>0.11651609999999998</v>
          </cell>
        </row>
        <row r="28">
          <cell r="B28" t="str">
            <v>Corticosteroides</v>
          </cell>
          <cell r="C28">
            <v>0.39022011000000001</v>
          </cell>
          <cell r="D28">
            <v>3.6379430000000004E-2</v>
          </cell>
          <cell r="E28">
            <v>0.87845216000000015</v>
          </cell>
          <cell r="F28">
            <v>4.2445030000000002E-2</v>
          </cell>
        </row>
        <row r="29">
          <cell r="B29" t="str">
            <v>Alcaloides o sus derivados</v>
          </cell>
          <cell r="C29">
            <v>0.25273656</v>
          </cell>
          <cell r="D29">
            <v>1.9372500000000001E-2</v>
          </cell>
          <cell r="E29">
            <v>0.87275824000000002</v>
          </cell>
          <cell r="F29">
            <v>0</v>
          </cell>
        </row>
        <row r="30">
          <cell r="B30" t="str">
            <v>Fajas y fajas-braga</v>
          </cell>
          <cell r="C30">
            <v>0.67744083999999971</v>
          </cell>
          <cell r="D30">
            <v>4.7049550000000009E-2</v>
          </cell>
          <cell r="E30">
            <v>0.86592618999999993</v>
          </cell>
          <cell r="F30">
            <v>6.6801479999999996E-2</v>
          </cell>
        </row>
        <row r="31">
          <cell r="B31" t="str">
            <v>Láminas de polímeros</v>
          </cell>
          <cell r="C31">
            <v>1.13949699</v>
          </cell>
          <cell r="D31">
            <v>0.1729001</v>
          </cell>
          <cell r="E31">
            <v>0.84679115999999988</v>
          </cell>
          <cell r="F31">
            <v>8.5029030000000005E-2</v>
          </cell>
        </row>
      </sheetData>
      <sheetData sheetId="6">
        <row r="2">
          <cell r="B2" t="str">
            <v>Medicamentos</v>
          </cell>
          <cell r="C2">
            <v>13.982216410000005</v>
          </cell>
          <cell r="D2">
            <v>1.3803696300000003</v>
          </cell>
          <cell r="E2">
            <v>24.593943540000005</v>
          </cell>
          <cell r="F2">
            <v>5.0156972</v>
          </cell>
        </row>
        <row r="3">
          <cell r="B3" t="str">
            <v>Artículos de cama</v>
          </cell>
          <cell r="C3">
            <v>6.2309620100000007</v>
          </cell>
          <cell r="D3">
            <v>1.6138747100000002</v>
          </cell>
          <cell r="E3">
            <v>7.833709770000004</v>
          </cell>
          <cell r="F3">
            <v>0.89653723000000007</v>
          </cell>
        </row>
        <row r="4">
          <cell r="B4" t="str">
            <v>Condensadores fijos</v>
          </cell>
          <cell r="E4">
            <v>3.8343799999999999</v>
          </cell>
          <cell r="F4">
            <v>0</v>
          </cell>
        </row>
        <row r="5">
          <cell r="B5" t="str">
            <v>Libros</v>
          </cell>
          <cell r="C5">
            <v>2.1987406599999995</v>
          </cell>
          <cell r="D5">
            <v>0.42691960999999995</v>
          </cell>
          <cell r="E5">
            <v>3.6871828199999999</v>
          </cell>
          <cell r="F5">
            <v>0.40821779000000002</v>
          </cell>
        </row>
        <row r="6">
          <cell r="B6" t="str">
            <v>Aviones &lt;= 5.700 kg</v>
          </cell>
          <cell r="E6">
            <v>3.58</v>
          </cell>
          <cell r="F6">
            <v>0</v>
          </cell>
        </row>
        <row r="7">
          <cell r="B7" t="str">
            <v>Títulos de acciones</v>
          </cell>
          <cell r="E7">
            <v>3.2760026999999998</v>
          </cell>
          <cell r="F7">
            <v>0</v>
          </cell>
        </row>
        <row r="8">
          <cell r="B8" t="str">
            <v>Muebles de madera</v>
          </cell>
          <cell r="C8">
            <v>1.9625648</v>
          </cell>
          <cell r="D8">
            <v>0.47405212000000002</v>
          </cell>
          <cell r="E8">
            <v>3.1323475999999992</v>
          </cell>
          <cell r="F8">
            <v>0.15857899</v>
          </cell>
        </row>
        <row r="9">
          <cell r="B9" t="str">
            <v>Otros antibióticos humanos</v>
          </cell>
          <cell r="C9">
            <v>2.1968526699999997</v>
          </cell>
          <cell r="D9">
            <v>0.13129006000000001</v>
          </cell>
          <cell r="E9">
            <v>2.8540172499999996</v>
          </cell>
          <cell r="F9">
            <v>0.48767628999999996</v>
          </cell>
        </row>
        <row r="10">
          <cell r="B10" t="str">
            <v>Partes acondicionadores aire</v>
          </cell>
          <cell r="C10">
            <v>9.5165200000000005E-3</v>
          </cell>
          <cell r="D10">
            <v>4.9630000000000004E-3</v>
          </cell>
          <cell r="E10">
            <v>2.3221227300000002</v>
          </cell>
          <cell r="F10">
            <v>8.7200000000000012E-6</v>
          </cell>
        </row>
        <row r="11">
          <cell r="B11" t="str">
            <v>Preparaciones capilares</v>
          </cell>
          <cell r="C11">
            <v>1.9241048600000006</v>
          </cell>
          <cell r="D11">
            <v>0.51501074000000002</v>
          </cell>
          <cell r="E11">
            <v>1.8831597299999996</v>
          </cell>
          <cell r="F11">
            <v>0.22941158000000003</v>
          </cell>
        </row>
        <row r="12">
          <cell r="B12" t="str">
            <v>Vitaminas</v>
          </cell>
          <cell r="C12">
            <v>2.3979169199999992</v>
          </cell>
          <cell r="D12">
            <v>0.24586305000000003</v>
          </cell>
          <cell r="E12">
            <v>1.8008646699999995</v>
          </cell>
          <cell r="F12">
            <v>0.41085051</v>
          </cell>
        </row>
        <row r="13">
          <cell r="B13" t="str">
            <v>Ropas  de cama</v>
          </cell>
          <cell r="C13">
            <v>2.1258836400000001</v>
          </cell>
          <cell r="D13">
            <v>0.33356048999999999</v>
          </cell>
          <cell r="E13">
            <v>1.765889</v>
          </cell>
          <cell r="F13">
            <v>1.0254384000000001</v>
          </cell>
        </row>
        <row r="14">
          <cell r="B14" t="str">
            <v>Recipientes</v>
          </cell>
          <cell r="C14">
            <v>1.3385139299999997</v>
          </cell>
          <cell r="D14">
            <v>0.10993825</v>
          </cell>
          <cell r="E14">
            <v>1.4944251999999993</v>
          </cell>
          <cell r="F14">
            <v>0.25668592000000001</v>
          </cell>
        </row>
        <row r="15">
          <cell r="B15" t="str">
            <v>Vehículos carga 6.2 y 9.3 ton</v>
          </cell>
          <cell r="E15">
            <v>1.27407866</v>
          </cell>
          <cell r="F15">
            <v>1.27407866</v>
          </cell>
        </row>
        <row r="16">
          <cell r="B16" t="str">
            <v>Propulsores a reacción</v>
          </cell>
          <cell r="E16">
            <v>1.2335579999999999</v>
          </cell>
          <cell r="F16">
            <v>0</v>
          </cell>
        </row>
        <row r="17">
          <cell r="B17" t="str">
            <v>Diarios</v>
          </cell>
          <cell r="C17">
            <v>1.2680861199999993</v>
          </cell>
          <cell r="D17">
            <v>0.20369681000000003</v>
          </cell>
          <cell r="E17">
            <v>1.2169102699999998</v>
          </cell>
          <cell r="F17">
            <v>7.9727929999999989E-2</v>
          </cell>
        </row>
        <row r="18">
          <cell r="B18" t="str">
            <v>Preparaciones de belleza</v>
          </cell>
          <cell r="C18">
            <v>1.13793107</v>
          </cell>
          <cell r="D18">
            <v>5.8348689999999995E-2</v>
          </cell>
          <cell r="E18">
            <v>0.93431560999999996</v>
          </cell>
          <cell r="F18">
            <v>1.4887609999999999E-2</v>
          </cell>
        </row>
        <row r="19">
          <cell r="B19" t="str">
            <v>Muebles de metal</v>
          </cell>
          <cell r="C19">
            <v>2.6451611600000007</v>
          </cell>
          <cell r="D19">
            <v>0.15922630999999998</v>
          </cell>
          <cell r="E19">
            <v>0.93212614000000027</v>
          </cell>
          <cell r="F19">
            <v>1.3339119999999999E-2</v>
          </cell>
        </row>
        <row r="20">
          <cell r="B20" t="str">
            <v>Ropa cama sintética</v>
          </cell>
          <cell r="C20">
            <v>1.87481437</v>
          </cell>
          <cell r="D20">
            <v>0</v>
          </cell>
          <cell r="E20">
            <v>0.85031894999999991</v>
          </cell>
          <cell r="F20">
            <v>5.5606800000000005E-2</v>
          </cell>
        </row>
        <row r="21">
          <cell r="B21" t="str">
            <v>Partes de construcciones</v>
          </cell>
          <cell r="C21">
            <v>1.7913399100000003</v>
          </cell>
          <cell r="D21">
            <v>0.31278048000000003</v>
          </cell>
          <cell r="E21">
            <v>0.70876569000000011</v>
          </cell>
          <cell r="F21">
            <v>0.24934595000000001</v>
          </cell>
        </row>
        <row r="22">
          <cell r="B22" t="str">
            <v>Harina de maíz</v>
          </cell>
          <cell r="C22">
            <v>0.66181447000000004</v>
          </cell>
          <cell r="D22">
            <v>7.5695999999999999E-2</v>
          </cell>
          <cell r="E22">
            <v>0.70811067999999977</v>
          </cell>
          <cell r="F22">
            <v>0</v>
          </cell>
        </row>
        <row r="23">
          <cell r="B23" t="str">
            <v>Penicilinas o derivados</v>
          </cell>
          <cell r="C23">
            <v>0.35302919999999999</v>
          </cell>
          <cell r="D23">
            <v>5.0890000000000005E-2</v>
          </cell>
          <cell r="E23">
            <v>0.69297031999999992</v>
          </cell>
          <cell r="F23">
            <v>0.28447707999999999</v>
          </cell>
        </row>
        <row r="24">
          <cell r="B24" t="str">
            <v>Empaquetaduras de caucho</v>
          </cell>
          <cell r="C24">
            <v>7.0668739999999994E-2</v>
          </cell>
          <cell r="D24">
            <v>5.9779999999999998E-3</v>
          </cell>
          <cell r="E24">
            <v>0.66005331</v>
          </cell>
          <cell r="F24">
            <v>0</v>
          </cell>
        </row>
        <row r="25">
          <cell r="B25" t="str">
            <v>Pantalones largos</v>
          </cell>
          <cell r="C25">
            <v>2.7509464399999999</v>
          </cell>
          <cell r="D25">
            <v>5.5540900000000002E-3</v>
          </cell>
          <cell r="E25">
            <v>0.64684073999999991</v>
          </cell>
          <cell r="F25">
            <v>1.0076359999999999E-2</v>
          </cell>
        </row>
        <row r="26">
          <cell r="B26" t="str">
            <v>Morteros, hormigónes</v>
          </cell>
          <cell r="C26">
            <v>0.71756093999999981</v>
          </cell>
          <cell r="D26">
            <v>3.5266659999999998E-2</v>
          </cell>
          <cell r="E26">
            <v>0.64061412999999989</v>
          </cell>
          <cell r="F26">
            <v>7.8491669999999999E-2</v>
          </cell>
        </row>
        <row r="27">
          <cell r="B27" t="str">
            <v>Claveles</v>
          </cell>
          <cell r="C27">
            <v>0.23099498000000007</v>
          </cell>
          <cell r="D27">
            <v>2.24735E-2</v>
          </cell>
          <cell r="E27">
            <v>0.60557169999999994</v>
          </cell>
          <cell r="F27">
            <v>5.3407999999999997E-2</v>
          </cell>
        </row>
        <row r="28">
          <cell r="B28" t="str">
            <v>Productos para la piel</v>
          </cell>
          <cell r="C28">
            <v>0.54912822000000006</v>
          </cell>
          <cell r="D28">
            <v>6.9587960000000004E-2</v>
          </cell>
          <cell r="E28">
            <v>0.6005210700000001</v>
          </cell>
          <cell r="F28">
            <v>1.6567459999999999E-2</v>
          </cell>
        </row>
        <row r="29">
          <cell r="B29" t="str">
            <v>Manufacturas de plástico</v>
          </cell>
          <cell r="C29">
            <v>0.4900377800000002</v>
          </cell>
          <cell r="D29">
            <v>8.6270199999999991E-2</v>
          </cell>
          <cell r="E29">
            <v>0.58099053000000001</v>
          </cell>
          <cell r="F29">
            <v>7.7689489999999986E-2</v>
          </cell>
        </row>
        <row r="30">
          <cell r="B30" t="str">
            <v>Accesorios de tuberia</v>
          </cell>
          <cell r="C30">
            <v>0.74114069000000005</v>
          </cell>
          <cell r="D30">
            <v>0.15877921000000003</v>
          </cell>
          <cell r="E30">
            <v>0.56987680000000063</v>
          </cell>
          <cell r="F30">
            <v>5.1474570000000004E-2</v>
          </cell>
        </row>
        <row r="31">
          <cell r="B31" t="str">
            <v>Corticosteroides</v>
          </cell>
          <cell r="C31">
            <v>1.2355714800000006</v>
          </cell>
          <cell r="D31">
            <v>5.9023799999999994E-2</v>
          </cell>
          <cell r="E31">
            <v>0.5588995499999998</v>
          </cell>
          <cell r="F31">
            <v>2.5491999999999997E-2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sumen_venezuela1"/>
    </sheetNames>
    <sheetDataSet>
      <sheetData sheetId="0">
        <row r="8">
          <cell r="B8">
            <v>296005899</v>
          </cell>
          <cell r="C8">
            <v>187864822</v>
          </cell>
          <cell r="D8">
            <v>46047829</v>
          </cell>
          <cell r="E8">
            <v>25669690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Venezuela</v>
          </cell>
          <cell r="B2">
            <v>296005898.63000035</v>
          </cell>
          <cell r="C2">
            <v>46047828.68000003</v>
          </cell>
          <cell r="D2">
            <v>187864822.37999991</v>
          </cell>
          <cell r="E2">
            <v>25669690.349999975</v>
          </cell>
        </row>
        <row r="3">
          <cell r="A3" t="str">
            <v>Italia</v>
          </cell>
          <cell r="B3">
            <v>61599533.080000013</v>
          </cell>
          <cell r="C3">
            <v>4996064.0200000005</v>
          </cell>
          <cell r="D3">
            <v>14280885.400000008</v>
          </cell>
          <cell r="E3">
            <v>955171.26</v>
          </cell>
        </row>
        <row r="4">
          <cell r="A4" t="str">
            <v>Brasil</v>
          </cell>
          <cell r="B4">
            <v>61354700.579999991</v>
          </cell>
          <cell r="C4">
            <v>5521876.5900000017</v>
          </cell>
          <cell r="D4">
            <v>37951437.80999998</v>
          </cell>
          <cell r="E4">
            <v>4545194.7399999974</v>
          </cell>
        </row>
        <row r="5">
          <cell r="A5" t="str">
            <v>Canadá</v>
          </cell>
          <cell r="B5">
            <v>32115799.079999994</v>
          </cell>
          <cell r="C5">
            <v>3951552.4000000013</v>
          </cell>
          <cell r="D5">
            <v>22605539.519999981</v>
          </cell>
          <cell r="E5">
            <v>3320151.3600000013</v>
          </cell>
        </row>
        <row r="6">
          <cell r="A6" t="str">
            <v>Perú</v>
          </cell>
          <cell r="B6">
            <v>122344083.86000076</v>
          </cell>
          <cell r="C6">
            <v>12441538.819999976</v>
          </cell>
          <cell r="D6">
            <v>116473706.48999994</v>
          </cell>
          <cell r="E6">
            <v>14011422.270000003</v>
          </cell>
        </row>
        <row r="7">
          <cell r="A7" t="str">
            <v>Japón</v>
          </cell>
          <cell r="B7">
            <v>28566240.780000005</v>
          </cell>
          <cell r="C7">
            <v>4380576.6799999988</v>
          </cell>
          <cell r="D7">
            <v>22908450.310000021</v>
          </cell>
          <cell r="E7">
            <v>2637674.5699999989</v>
          </cell>
        </row>
        <row r="8">
          <cell r="A8" t="str">
            <v>España</v>
          </cell>
          <cell r="B8">
            <v>26632090.189999983</v>
          </cell>
          <cell r="C8">
            <v>3981075.2199999997</v>
          </cell>
          <cell r="D8">
            <v>21712840.379999992</v>
          </cell>
          <cell r="E8">
            <v>1986522.2899999989</v>
          </cell>
        </row>
        <row r="9">
          <cell r="A9" t="str">
            <v>Francia</v>
          </cell>
          <cell r="B9">
            <v>26376071.45000001</v>
          </cell>
          <cell r="C9">
            <v>2245256.02</v>
          </cell>
          <cell r="D9">
            <v>21881876.640000001</v>
          </cell>
          <cell r="E9">
            <v>2532812.86</v>
          </cell>
        </row>
        <row r="10">
          <cell r="A10" t="str">
            <v>República Dominicana</v>
          </cell>
          <cell r="B10">
            <v>29922940.759999964</v>
          </cell>
          <cell r="C10">
            <v>2890993.0499999989</v>
          </cell>
          <cell r="D10">
            <v>26447288.319999952</v>
          </cell>
          <cell r="E10">
            <v>2840484.8899999992</v>
          </cell>
        </row>
        <row r="11">
          <cell r="A11" t="str">
            <v>Puerto Rico</v>
          </cell>
          <cell r="B11">
            <v>18204506.099999998</v>
          </cell>
          <cell r="C11">
            <v>2208900.6400000006</v>
          </cell>
          <cell r="D11">
            <v>16249871.729999993</v>
          </cell>
          <cell r="E11">
            <v>1654931.669999999</v>
          </cell>
        </row>
        <row r="12">
          <cell r="A12" t="str">
            <v>Costa Rica</v>
          </cell>
          <cell r="B12">
            <v>33129723.449999996</v>
          </cell>
          <cell r="C12">
            <v>4035706.7200000011</v>
          </cell>
          <cell r="D12">
            <v>31198238.349999942</v>
          </cell>
          <cell r="E12">
            <v>3229976.3899999973</v>
          </cell>
        </row>
        <row r="13">
          <cell r="A13" t="str">
            <v>Grecia</v>
          </cell>
          <cell r="B13">
            <v>3497342.74</v>
          </cell>
          <cell r="C13">
            <v>147278.04</v>
          </cell>
          <cell r="D13">
            <v>1575155.4100000001</v>
          </cell>
          <cell r="E13">
            <v>73383.600000000006</v>
          </cell>
        </row>
        <row r="14">
          <cell r="A14" t="str">
            <v>Países Bajos</v>
          </cell>
          <cell r="B14">
            <v>27570074.620000027</v>
          </cell>
          <cell r="C14">
            <v>2801392.7599999988</v>
          </cell>
          <cell r="D14">
            <v>27110561.00999999</v>
          </cell>
          <cell r="E14">
            <v>2616251.1799999983</v>
          </cell>
        </row>
        <row r="15">
          <cell r="A15" t="str">
            <v>Lituania</v>
          </cell>
          <cell r="B15">
            <v>590069</v>
          </cell>
          <cell r="C15">
            <v>190170</v>
          </cell>
          <cell r="D15">
            <v>232406.25</v>
          </cell>
          <cell r="E15">
            <v>10020</v>
          </cell>
        </row>
        <row r="16">
          <cell r="A16" t="str">
            <v>Bulgaria</v>
          </cell>
          <cell r="B16">
            <v>315539.23</v>
          </cell>
          <cell r="C16">
            <v>156018.66</v>
          </cell>
          <cell r="D16">
            <v>3056</v>
          </cell>
          <cell r="E16">
            <v>0</v>
          </cell>
        </row>
        <row r="17">
          <cell r="A17" t="str">
            <v>Portugal</v>
          </cell>
          <cell r="B17">
            <v>1290200.0799999998</v>
          </cell>
          <cell r="C17">
            <v>287191.39</v>
          </cell>
          <cell r="D17">
            <v>988233.59000000008</v>
          </cell>
          <cell r="E17">
            <v>219670.22</v>
          </cell>
        </row>
        <row r="18">
          <cell r="A18" t="str">
            <v>Cuba</v>
          </cell>
          <cell r="B18">
            <v>5091059.9899999937</v>
          </cell>
          <cell r="C18">
            <v>1006004.0099999999</v>
          </cell>
          <cell r="D18">
            <v>4810491.700000003</v>
          </cell>
          <cell r="E18">
            <v>302034.99999999994</v>
          </cell>
        </row>
        <row r="19">
          <cell r="A19" t="str">
            <v>República Checa</v>
          </cell>
          <cell r="B19">
            <v>1166201.0300000003</v>
          </cell>
          <cell r="C19">
            <v>102981.5</v>
          </cell>
          <cell r="D19">
            <v>891756.25</v>
          </cell>
          <cell r="E19">
            <v>184657.24999999994</v>
          </cell>
        </row>
        <row r="20">
          <cell r="A20" t="str">
            <v>Eslovaquia</v>
          </cell>
          <cell r="B20">
            <v>331635.38000000006</v>
          </cell>
          <cell r="C20">
            <v>389</v>
          </cell>
          <cell r="D20">
            <v>162642.34000000003</v>
          </cell>
          <cell r="E20">
            <v>375.5</v>
          </cell>
        </row>
        <row r="21">
          <cell r="A21" t="str">
            <v>Polonia</v>
          </cell>
          <cell r="B21">
            <v>1392331.7000000002</v>
          </cell>
          <cell r="C21">
            <v>131397.96000000002</v>
          </cell>
          <cell r="D21">
            <v>1270273.5699999998</v>
          </cell>
          <cell r="E21">
            <v>146411.79</v>
          </cell>
        </row>
        <row r="22">
          <cell r="A22" t="str">
            <v>Hungría</v>
          </cell>
          <cell r="B22">
            <v>338321.25</v>
          </cell>
          <cell r="C22">
            <v>20847.900000000001</v>
          </cell>
          <cell r="D22">
            <v>217847.80000000002</v>
          </cell>
          <cell r="E22">
            <v>36788.5</v>
          </cell>
        </row>
        <row r="23">
          <cell r="A23" t="str">
            <v>Dinamarca</v>
          </cell>
          <cell r="B23">
            <v>205432.42</v>
          </cell>
          <cell r="C23">
            <v>3207.93</v>
          </cell>
          <cell r="D23">
            <v>102324.01000000001</v>
          </cell>
          <cell r="E23">
            <v>14631.260000000002</v>
          </cell>
        </row>
        <row r="24">
          <cell r="A24" t="str">
            <v>Eslovenia</v>
          </cell>
          <cell r="B24">
            <v>88088.540000000008</v>
          </cell>
          <cell r="C24">
            <v>884</v>
          </cell>
          <cell r="D24">
            <v>21047.949999999997</v>
          </cell>
          <cell r="E24">
            <v>0</v>
          </cell>
        </row>
        <row r="25">
          <cell r="A25" t="str">
            <v>Irlanda</v>
          </cell>
          <cell r="B25">
            <v>653205.15999999992</v>
          </cell>
          <cell r="C25">
            <v>468110.69999999995</v>
          </cell>
          <cell r="D25">
            <v>588805.71</v>
          </cell>
          <cell r="E25">
            <v>78136.63</v>
          </cell>
        </row>
        <row r="26">
          <cell r="A26" t="str">
            <v>Luxemburgo</v>
          </cell>
          <cell r="B26">
            <v>13500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Estonia</v>
          </cell>
          <cell r="B27">
            <v>4711.8999999999996</v>
          </cell>
          <cell r="C27">
            <v>2201.5</v>
          </cell>
          <cell r="D27">
            <v>1428</v>
          </cell>
          <cell r="E27">
            <v>0</v>
          </cell>
        </row>
        <row r="28">
          <cell r="A28" t="str">
            <v>Los demás</v>
          </cell>
          <cell r="B28">
            <v>164130057.85000017</v>
          </cell>
          <cell r="C28">
            <v>17187270.080000013</v>
          </cell>
          <cell r="D28">
            <v>123989089.02999939</v>
          </cell>
          <cell r="E28">
            <v>13133165.170000007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Estados Unidos</v>
          </cell>
          <cell r="B2">
            <v>595809153.68000102</v>
          </cell>
          <cell r="C2">
            <v>62743188.860000059</v>
          </cell>
          <cell r="D2">
            <v>641942238.83000183</v>
          </cell>
          <cell r="E2">
            <v>66676301.970000021</v>
          </cell>
        </row>
        <row r="3">
          <cell r="A3" t="str">
            <v>Ecuador</v>
          </cell>
          <cell r="B3">
            <v>286084503.97999978</v>
          </cell>
          <cell r="C3">
            <v>37747173.340000071</v>
          </cell>
          <cell r="D3">
            <v>308958503.94</v>
          </cell>
          <cell r="E3">
            <v>34065628.050000019</v>
          </cell>
        </row>
        <row r="4">
          <cell r="A4" t="str">
            <v>China</v>
          </cell>
          <cell r="B4">
            <v>35417788.80999998</v>
          </cell>
          <cell r="C4">
            <v>7342281.0600000024</v>
          </cell>
          <cell r="D4">
            <v>58181000.539999977</v>
          </cell>
          <cell r="E4">
            <v>6907060.0599999987</v>
          </cell>
        </row>
        <row r="5">
          <cell r="A5" t="str">
            <v>Bolivia</v>
          </cell>
          <cell r="B5">
            <v>12835377.929999994</v>
          </cell>
          <cell r="C5">
            <v>1979426.2799999998</v>
          </cell>
          <cell r="D5">
            <v>27624200.940000016</v>
          </cell>
          <cell r="E5">
            <v>1992421.5999999996</v>
          </cell>
        </row>
        <row r="6">
          <cell r="A6" t="str">
            <v>Bélgica</v>
          </cell>
          <cell r="B6">
            <v>9266176.7800000049</v>
          </cell>
          <cell r="C6">
            <v>1521179.5799999998</v>
          </cell>
          <cell r="D6">
            <v>22622802.75</v>
          </cell>
          <cell r="E6">
            <v>2702776.86</v>
          </cell>
        </row>
        <row r="7">
          <cell r="A7" t="str">
            <v>México</v>
          </cell>
          <cell r="B7">
            <v>91852578.950000003</v>
          </cell>
          <cell r="C7">
            <v>11588105.840000004</v>
          </cell>
          <cell r="D7">
            <v>104923363.79999979</v>
          </cell>
          <cell r="E7">
            <v>12308471.860000009</v>
          </cell>
        </row>
        <row r="8">
          <cell r="A8" t="str">
            <v>Alemania</v>
          </cell>
          <cell r="B8">
            <v>19053712.830000002</v>
          </cell>
          <cell r="C8">
            <v>2670983.81</v>
          </cell>
          <cell r="D8">
            <v>27564672.880000029</v>
          </cell>
          <cell r="E8">
            <v>3902048.3599999985</v>
          </cell>
        </row>
        <row r="9">
          <cell r="A9" t="str">
            <v>Argentina</v>
          </cell>
          <cell r="B9">
            <v>13253070.309999999</v>
          </cell>
          <cell r="C9">
            <v>1588300.3000000003</v>
          </cell>
          <cell r="D9">
            <v>21247755.309999999</v>
          </cell>
          <cell r="E9">
            <v>1932093.58</v>
          </cell>
        </row>
        <row r="10">
          <cell r="A10" t="str">
            <v>Chile</v>
          </cell>
          <cell r="B10">
            <v>53340316.210000038</v>
          </cell>
          <cell r="C10">
            <v>7582367.8799999971</v>
          </cell>
          <cell r="D10">
            <v>55309268.360000059</v>
          </cell>
          <cell r="E10">
            <v>7358515.3599999985</v>
          </cell>
        </row>
        <row r="11">
          <cell r="A11" t="str">
            <v>Reino Unido</v>
          </cell>
          <cell r="B11">
            <v>21704087.850000009</v>
          </cell>
          <cell r="C11">
            <v>2794863.3000000003</v>
          </cell>
          <cell r="D11">
            <v>23491954.739999946</v>
          </cell>
          <cell r="E11">
            <v>2772958.7400000016</v>
          </cell>
        </row>
        <row r="12">
          <cell r="A12" t="str">
            <v>Suecia</v>
          </cell>
          <cell r="B12">
            <v>4324465.21</v>
          </cell>
          <cell r="C12">
            <v>604960.06000000017</v>
          </cell>
          <cell r="D12">
            <v>4979749.9499999955</v>
          </cell>
          <cell r="E12">
            <v>275333.2</v>
          </cell>
        </row>
        <row r="13">
          <cell r="A13" t="str">
            <v>Paraguay</v>
          </cell>
          <cell r="B13">
            <v>2402343.9699999993</v>
          </cell>
          <cell r="C13">
            <v>355198.28</v>
          </cell>
          <cell r="D13">
            <v>2988946.1699999985</v>
          </cell>
          <cell r="E13">
            <v>797776.89999999979</v>
          </cell>
        </row>
        <row r="14">
          <cell r="A14" t="str">
            <v>Uruguay</v>
          </cell>
          <cell r="B14">
            <v>1623948.9600000004</v>
          </cell>
          <cell r="C14">
            <v>100545.78999999998</v>
          </cell>
          <cell r="D14">
            <v>2207298.2499999991</v>
          </cell>
          <cell r="E14">
            <v>183260.51</v>
          </cell>
        </row>
        <row r="15">
          <cell r="A15" t="str">
            <v>Rumania</v>
          </cell>
          <cell r="B15">
            <v>1037499.9700000001</v>
          </cell>
          <cell r="C15">
            <v>370681.28</v>
          </cell>
          <cell r="D15">
            <v>1544686.3099999998</v>
          </cell>
          <cell r="E15">
            <v>249489.96999999997</v>
          </cell>
        </row>
        <row r="16">
          <cell r="A16" t="str">
            <v>Finlandia</v>
          </cell>
          <cell r="B16">
            <v>1142170.4000000004</v>
          </cell>
          <cell r="C16">
            <v>384559.07999999996</v>
          </cell>
          <cell r="D16">
            <v>1414384.95</v>
          </cell>
          <cell r="E16">
            <v>378742.22000000009</v>
          </cell>
        </row>
        <row r="17">
          <cell r="A17" t="str">
            <v>Malta</v>
          </cell>
          <cell r="B17">
            <v>0</v>
          </cell>
          <cell r="C17">
            <v>0</v>
          </cell>
          <cell r="D17">
            <v>87096.39</v>
          </cell>
          <cell r="E17">
            <v>0</v>
          </cell>
        </row>
        <row r="18">
          <cell r="A18" t="str">
            <v>Austria</v>
          </cell>
          <cell r="B18">
            <v>509890.51</v>
          </cell>
          <cell r="C18">
            <v>65156.88</v>
          </cell>
          <cell r="D18">
            <v>578240.66000000027</v>
          </cell>
          <cell r="E18">
            <v>133780.4</v>
          </cell>
        </row>
        <row r="19">
          <cell r="A19" t="str">
            <v>Suiza</v>
          </cell>
          <cell r="B19">
            <v>1544322.5300000003</v>
          </cell>
          <cell r="C19">
            <v>106716.31</v>
          </cell>
          <cell r="D19">
            <v>1586816.2899999989</v>
          </cell>
          <cell r="E19">
            <v>124798.03000000001</v>
          </cell>
        </row>
        <row r="20">
          <cell r="A20" t="str">
            <v>Letonia</v>
          </cell>
          <cell r="B20">
            <v>67612.83</v>
          </cell>
          <cell r="C20">
            <v>0</v>
          </cell>
          <cell r="D20">
            <v>98246.48000000001</v>
          </cell>
          <cell r="E20">
            <v>0</v>
          </cell>
        </row>
        <row r="21">
          <cell r="A21" t="str">
            <v>Chipre</v>
          </cell>
          <cell r="B21">
            <v>2591.1999999999998</v>
          </cell>
          <cell r="C21">
            <v>0</v>
          </cell>
          <cell r="D21">
            <v>5085</v>
          </cell>
          <cell r="E21">
            <v>0</v>
          </cell>
        </row>
        <row r="22">
          <cell r="A22" t="str">
            <v>Los demás</v>
          </cell>
          <cell r="B22">
            <v>143435184.98000026</v>
          </cell>
          <cell r="C22">
            <v>16552078.100000003</v>
          </cell>
          <cell r="D22">
            <v>184227536.16999993</v>
          </cell>
          <cell r="E22">
            <v>22718849.609999955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ino"/>
    </sheetNames>
    <sheetDataSet>
      <sheetData sheetId="0" refreshError="1">
        <row r="7">
          <cell r="B7" t="str">
            <v>Bolivia</v>
          </cell>
        </row>
        <row r="8">
          <cell r="B8" t="str">
            <v>Ecuador</v>
          </cell>
        </row>
        <row r="9">
          <cell r="B9" t="str">
            <v xml:space="preserve">Perú 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ino"/>
    </sheetNames>
    <sheetDataSet>
      <sheetData sheetId="0">
        <row r="7">
          <cell r="C7">
            <v>12835378</v>
          </cell>
          <cell r="D7">
            <v>27624201</v>
          </cell>
          <cell r="E7">
            <v>1979426</v>
          </cell>
          <cell r="F7">
            <v>1992422</v>
          </cell>
        </row>
        <row r="8">
          <cell r="C8">
            <v>286084504</v>
          </cell>
          <cell r="D8">
            <v>308958504</v>
          </cell>
          <cell r="E8">
            <v>37747173</v>
          </cell>
          <cell r="F8">
            <v>34065628</v>
          </cell>
        </row>
        <row r="9">
          <cell r="C9">
            <v>122344084</v>
          </cell>
          <cell r="D9">
            <v>116473706</v>
          </cell>
          <cell r="E9">
            <v>12441539</v>
          </cell>
          <cell r="F9">
            <v>14011422</v>
          </cell>
        </row>
        <row r="23">
          <cell r="B23" t="str">
            <v>Argentina</v>
          </cell>
          <cell r="C23">
            <v>13253070</v>
          </cell>
          <cell r="D23">
            <v>21247755</v>
          </cell>
          <cell r="E23">
            <v>1588300</v>
          </cell>
          <cell r="F23">
            <v>1932094</v>
          </cell>
        </row>
        <row r="24">
          <cell r="B24" t="str">
            <v xml:space="preserve">Brasil </v>
          </cell>
          <cell r="C24">
            <v>61354701</v>
          </cell>
          <cell r="D24">
            <v>37951438</v>
          </cell>
          <cell r="E24">
            <v>5521877</v>
          </cell>
          <cell r="F24">
            <v>4545195</v>
          </cell>
        </row>
        <row r="25">
          <cell r="B25" t="str">
            <v xml:space="preserve">Cuba </v>
          </cell>
          <cell r="C25">
            <v>5091060</v>
          </cell>
          <cell r="D25">
            <v>4810492</v>
          </cell>
          <cell r="E25">
            <v>1006004</v>
          </cell>
          <cell r="F25">
            <v>302035</v>
          </cell>
        </row>
        <row r="26">
          <cell r="B26" t="str">
            <v xml:space="preserve">Chile </v>
          </cell>
          <cell r="C26">
            <v>53340316</v>
          </cell>
          <cell r="D26">
            <v>55309268</v>
          </cell>
          <cell r="E26">
            <v>7582368</v>
          </cell>
          <cell r="F26">
            <v>7358515</v>
          </cell>
        </row>
        <row r="27">
          <cell r="B27" t="str">
            <v xml:space="preserve">México </v>
          </cell>
          <cell r="C27">
            <v>91852579</v>
          </cell>
          <cell r="D27">
            <v>104923364</v>
          </cell>
          <cell r="E27">
            <v>11588106</v>
          </cell>
          <cell r="F27">
            <v>12308472</v>
          </cell>
        </row>
        <row r="28">
          <cell r="B28" t="str">
            <v xml:space="preserve">Paraguay </v>
          </cell>
          <cell r="C28">
            <v>2402344</v>
          </cell>
          <cell r="D28">
            <v>2988946</v>
          </cell>
          <cell r="E28">
            <v>355198</v>
          </cell>
          <cell r="F28">
            <v>797777</v>
          </cell>
        </row>
        <row r="29">
          <cell r="B29" t="str">
            <v xml:space="preserve">Uruguay </v>
          </cell>
          <cell r="C29">
            <v>1623949</v>
          </cell>
          <cell r="D29">
            <v>2207298</v>
          </cell>
          <cell r="E29">
            <v>100546</v>
          </cell>
          <cell r="F29">
            <v>183261</v>
          </cell>
        </row>
        <row r="30">
          <cell r="B30" t="str">
            <v>Venezuela</v>
          </cell>
          <cell r="C30">
            <v>296005899</v>
          </cell>
          <cell r="D30">
            <v>187864822</v>
          </cell>
          <cell r="E30">
            <v>46047829</v>
          </cell>
          <cell r="F30">
            <v>25669690</v>
          </cell>
        </row>
        <row r="44">
          <cell r="B44" t="str">
            <v xml:space="preserve">Canadá </v>
          </cell>
          <cell r="C44">
            <v>32115799</v>
          </cell>
          <cell r="D44">
            <v>22605540</v>
          </cell>
          <cell r="E44">
            <v>3951552</v>
          </cell>
          <cell r="F44">
            <v>3320151</v>
          </cell>
        </row>
        <row r="45">
          <cell r="B45" t="str">
            <v>Estados Unidos</v>
          </cell>
          <cell r="C45">
            <v>595809154</v>
          </cell>
          <cell r="D45">
            <v>641942239</v>
          </cell>
          <cell r="E45">
            <v>62743189</v>
          </cell>
          <cell r="F45">
            <v>66676302</v>
          </cell>
        </row>
        <row r="46">
          <cell r="B46" t="str">
            <v xml:space="preserve">Puerto Rico </v>
          </cell>
          <cell r="C46">
            <v>18204506</v>
          </cell>
          <cell r="D46">
            <v>16249872</v>
          </cell>
          <cell r="E46">
            <v>2208901</v>
          </cell>
          <cell r="F46">
            <v>1654932</v>
          </cell>
        </row>
        <row r="60">
          <cell r="B60" t="str">
            <v xml:space="preserve">Alemania </v>
          </cell>
          <cell r="C60">
            <v>19053713</v>
          </cell>
          <cell r="D60">
            <v>27564673</v>
          </cell>
          <cell r="E60">
            <v>2670984</v>
          </cell>
          <cell r="F60">
            <v>3902048</v>
          </cell>
        </row>
        <row r="61">
          <cell r="B61" t="str">
            <v xml:space="preserve">Bélgica </v>
          </cell>
          <cell r="C61">
            <v>9266177</v>
          </cell>
          <cell r="D61">
            <v>22622803</v>
          </cell>
          <cell r="E61">
            <v>1521180</v>
          </cell>
          <cell r="F61">
            <v>2702777</v>
          </cell>
        </row>
        <row r="62">
          <cell r="B62" t="str">
            <v xml:space="preserve">España </v>
          </cell>
          <cell r="C62">
            <v>26632090</v>
          </cell>
          <cell r="D62">
            <v>21712840</v>
          </cell>
          <cell r="E62">
            <v>3981075</v>
          </cell>
          <cell r="F62">
            <v>1986522</v>
          </cell>
        </row>
        <row r="63">
          <cell r="B63" t="str">
            <v xml:space="preserve">Francia </v>
          </cell>
          <cell r="C63">
            <v>26376071</v>
          </cell>
          <cell r="D63">
            <v>21881877</v>
          </cell>
          <cell r="E63">
            <v>2245256</v>
          </cell>
          <cell r="F63">
            <v>2532813</v>
          </cell>
        </row>
        <row r="64">
          <cell r="B64" t="str">
            <v xml:space="preserve">Grecia </v>
          </cell>
          <cell r="C64">
            <v>3497343</v>
          </cell>
          <cell r="D64">
            <v>1575155</v>
          </cell>
          <cell r="E64">
            <v>147278</v>
          </cell>
          <cell r="F64">
            <v>73384</v>
          </cell>
        </row>
        <row r="65">
          <cell r="B65" t="str">
            <v xml:space="preserve">Italia </v>
          </cell>
          <cell r="C65">
            <v>61599533</v>
          </cell>
          <cell r="D65">
            <v>14280885</v>
          </cell>
          <cell r="E65">
            <v>4996064</v>
          </cell>
          <cell r="F65">
            <v>955171</v>
          </cell>
        </row>
        <row r="66">
          <cell r="B66" t="str">
            <v xml:space="preserve">Países Bajos </v>
          </cell>
          <cell r="C66">
            <v>27570075</v>
          </cell>
          <cell r="D66">
            <v>27110561</v>
          </cell>
          <cell r="E66">
            <v>2801393</v>
          </cell>
          <cell r="F66">
            <v>2616251</v>
          </cell>
        </row>
        <row r="67">
          <cell r="B67" t="str">
            <v xml:space="preserve">Reino Unido </v>
          </cell>
          <cell r="C67">
            <v>21704088</v>
          </cell>
          <cell r="D67">
            <v>23491955</v>
          </cell>
          <cell r="E67">
            <v>2794863</v>
          </cell>
          <cell r="F67">
            <v>2772959</v>
          </cell>
        </row>
        <row r="68">
          <cell r="B68" t="str">
            <v xml:space="preserve">Rumania </v>
          </cell>
          <cell r="C68">
            <v>1037500</v>
          </cell>
          <cell r="D68">
            <v>1544686</v>
          </cell>
          <cell r="E68">
            <v>370681</v>
          </cell>
          <cell r="F68">
            <v>249490</v>
          </cell>
        </row>
        <row r="69">
          <cell r="B69" t="str">
            <v xml:space="preserve">Suecia </v>
          </cell>
          <cell r="C69">
            <v>4324465</v>
          </cell>
          <cell r="D69">
            <v>4979750</v>
          </cell>
          <cell r="E69">
            <v>604960</v>
          </cell>
          <cell r="F69">
            <v>275333</v>
          </cell>
        </row>
        <row r="70">
          <cell r="B70" t="str">
            <v xml:space="preserve">Resto </v>
          </cell>
          <cell r="C70">
            <v>8111501</v>
          </cell>
          <cell r="D70">
            <v>6662875</v>
          </cell>
          <cell r="E70">
            <v>1813117</v>
          </cell>
          <cell r="F70">
            <v>1203214</v>
          </cell>
        </row>
        <row r="84">
          <cell r="B84" t="str">
            <v>Suiza</v>
          </cell>
          <cell r="C84">
            <v>1544323</v>
          </cell>
          <cell r="D84">
            <v>1586816</v>
          </cell>
          <cell r="E84">
            <v>106716</v>
          </cell>
          <cell r="F84">
            <v>124798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_prim"/>
    </sheetNames>
    <sheetDataSet>
      <sheetData sheetId="0">
        <row r="7">
          <cell r="B7" t="str">
            <v>Bolivia</v>
          </cell>
          <cell r="C7">
            <v>487591</v>
          </cell>
          <cell r="D7">
            <v>455408</v>
          </cell>
          <cell r="E7">
            <v>178114</v>
          </cell>
          <cell r="F7">
            <v>27896</v>
          </cell>
        </row>
        <row r="8">
          <cell r="B8" t="str">
            <v>Ecuador</v>
          </cell>
          <cell r="C8">
            <v>4572332</v>
          </cell>
          <cell r="D8">
            <v>5627558</v>
          </cell>
          <cell r="E8">
            <v>585056</v>
          </cell>
          <cell r="F8">
            <v>449415</v>
          </cell>
        </row>
        <row r="9">
          <cell r="B9" t="str">
            <v xml:space="preserve">Perú </v>
          </cell>
          <cell r="C9">
            <v>13299700</v>
          </cell>
          <cell r="D9">
            <v>2069641</v>
          </cell>
          <cell r="E9">
            <v>149059</v>
          </cell>
          <cell r="F9">
            <v>148017</v>
          </cell>
        </row>
        <row r="23">
          <cell r="B23" t="str">
            <v>Argentina</v>
          </cell>
          <cell r="C23">
            <v>991540</v>
          </cell>
          <cell r="D23">
            <v>2270135</v>
          </cell>
          <cell r="E23">
            <v>111763</v>
          </cell>
          <cell r="F23">
            <v>344763</v>
          </cell>
        </row>
        <row r="24">
          <cell r="B24" t="str">
            <v xml:space="preserve">Brasil </v>
          </cell>
          <cell r="C24">
            <v>8344425</v>
          </cell>
          <cell r="D24">
            <v>2934252</v>
          </cell>
          <cell r="E24">
            <v>221781</v>
          </cell>
          <cell r="F24">
            <v>246817</v>
          </cell>
        </row>
        <row r="25">
          <cell r="B25" t="str">
            <v xml:space="preserve">Cuba </v>
          </cell>
          <cell r="C25">
            <v>218254</v>
          </cell>
          <cell r="D25">
            <v>127380</v>
          </cell>
          <cell r="E25">
            <v>14411</v>
          </cell>
          <cell r="F25">
            <v>0</v>
          </cell>
        </row>
        <row r="26">
          <cell r="B26" t="str">
            <v xml:space="preserve">Chile </v>
          </cell>
          <cell r="C26">
            <v>2817582</v>
          </cell>
          <cell r="D26">
            <v>5068499</v>
          </cell>
          <cell r="E26">
            <v>267321</v>
          </cell>
          <cell r="F26">
            <v>993482</v>
          </cell>
        </row>
        <row r="27">
          <cell r="B27" t="str">
            <v xml:space="preserve">México </v>
          </cell>
          <cell r="C27">
            <v>749424</v>
          </cell>
          <cell r="D27">
            <v>1452175</v>
          </cell>
          <cell r="E27">
            <v>153449</v>
          </cell>
          <cell r="F27">
            <v>288108</v>
          </cell>
        </row>
        <row r="28">
          <cell r="B28" t="str">
            <v xml:space="preserve">Uruguay </v>
          </cell>
          <cell r="C28">
            <v>97598</v>
          </cell>
          <cell r="D28">
            <v>140777</v>
          </cell>
          <cell r="E28">
            <v>5540</v>
          </cell>
          <cell r="F28">
            <v>4023</v>
          </cell>
        </row>
        <row r="29">
          <cell r="B29" t="str">
            <v>Venezuela</v>
          </cell>
          <cell r="C29">
            <v>569983</v>
          </cell>
          <cell r="D29">
            <v>887443</v>
          </cell>
          <cell r="E29">
            <v>188381</v>
          </cell>
          <cell r="F29">
            <v>86122</v>
          </cell>
        </row>
        <row r="43">
          <cell r="B43" t="str">
            <v xml:space="preserve">Canadá </v>
          </cell>
          <cell r="C43">
            <v>22073680</v>
          </cell>
          <cell r="D43">
            <v>16245704</v>
          </cell>
          <cell r="E43">
            <v>2816343</v>
          </cell>
          <cell r="F43">
            <v>2632936</v>
          </cell>
        </row>
        <row r="44">
          <cell r="B44" t="str">
            <v>Estados Unidos</v>
          </cell>
          <cell r="C44">
            <v>410084121</v>
          </cell>
          <cell r="D44">
            <v>437849729</v>
          </cell>
          <cell r="E44">
            <v>34266749</v>
          </cell>
          <cell r="F44">
            <v>41918247</v>
          </cell>
        </row>
        <row r="45">
          <cell r="B45" t="str">
            <v xml:space="preserve">Puerto Rico </v>
          </cell>
          <cell r="C45">
            <v>2169592</v>
          </cell>
          <cell r="D45">
            <v>2125141</v>
          </cell>
          <cell r="E45">
            <v>200950</v>
          </cell>
          <cell r="F45">
            <v>186645</v>
          </cell>
        </row>
        <row r="59">
          <cell r="B59" t="str">
            <v xml:space="preserve">Alemania </v>
          </cell>
          <cell r="C59">
            <v>10761237</v>
          </cell>
          <cell r="D59">
            <v>14889435</v>
          </cell>
          <cell r="E59">
            <v>1519073</v>
          </cell>
          <cell r="F59">
            <v>2779164</v>
          </cell>
        </row>
        <row r="60">
          <cell r="B60" t="str">
            <v xml:space="preserve">Bélgica </v>
          </cell>
          <cell r="C60">
            <v>7334270</v>
          </cell>
          <cell r="D60">
            <v>15236735</v>
          </cell>
          <cell r="E60">
            <v>869849</v>
          </cell>
          <cell r="F60">
            <v>1725230</v>
          </cell>
        </row>
        <row r="61">
          <cell r="B61" t="str">
            <v xml:space="preserve">España </v>
          </cell>
          <cell r="C61">
            <v>9780216</v>
          </cell>
          <cell r="D61">
            <v>8919128</v>
          </cell>
          <cell r="E61">
            <v>777738</v>
          </cell>
          <cell r="F61">
            <v>755308</v>
          </cell>
        </row>
        <row r="62">
          <cell r="B62" t="str">
            <v xml:space="preserve">Finlandia </v>
          </cell>
          <cell r="C62">
            <v>1046457</v>
          </cell>
          <cell r="D62">
            <v>1297488</v>
          </cell>
          <cell r="E62">
            <v>380909</v>
          </cell>
          <cell r="F62">
            <v>361513</v>
          </cell>
        </row>
        <row r="63">
          <cell r="B63" t="str">
            <v xml:space="preserve">Francia </v>
          </cell>
          <cell r="C63">
            <v>8341013</v>
          </cell>
          <cell r="D63">
            <v>7287398</v>
          </cell>
          <cell r="E63">
            <v>141506</v>
          </cell>
          <cell r="F63">
            <v>591319</v>
          </cell>
        </row>
        <row r="64">
          <cell r="B64" t="str">
            <v xml:space="preserve">Italia </v>
          </cell>
          <cell r="C64">
            <v>5095391</v>
          </cell>
          <cell r="D64">
            <v>7133263</v>
          </cell>
          <cell r="E64">
            <v>271052</v>
          </cell>
          <cell r="F64">
            <v>605227</v>
          </cell>
        </row>
        <row r="65">
          <cell r="B65" t="str">
            <v xml:space="preserve">Países Bajos </v>
          </cell>
          <cell r="C65">
            <v>15478640</v>
          </cell>
          <cell r="D65">
            <v>14069170</v>
          </cell>
          <cell r="E65">
            <v>1515582</v>
          </cell>
          <cell r="F65">
            <v>1267716</v>
          </cell>
        </row>
        <row r="66">
          <cell r="B66" t="str">
            <v xml:space="preserve">Reino Unido </v>
          </cell>
          <cell r="C66">
            <v>17514967</v>
          </cell>
          <cell r="D66">
            <v>18388691</v>
          </cell>
          <cell r="E66">
            <v>2038489</v>
          </cell>
          <cell r="F66">
            <v>1997011</v>
          </cell>
        </row>
        <row r="67">
          <cell r="B67" t="str">
            <v xml:space="preserve">Rumania </v>
          </cell>
          <cell r="C67">
            <v>997702</v>
          </cell>
          <cell r="D67">
            <v>1429408</v>
          </cell>
          <cell r="E67">
            <v>370681</v>
          </cell>
          <cell r="F67">
            <v>204964</v>
          </cell>
        </row>
        <row r="68">
          <cell r="B68" t="str">
            <v xml:space="preserve">Suecia </v>
          </cell>
          <cell r="C68">
            <v>2505201</v>
          </cell>
          <cell r="D68">
            <v>2249351</v>
          </cell>
          <cell r="E68">
            <v>163538</v>
          </cell>
          <cell r="F68">
            <v>249322</v>
          </cell>
        </row>
        <row r="69">
          <cell r="B69" t="str">
            <v xml:space="preserve">Resto </v>
          </cell>
          <cell r="C69">
            <v>3486962</v>
          </cell>
          <cell r="D69">
            <v>3900151</v>
          </cell>
          <cell r="E69">
            <v>456221</v>
          </cell>
          <cell r="F69">
            <v>497497</v>
          </cell>
        </row>
        <row r="83">
          <cell r="B83" t="str">
            <v>Suiza</v>
          </cell>
          <cell r="C83">
            <v>805405</v>
          </cell>
          <cell r="D83">
            <v>885377</v>
          </cell>
          <cell r="E83">
            <v>62618</v>
          </cell>
          <cell r="F83">
            <v>62973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manufacturas"/>
    </sheetNames>
    <sheetDataSet>
      <sheetData sheetId="0">
        <row r="7">
          <cell r="B7" t="str">
            <v>Bolivia</v>
          </cell>
          <cell r="C7">
            <v>11794664</v>
          </cell>
          <cell r="D7">
            <v>26660774</v>
          </cell>
          <cell r="E7">
            <v>1709111</v>
          </cell>
          <cell r="F7">
            <v>1935250</v>
          </cell>
        </row>
        <row r="8">
          <cell r="B8" t="str">
            <v>Ecuador</v>
          </cell>
          <cell r="C8">
            <v>275156482</v>
          </cell>
          <cell r="D8">
            <v>295742600</v>
          </cell>
          <cell r="E8">
            <v>36362121</v>
          </cell>
          <cell r="F8">
            <v>32987012</v>
          </cell>
        </row>
        <row r="9">
          <cell r="B9" t="str">
            <v xml:space="preserve">Perú </v>
          </cell>
          <cell r="C9">
            <v>105039780</v>
          </cell>
          <cell r="D9">
            <v>110724741</v>
          </cell>
          <cell r="E9">
            <v>11945476</v>
          </cell>
          <cell r="F9">
            <v>13430438</v>
          </cell>
        </row>
        <row r="23">
          <cell r="B23" t="str">
            <v>Argentina</v>
          </cell>
          <cell r="C23">
            <v>11039676</v>
          </cell>
          <cell r="D23">
            <v>18026060</v>
          </cell>
          <cell r="E23">
            <v>1345824</v>
          </cell>
          <cell r="F23">
            <v>1502406</v>
          </cell>
        </row>
        <row r="24">
          <cell r="B24" t="str">
            <v xml:space="preserve">Brasil </v>
          </cell>
          <cell r="C24">
            <v>51267682</v>
          </cell>
          <cell r="D24">
            <v>33331250</v>
          </cell>
          <cell r="E24">
            <v>5203746</v>
          </cell>
          <cell r="F24">
            <v>4257034</v>
          </cell>
        </row>
        <row r="25">
          <cell r="B25" t="str">
            <v xml:space="preserve">Cuba </v>
          </cell>
          <cell r="C25">
            <v>3749182</v>
          </cell>
          <cell r="D25">
            <v>4138604</v>
          </cell>
          <cell r="E25">
            <v>638791</v>
          </cell>
          <cell r="F25">
            <v>296798</v>
          </cell>
        </row>
        <row r="26">
          <cell r="B26" t="str">
            <v xml:space="preserve">Chile </v>
          </cell>
          <cell r="C26">
            <v>48973057</v>
          </cell>
          <cell r="D26">
            <v>48474892</v>
          </cell>
          <cell r="E26">
            <v>7101317</v>
          </cell>
          <cell r="F26">
            <v>6067827</v>
          </cell>
        </row>
        <row r="27">
          <cell r="B27" t="str">
            <v xml:space="preserve">México </v>
          </cell>
          <cell r="C27">
            <v>81615412</v>
          </cell>
          <cell r="D27">
            <v>94871264</v>
          </cell>
          <cell r="E27">
            <v>10564165</v>
          </cell>
          <cell r="F27">
            <v>11330348</v>
          </cell>
        </row>
        <row r="28">
          <cell r="B28" t="str">
            <v xml:space="preserve">Paraguay </v>
          </cell>
          <cell r="C28">
            <v>1917132</v>
          </cell>
          <cell r="D28">
            <v>2685717</v>
          </cell>
          <cell r="E28">
            <v>337024</v>
          </cell>
          <cell r="F28">
            <v>791643</v>
          </cell>
        </row>
        <row r="29">
          <cell r="B29" t="str">
            <v xml:space="preserve">Uruguay </v>
          </cell>
          <cell r="C29">
            <v>963063</v>
          </cell>
          <cell r="D29">
            <v>1407618</v>
          </cell>
          <cell r="E29">
            <v>71736</v>
          </cell>
          <cell r="F29">
            <v>161243</v>
          </cell>
        </row>
        <row r="30">
          <cell r="B30" t="str">
            <v>Venezuela</v>
          </cell>
          <cell r="C30">
            <v>277173556</v>
          </cell>
          <cell r="D30">
            <v>177602188</v>
          </cell>
          <cell r="E30">
            <v>41989194</v>
          </cell>
          <cell r="F30">
            <v>24775769</v>
          </cell>
        </row>
        <row r="44">
          <cell r="B44" t="str">
            <v xml:space="preserve">Canadá </v>
          </cell>
          <cell r="C44">
            <v>9951921</v>
          </cell>
          <cell r="D44">
            <v>6253194</v>
          </cell>
          <cell r="E44">
            <v>1111073</v>
          </cell>
          <cell r="F44">
            <v>670933</v>
          </cell>
        </row>
        <row r="45">
          <cell r="B45" t="str">
            <v>Estados Unidos</v>
          </cell>
          <cell r="C45">
            <v>174028855</v>
          </cell>
          <cell r="D45">
            <v>198262997</v>
          </cell>
          <cell r="E45">
            <v>26734222</v>
          </cell>
          <cell r="F45">
            <v>23842180</v>
          </cell>
        </row>
        <row r="46">
          <cell r="B46" t="str">
            <v xml:space="preserve">Puerto Rico </v>
          </cell>
          <cell r="C46">
            <v>12293939</v>
          </cell>
          <cell r="D46">
            <v>10183333</v>
          </cell>
          <cell r="E46">
            <v>1604933</v>
          </cell>
          <cell r="F46">
            <v>750483</v>
          </cell>
        </row>
        <row r="60">
          <cell r="B60" t="str">
            <v xml:space="preserve">Alemania </v>
          </cell>
          <cell r="C60">
            <v>8180022</v>
          </cell>
          <cell r="D60">
            <v>12574991</v>
          </cell>
          <cell r="E60">
            <v>1118611</v>
          </cell>
          <cell r="F60">
            <v>1101731</v>
          </cell>
        </row>
        <row r="61">
          <cell r="B61" t="str">
            <v xml:space="preserve">Bélgica </v>
          </cell>
          <cell r="C61">
            <v>1881495</v>
          </cell>
          <cell r="D61">
            <v>7364669</v>
          </cell>
          <cell r="E61">
            <v>631331</v>
          </cell>
          <cell r="F61">
            <v>973447</v>
          </cell>
        </row>
        <row r="62">
          <cell r="B62" t="str">
            <v xml:space="preserve">España </v>
          </cell>
          <cell r="C62">
            <v>16496681</v>
          </cell>
          <cell r="D62">
            <v>12061766</v>
          </cell>
          <cell r="E62">
            <v>3125076</v>
          </cell>
          <cell r="F62">
            <v>1000486</v>
          </cell>
        </row>
        <row r="63">
          <cell r="B63" t="str">
            <v xml:space="preserve">Francia </v>
          </cell>
          <cell r="C63">
            <v>17861421</v>
          </cell>
          <cell r="D63">
            <v>14473332</v>
          </cell>
          <cell r="E63">
            <v>2089750</v>
          </cell>
          <cell r="F63">
            <v>1926373</v>
          </cell>
        </row>
        <row r="64">
          <cell r="B64" t="str">
            <v xml:space="preserve">Grecia </v>
          </cell>
          <cell r="C64">
            <v>3398963</v>
          </cell>
          <cell r="D64">
            <v>736544</v>
          </cell>
          <cell r="E64">
            <v>147278</v>
          </cell>
          <cell r="F64">
            <v>5608</v>
          </cell>
        </row>
        <row r="65">
          <cell r="B65" t="str">
            <v xml:space="preserve">Italia </v>
          </cell>
          <cell r="C65">
            <v>55716808</v>
          </cell>
          <cell r="D65">
            <v>6309610</v>
          </cell>
          <cell r="E65">
            <v>4724862</v>
          </cell>
          <cell r="F65">
            <v>349944</v>
          </cell>
        </row>
        <row r="66">
          <cell r="B66" t="str">
            <v xml:space="preserve">Países Bajos </v>
          </cell>
          <cell r="C66">
            <v>12020461</v>
          </cell>
          <cell r="D66">
            <v>13018530</v>
          </cell>
          <cell r="E66">
            <v>1225811</v>
          </cell>
          <cell r="F66">
            <v>1348526</v>
          </cell>
        </row>
        <row r="67">
          <cell r="B67" t="str">
            <v xml:space="preserve">Portugal </v>
          </cell>
          <cell r="C67">
            <v>801679</v>
          </cell>
          <cell r="D67">
            <v>697840</v>
          </cell>
          <cell r="E67">
            <v>104415</v>
          </cell>
          <cell r="F67">
            <v>94720</v>
          </cell>
        </row>
        <row r="68">
          <cell r="B68" t="str">
            <v xml:space="preserve">Reino Unido </v>
          </cell>
          <cell r="C68">
            <v>4061180</v>
          </cell>
          <cell r="D68">
            <v>4881035</v>
          </cell>
          <cell r="E68">
            <v>727139</v>
          </cell>
          <cell r="F68">
            <v>775913</v>
          </cell>
        </row>
        <row r="69">
          <cell r="B69" t="str">
            <v xml:space="preserve">Suecia </v>
          </cell>
          <cell r="C69">
            <v>1814260</v>
          </cell>
          <cell r="D69">
            <v>2711655</v>
          </cell>
          <cell r="E69">
            <v>436422</v>
          </cell>
          <cell r="F69">
            <v>26011</v>
          </cell>
        </row>
        <row r="70">
          <cell r="B70" t="str">
            <v xml:space="preserve">Resto </v>
          </cell>
          <cell r="C70">
            <v>2768875</v>
          </cell>
          <cell r="D70">
            <v>1626387</v>
          </cell>
          <cell r="E70">
            <v>862572</v>
          </cell>
          <cell r="F70">
            <v>320007</v>
          </cell>
        </row>
        <row r="84">
          <cell r="B84" t="str">
            <v>Suiza</v>
          </cell>
          <cell r="C84">
            <v>543443</v>
          </cell>
          <cell r="D84">
            <v>527917</v>
          </cell>
          <cell r="E84">
            <v>29098</v>
          </cell>
          <cell r="F84">
            <v>45575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rec_naturales"/>
    </sheetNames>
    <sheetDataSet>
      <sheetData sheetId="0">
        <row r="7">
          <cell r="B7" t="str">
            <v>Bolivia</v>
          </cell>
          <cell r="C7">
            <v>1777393</v>
          </cell>
          <cell r="D7">
            <v>2809812</v>
          </cell>
          <cell r="E7">
            <v>401713</v>
          </cell>
          <cell r="F7">
            <v>412675</v>
          </cell>
        </row>
        <row r="8">
          <cell r="B8" t="str">
            <v>Ecuador</v>
          </cell>
          <cell r="C8">
            <v>31562625</v>
          </cell>
          <cell r="D8">
            <v>45179863</v>
          </cell>
          <cell r="E8">
            <v>4732972</v>
          </cell>
          <cell r="F8">
            <v>6002789</v>
          </cell>
        </row>
        <row r="9">
          <cell r="B9" t="str">
            <v xml:space="preserve">Perú </v>
          </cell>
          <cell r="C9">
            <v>19123806</v>
          </cell>
          <cell r="D9">
            <v>18420628</v>
          </cell>
          <cell r="E9">
            <v>2326593</v>
          </cell>
          <cell r="F9">
            <v>3373150</v>
          </cell>
        </row>
        <row r="23">
          <cell r="B23" t="str">
            <v>Argentina</v>
          </cell>
          <cell r="C23">
            <v>586032</v>
          </cell>
          <cell r="D23">
            <v>1444851</v>
          </cell>
          <cell r="E23">
            <v>85492</v>
          </cell>
          <cell r="F23">
            <v>97203</v>
          </cell>
        </row>
        <row r="24">
          <cell r="B24" t="str">
            <v xml:space="preserve">Brasil </v>
          </cell>
          <cell r="C24">
            <v>27336074</v>
          </cell>
          <cell r="D24">
            <v>6839257</v>
          </cell>
          <cell r="E24">
            <v>2739144</v>
          </cell>
          <cell r="F24">
            <v>691396</v>
          </cell>
        </row>
        <row r="25">
          <cell r="B25" t="str">
            <v xml:space="preserve">Cuba </v>
          </cell>
          <cell r="C25">
            <v>499065</v>
          </cell>
          <cell r="D25">
            <v>467176</v>
          </cell>
          <cell r="E25">
            <v>13529</v>
          </cell>
          <cell r="F25">
            <v>8752</v>
          </cell>
        </row>
        <row r="26">
          <cell r="B26" t="str">
            <v xml:space="preserve">Chile </v>
          </cell>
          <cell r="C26">
            <v>15775117</v>
          </cell>
          <cell r="D26">
            <v>12891376</v>
          </cell>
          <cell r="E26">
            <v>2763342</v>
          </cell>
          <cell r="F26">
            <v>1766298</v>
          </cell>
        </row>
        <row r="27">
          <cell r="B27" t="str">
            <v xml:space="preserve">México </v>
          </cell>
          <cell r="C27">
            <v>9160235</v>
          </cell>
          <cell r="D27">
            <v>10466298</v>
          </cell>
          <cell r="E27">
            <v>1264080</v>
          </cell>
          <cell r="F27">
            <v>602041</v>
          </cell>
        </row>
        <row r="28">
          <cell r="B28" t="str">
            <v xml:space="preserve">Paraguay </v>
          </cell>
          <cell r="C28">
            <v>5455</v>
          </cell>
          <cell r="D28">
            <v>77959</v>
          </cell>
          <cell r="E28">
            <v>0</v>
          </cell>
          <cell r="F28">
            <v>50250</v>
          </cell>
        </row>
        <row r="29">
          <cell r="B29" t="str">
            <v xml:space="preserve">Uruguay </v>
          </cell>
          <cell r="C29">
            <v>57099</v>
          </cell>
          <cell r="D29">
            <v>71131</v>
          </cell>
          <cell r="E29">
            <v>13518</v>
          </cell>
          <cell r="F29">
            <v>378</v>
          </cell>
        </row>
        <row r="30">
          <cell r="B30" t="str">
            <v>Venezuela</v>
          </cell>
          <cell r="C30">
            <v>45308382</v>
          </cell>
          <cell r="D30">
            <v>32079982</v>
          </cell>
          <cell r="E30">
            <v>6048889</v>
          </cell>
          <cell r="F30">
            <v>4460911</v>
          </cell>
        </row>
        <row r="44">
          <cell r="B44" t="str">
            <v xml:space="preserve">Canadá </v>
          </cell>
          <cell r="C44">
            <v>5832540</v>
          </cell>
          <cell r="D44">
            <v>1872129</v>
          </cell>
          <cell r="E44">
            <v>640480</v>
          </cell>
          <cell r="F44">
            <v>298229</v>
          </cell>
        </row>
        <row r="45">
          <cell r="B45" t="str">
            <v>Estados Unidos</v>
          </cell>
          <cell r="C45">
            <v>30219700</v>
          </cell>
          <cell r="D45">
            <v>35811255</v>
          </cell>
          <cell r="E45">
            <v>4289967</v>
          </cell>
          <cell r="F45">
            <v>4687155</v>
          </cell>
        </row>
        <row r="46">
          <cell r="B46" t="str">
            <v xml:space="preserve">Puerto Rico </v>
          </cell>
          <cell r="C46">
            <v>7186769</v>
          </cell>
          <cell r="D46">
            <v>5795772</v>
          </cell>
          <cell r="E46">
            <v>1081928</v>
          </cell>
          <cell r="F46">
            <v>416468</v>
          </cell>
        </row>
        <row r="60">
          <cell r="B60" t="str">
            <v xml:space="preserve">Alemania </v>
          </cell>
          <cell r="C60">
            <v>2069588</v>
          </cell>
          <cell r="D60">
            <v>1775873</v>
          </cell>
          <cell r="E60">
            <v>157283</v>
          </cell>
          <cell r="F60">
            <v>369582</v>
          </cell>
        </row>
        <row r="61">
          <cell r="B61" t="str">
            <v xml:space="preserve">Bélgica </v>
          </cell>
          <cell r="C61">
            <v>985073</v>
          </cell>
          <cell r="D61">
            <v>6816742</v>
          </cell>
          <cell r="E61">
            <v>578430</v>
          </cell>
          <cell r="F61">
            <v>890635</v>
          </cell>
        </row>
        <row r="62">
          <cell r="B62" t="str">
            <v xml:space="preserve">España </v>
          </cell>
          <cell r="C62">
            <v>8879063</v>
          </cell>
          <cell r="D62">
            <v>5937838</v>
          </cell>
          <cell r="E62">
            <v>2052853</v>
          </cell>
          <cell r="F62">
            <v>550194</v>
          </cell>
        </row>
        <row r="63">
          <cell r="B63" t="str">
            <v xml:space="preserve">Francia </v>
          </cell>
          <cell r="C63">
            <v>15415221</v>
          </cell>
          <cell r="D63">
            <v>11225133</v>
          </cell>
          <cell r="E63">
            <v>1653924</v>
          </cell>
          <cell r="F63">
            <v>1328042</v>
          </cell>
        </row>
        <row r="64">
          <cell r="B64" t="str">
            <v xml:space="preserve">Grecia </v>
          </cell>
          <cell r="C64">
            <v>3335333</v>
          </cell>
          <cell r="D64">
            <v>726904</v>
          </cell>
          <cell r="E64">
            <v>147278</v>
          </cell>
          <cell r="F64">
            <v>0</v>
          </cell>
        </row>
        <row r="65">
          <cell r="B65" t="str">
            <v xml:space="preserve">Italia </v>
          </cell>
          <cell r="C65">
            <v>508141</v>
          </cell>
          <cell r="D65">
            <v>622399</v>
          </cell>
          <cell r="E65">
            <v>109371</v>
          </cell>
          <cell r="F65">
            <v>104191</v>
          </cell>
        </row>
        <row r="66">
          <cell r="B66" t="str">
            <v xml:space="preserve">Países Bajos </v>
          </cell>
          <cell r="C66">
            <v>2141784</v>
          </cell>
          <cell r="D66">
            <v>2795817</v>
          </cell>
          <cell r="E66">
            <v>481669</v>
          </cell>
          <cell r="F66">
            <v>342726</v>
          </cell>
        </row>
        <row r="67">
          <cell r="B67" t="str">
            <v xml:space="preserve">Portugal </v>
          </cell>
          <cell r="C67">
            <v>495365</v>
          </cell>
          <cell r="D67">
            <v>542089</v>
          </cell>
          <cell r="E67">
            <v>104415</v>
          </cell>
          <cell r="F67">
            <v>94720</v>
          </cell>
        </row>
        <row r="68">
          <cell r="B68" t="str">
            <v xml:space="preserve">Reino Unido </v>
          </cell>
          <cell r="C68">
            <v>804210</v>
          </cell>
          <cell r="D68">
            <v>808157</v>
          </cell>
          <cell r="E68">
            <v>145806</v>
          </cell>
          <cell r="F68">
            <v>152411</v>
          </cell>
        </row>
        <row r="69">
          <cell r="B69" t="str">
            <v xml:space="preserve">Suecia </v>
          </cell>
          <cell r="C69">
            <v>52719</v>
          </cell>
          <cell r="D69">
            <v>108138</v>
          </cell>
          <cell r="E69">
            <v>405</v>
          </cell>
          <cell r="F69">
            <v>0</v>
          </cell>
        </row>
        <row r="70">
          <cell r="B70" t="str">
            <v xml:space="preserve">Resto </v>
          </cell>
          <cell r="C70">
            <v>424793</v>
          </cell>
          <cell r="D70">
            <v>33618</v>
          </cell>
          <cell r="E70">
            <v>162619</v>
          </cell>
          <cell r="F70">
            <v>153</v>
          </cell>
        </row>
        <row r="84">
          <cell r="B84" t="str">
            <v>Suiza</v>
          </cell>
          <cell r="C84">
            <v>22644</v>
          </cell>
          <cell r="D84">
            <v>88262</v>
          </cell>
          <cell r="E84">
            <v>1199</v>
          </cell>
          <cell r="F84">
            <v>0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baja_tek"/>
    </sheetNames>
    <sheetDataSet>
      <sheetData sheetId="0">
        <row r="7">
          <cell r="B7" t="str">
            <v>Bolivia</v>
          </cell>
          <cell r="C7">
            <v>4309071</v>
          </cell>
          <cell r="D7">
            <v>4705984</v>
          </cell>
          <cell r="E7">
            <v>612079</v>
          </cell>
          <cell r="F7">
            <v>618831</v>
          </cell>
        </row>
        <row r="8">
          <cell r="B8" t="str">
            <v>Ecuador</v>
          </cell>
          <cell r="C8">
            <v>79155192</v>
          </cell>
          <cell r="D8">
            <v>85400833</v>
          </cell>
          <cell r="E8">
            <v>11130623</v>
          </cell>
          <cell r="F8">
            <v>8450409</v>
          </cell>
        </row>
        <row r="9">
          <cell r="B9" t="str">
            <v xml:space="preserve">Perú </v>
          </cell>
          <cell r="C9">
            <v>31553268</v>
          </cell>
          <cell r="D9">
            <v>33332090</v>
          </cell>
          <cell r="E9">
            <v>3582703</v>
          </cell>
          <cell r="F9">
            <v>3908099</v>
          </cell>
        </row>
        <row r="23">
          <cell r="B23" t="str">
            <v>Argentina</v>
          </cell>
          <cell r="C23">
            <v>3511965</v>
          </cell>
          <cell r="D23">
            <v>5091368</v>
          </cell>
          <cell r="E23">
            <v>624609</v>
          </cell>
          <cell r="F23">
            <v>517777</v>
          </cell>
        </row>
        <row r="24">
          <cell r="B24" t="str">
            <v xml:space="preserve">Brasil </v>
          </cell>
          <cell r="C24">
            <v>10383953</v>
          </cell>
          <cell r="D24">
            <v>10483291</v>
          </cell>
          <cell r="E24">
            <v>1261144</v>
          </cell>
          <cell r="F24">
            <v>1184912</v>
          </cell>
        </row>
        <row r="25">
          <cell r="B25" t="str">
            <v xml:space="preserve">Cuba </v>
          </cell>
          <cell r="C25">
            <v>1972031</v>
          </cell>
          <cell r="D25">
            <v>2505729</v>
          </cell>
          <cell r="E25">
            <v>388152</v>
          </cell>
          <cell r="F25">
            <v>259838</v>
          </cell>
        </row>
        <row r="26">
          <cell r="B26" t="str">
            <v xml:space="preserve">Chile </v>
          </cell>
          <cell r="C26">
            <v>12243954</v>
          </cell>
          <cell r="D26">
            <v>13757158</v>
          </cell>
          <cell r="E26">
            <v>1627439</v>
          </cell>
          <cell r="F26">
            <v>1548019</v>
          </cell>
        </row>
        <row r="27">
          <cell r="B27" t="str">
            <v xml:space="preserve">México </v>
          </cell>
          <cell r="C27">
            <v>29388007</v>
          </cell>
          <cell r="D27">
            <v>33373065</v>
          </cell>
          <cell r="E27">
            <v>3510102</v>
          </cell>
          <cell r="F27">
            <v>4410310</v>
          </cell>
        </row>
        <row r="28">
          <cell r="B28" t="str">
            <v xml:space="preserve">Paraguay </v>
          </cell>
          <cell r="C28">
            <v>645895</v>
          </cell>
          <cell r="D28">
            <v>1252138</v>
          </cell>
          <cell r="E28">
            <v>31110</v>
          </cell>
          <cell r="F28">
            <v>442525</v>
          </cell>
        </row>
        <row r="29">
          <cell r="B29" t="str">
            <v xml:space="preserve">Uruguay </v>
          </cell>
          <cell r="C29">
            <v>112867</v>
          </cell>
          <cell r="D29">
            <v>211826</v>
          </cell>
          <cell r="E29">
            <v>0</v>
          </cell>
          <cell r="F29">
            <v>25827</v>
          </cell>
        </row>
        <row r="30">
          <cell r="B30" t="str">
            <v>Venezuela</v>
          </cell>
          <cell r="C30">
            <v>117355000</v>
          </cell>
          <cell r="D30">
            <v>67044393</v>
          </cell>
          <cell r="E30">
            <v>16066381</v>
          </cell>
          <cell r="F30">
            <v>8961300</v>
          </cell>
        </row>
        <row r="44">
          <cell r="B44" t="str">
            <v xml:space="preserve">Canadá </v>
          </cell>
          <cell r="C44">
            <v>1296133</v>
          </cell>
          <cell r="D44">
            <v>1441531</v>
          </cell>
          <cell r="E44">
            <v>76625</v>
          </cell>
          <cell r="F44">
            <v>213574</v>
          </cell>
        </row>
        <row r="45">
          <cell r="B45" t="str">
            <v>Estados Unidos</v>
          </cell>
          <cell r="C45">
            <v>71974513</v>
          </cell>
          <cell r="D45">
            <v>68865295</v>
          </cell>
          <cell r="E45">
            <v>10574193</v>
          </cell>
          <cell r="F45">
            <v>8017038</v>
          </cell>
        </row>
        <row r="46">
          <cell r="B46" t="str">
            <v xml:space="preserve">Puerto Rico </v>
          </cell>
          <cell r="C46">
            <v>3995452</v>
          </cell>
          <cell r="D46">
            <v>3968659</v>
          </cell>
          <cell r="E46">
            <v>487837</v>
          </cell>
          <cell r="F46">
            <v>319814</v>
          </cell>
        </row>
        <row r="60">
          <cell r="B60" t="str">
            <v xml:space="preserve">Alemania </v>
          </cell>
          <cell r="C60">
            <v>1729617</v>
          </cell>
          <cell r="D60">
            <v>2205681</v>
          </cell>
          <cell r="E60">
            <v>456569</v>
          </cell>
          <cell r="F60">
            <v>126256</v>
          </cell>
        </row>
        <row r="61">
          <cell r="B61" t="str">
            <v xml:space="preserve">Austria </v>
          </cell>
          <cell r="C61">
            <v>72221</v>
          </cell>
          <cell r="D61">
            <v>266472</v>
          </cell>
          <cell r="E61">
            <v>10996</v>
          </cell>
          <cell r="F61">
            <v>128726</v>
          </cell>
        </row>
        <row r="62">
          <cell r="B62" t="str">
            <v xml:space="preserve">Bélgica </v>
          </cell>
          <cell r="C62">
            <v>507148</v>
          </cell>
          <cell r="D62">
            <v>129485</v>
          </cell>
          <cell r="E62">
            <v>14864</v>
          </cell>
          <cell r="F62">
            <v>1159</v>
          </cell>
        </row>
        <row r="63">
          <cell r="B63" t="str">
            <v xml:space="preserve">España </v>
          </cell>
          <cell r="C63">
            <v>2251665</v>
          </cell>
          <cell r="D63">
            <v>1465535</v>
          </cell>
          <cell r="E63">
            <v>224194</v>
          </cell>
          <cell r="F63">
            <v>74542</v>
          </cell>
        </row>
        <row r="64">
          <cell r="B64" t="str">
            <v xml:space="preserve">Francia </v>
          </cell>
          <cell r="C64">
            <v>1114110</v>
          </cell>
          <cell r="D64">
            <v>663045</v>
          </cell>
          <cell r="E64">
            <v>212639</v>
          </cell>
          <cell r="F64">
            <v>43</v>
          </cell>
        </row>
        <row r="65">
          <cell r="B65" t="str">
            <v xml:space="preserve">Italia </v>
          </cell>
          <cell r="C65">
            <v>6978524</v>
          </cell>
          <cell r="D65">
            <v>4797916</v>
          </cell>
          <cell r="E65">
            <v>1351005</v>
          </cell>
          <cell r="F65">
            <v>112912</v>
          </cell>
        </row>
        <row r="66">
          <cell r="B66" t="str">
            <v xml:space="preserve">Países Bajos </v>
          </cell>
          <cell r="C66">
            <v>1399405</v>
          </cell>
          <cell r="D66">
            <v>1433725</v>
          </cell>
          <cell r="E66">
            <v>105319</v>
          </cell>
          <cell r="F66">
            <v>45329</v>
          </cell>
        </row>
        <row r="67">
          <cell r="B67" t="str">
            <v xml:space="preserve">Portugal </v>
          </cell>
          <cell r="C67">
            <v>246026</v>
          </cell>
          <cell r="D67">
            <v>132953</v>
          </cell>
          <cell r="E67">
            <v>0</v>
          </cell>
          <cell r="F67">
            <v>0</v>
          </cell>
        </row>
        <row r="68">
          <cell r="B68" t="str">
            <v xml:space="preserve">Reino Unido </v>
          </cell>
          <cell r="C68">
            <v>2390100</v>
          </cell>
          <cell r="D68">
            <v>3650553</v>
          </cell>
          <cell r="E68">
            <v>494192</v>
          </cell>
          <cell r="F68">
            <v>551624</v>
          </cell>
        </row>
        <row r="69">
          <cell r="B69" t="str">
            <v xml:space="preserve">Suecia </v>
          </cell>
          <cell r="C69">
            <v>1203658</v>
          </cell>
          <cell r="D69">
            <v>1887971</v>
          </cell>
          <cell r="E69">
            <v>102739</v>
          </cell>
          <cell r="F69">
            <v>22011</v>
          </cell>
        </row>
        <row r="70">
          <cell r="B70" t="str">
            <v xml:space="preserve">Resto </v>
          </cell>
          <cell r="C70">
            <v>752513</v>
          </cell>
          <cell r="D70">
            <v>332046</v>
          </cell>
          <cell r="E70">
            <v>192630</v>
          </cell>
          <cell r="F70">
            <v>89998</v>
          </cell>
        </row>
        <row r="84">
          <cell r="B84" t="str">
            <v>Suiza</v>
          </cell>
          <cell r="C84">
            <v>261087</v>
          </cell>
          <cell r="D84">
            <v>70141</v>
          </cell>
          <cell r="E84">
            <v>10019</v>
          </cell>
          <cell r="F84">
            <v>6018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media_tek"/>
    </sheetNames>
    <sheetDataSet>
      <sheetData sheetId="0">
        <row r="7">
          <cell r="B7" t="str">
            <v>Bolivia</v>
          </cell>
          <cell r="C7">
            <v>3299540</v>
          </cell>
          <cell r="D7">
            <v>13934753</v>
          </cell>
          <cell r="E7">
            <v>326351</v>
          </cell>
          <cell r="F7">
            <v>460272</v>
          </cell>
        </row>
        <row r="8">
          <cell r="B8" t="str">
            <v>Ecuador</v>
          </cell>
          <cell r="C8">
            <v>126464109</v>
          </cell>
          <cell r="D8">
            <v>129038006</v>
          </cell>
          <cell r="E8">
            <v>15803491</v>
          </cell>
          <cell r="F8">
            <v>14645068</v>
          </cell>
        </row>
        <row r="9">
          <cell r="B9" t="str">
            <v xml:space="preserve">Perú </v>
          </cell>
          <cell r="C9">
            <v>41148676</v>
          </cell>
          <cell r="D9">
            <v>42332192</v>
          </cell>
          <cell r="E9">
            <v>4319267</v>
          </cell>
          <cell r="F9">
            <v>4172985</v>
          </cell>
        </row>
        <row r="23">
          <cell r="B23" t="str">
            <v>Argentina</v>
          </cell>
          <cell r="C23">
            <v>4530927</v>
          </cell>
          <cell r="D23">
            <v>10257807</v>
          </cell>
          <cell r="E23">
            <v>374199</v>
          </cell>
          <cell r="F23">
            <v>813861</v>
          </cell>
        </row>
        <row r="24">
          <cell r="B24" t="str">
            <v xml:space="preserve">Brasil </v>
          </cell>
          <cell r="C24">
            <v>10310227</v>
          </cell>
          <cell r="D24">
            <v>12851181</v>
          </cell>
          <cell r="E24">
            <v>731511</v>
          </cell>
          <cell r="F24">
            <v>1796777</v>
          </cell>
        </row>
        <row r="25">
          <cell r="B25" t="str">
            <v xml:space="preserve">Cuba </v>
          </cell>
          <cell r="C25">
            <v>480481</v>
          </cell>
          <cell r="D25">
            <v>525222</v>
          </cell>
          <cell r="E25">
            <v>8015</v>
          </cell>
          <cell r="F25">
            <v>28207</v>
          </cell>
        </row>
        <row r="26">
          <cell r="B26" t="str">
            <v xml:space="preserve">Chile </v>
          </cell>
          <cell r="C26">
            <v>12362213</v>
          </cell>
          <cell r="D26">
            <v>12104846</v>
          </cell>
          <cell r="E26">
            <v>1843895</v>
          </cell>
          <cell r="F26">
            <v>1485178</v>
          </cell>
        </row>
        <row r="27">
          <cell r="B27" t="str">
            <v xml:space="preserve">México </v>
          </cell>
          <cell r="C27">
            <v>28973299</v>
          </cell>
          <cell r="D27">
            <v>34197647</v>
          </cell>
          <cell r="E27">
            <v>3370968</v>
          </cell>
          <cell r="F27">
            <v>4207263</v>
          </cell>
        </row>
        <row r="28">
          <cell r="B28" t="str">
            <v xml:space="preserve">Paraguay </v>
          </cell>
          <cell r="C28">
            <v>830812</v>
          </cell>
          <cell r="D28">
            <v>954665</v>
          </cell>
          <cell r="E28">
            <v>194053</v>
          </cell>
          <cell r="F28">
            <v>270003</v>
          </cell>
        </row>
        <row r="29">
          <cell r="B29" t="str">
            <v xml:space="preserve">Uruguay </v>
          </cell>
          <cell r="C29">
            <v>484782</v>
          </cell>
          <cell r="D29">
            <v>673429</v>
          </cell>
          <cell r="E29">
            <v>56778</v>
          </cell>
          <cell r="F29">
            <v>127823</v>
          </cell>
        </row>
        <row r="30">
          <cell r="B30" t="str">
            <v>Venezuela</v>
          </cell>
          <cell r="C30">
            <v>80759803</v>
          </cell>
          <cell r="D30">
            <v>48624803</v>
          </cell>
          <cell r="E30">
            <v>12144603</v>
          </cell>
          <cell r="F30">
            <v>7070542</v>
          </cell>
        </row>
        <row r="44">
          <cell r="B44" t="str">
            <v xml:space="preserve">Canadá </v>
          </cell>
          <cell r="C44">
            <v>2316833</v>
          </cell>
          <cell r="D44">
            <v>2168461</v>
          </cell>
          <cell r="E44">
            <v>164897</v>
          </cell>
          <cell r="F44">
            <v>159130</v>
          </cell>
        </row>
        <row r="45">
          <cell r="B45" t="str">
            <v>Estados Unidos</v>
          </cell>
          <cell r="C45">
            <v>40363523</v>
          </cell>
          <cell r="D45">
            <v>47982751</v>
          </cell>
          <cell r="E45">
            <v>8218672</v>
          </cell>
          <cell r="F45">
            <v>5368564</v>
          </cell>
        </row>
        <row r="46">
          <cell r="B46" t="str">
            <v xml:space="preserve">Puerto Rico </v>
          </cell>
          <cell r="C46">
            <v>1096850</v>
          </cell>
          <cell r="D46">
            <v>392308</v>
          </cell>
          <cell r="E46">
            <v>35167</v>
          </cell>
          <cell r="F46">
            <v>14200</v>
          </cell>
        </row>
        <row r="60">
          <cell r="B60" t="str">
            <v xml:space="preserve">Alemania </v>
          </cell>
          <cell r="C60">
            <v>3730653</v>
          </cell>
          <cell r="D60">
            <v>4556213</v>
          </cell>
          <cell r="E60">
            <v>459354</v>
          </cell>
          <cell r="F60">
            <v>183929</v>
          </cell>
        </row>
        <row r="61">
          <cell r="B61" t="str">
            <v xml:space="preserve">Austria </v>
          </cell>
          <cell r="C61">
            <v>140763</v>
          </cell>
          <cell r="D61">
            <v>221630</v>
          </cell>
          <cell r="E61">
            <v>31244</v>
          </cell>
          <cell r="F61">
            <v>5021</v>
          </cell>
        </row>
        <row r="62">
          <cell r="B62" t="str">
            <v xml:space="preserve">Bélgica </v>
          </cell>
          <cell r="C62">
            <v>314506</v>
          </cell>
          <cell r="D62">
            <v>401499</v>
          </cell>
          <cell r="E62">
            <v>33028</v>
          </cell>
          <cell r="F62">
            <v>80602</v>
          </cell>
        </row>
        <row r="63">
          <cell r="B63" t="str">
            <v xml:space="preserve">España </v>
          </cell>
          <cell r="C63">
            <v>5069423</v>
          </cell>
          <cell r="D63">
            <v>4470164</v>
          </cell>
          <cell r="E63">
            <v>846681</v>
          </cell>
          <cell r="F63">
            <v>375739</v>
          </cell>
        </row>
        <row r="64">
          <cell r="B64" t="str">
            <v xml:space="preserve">Francia </v>
          </cell>
          <cell r="C64">
            <v>1266731</v>
          </cell>
          <cell r="D64">
            <v>847050</v>
          </cell>
          <cell r="E64">
            <v>220913</v>
          </cell>
          <cell r="F64">
            <v>207687</v>
          </cell>
        </row>
        <row r="65">
          <cell r="B65" t="str">
            <v xml:space="preserve">Italia </v>
          </cell>
          <cell r="C65">
            <v>48162885</v>
          </cell>
          <cell r="D65">
            <v>625333</v>
          </cell>
          <cell r="E65">
            <v>3263537</v>
          </cell>
          <cell r="F65">
            <v>120920</v>
          </cell>
        </row>
        <row r="66">
          <cell r="B66" t="str">
            <v xml:space="preserve">Países Bajos </v>
          </cell>
          <cell r="C66">
            <v>226545</v>
          </cell>
          <cell r="D66">
            <v>211125</v>
          </cell>
          <cell r="E66">
            <v>40768</v>
          </cell>
          <cell r="F66">
            <v>6469</v>
          </cell>
        </row>
        <row r="67">
          <cell r="B67" t="str">
            <v xml:space="preserve">Polonia </v>
          </cell>
          <cell r="C67">
            <v>354080</v>
          </cell>
          <cell r="D67">
            <v>204809</v>
          </cell>
          <cell r="E67">
            <v>0</v>
          </cell>
          <cell r="F67">
            <v>101194</v>
          </cell>
        </row>
        <row r="68">
          <cell r="B68" t="str">
            <v xml:space="preserve">Reino Unido </v>
          </cell>
          <cell r="C68">
            <v>398359</v>
          </cell>
          <cell r="D68">
            <v>170095</v>
          </cell>
          <cell r="E68">
            <v>78590</v>
          </cell>
          <cell r="F68">
            <v>548</v>
          </cell>
        </row>
        <row r="69">
          <cell r="B69" t="str">
            <v xml:space="preserve">Suecia </v>
          </cell>
          <cell r="C69">
            <v>433954</v>
          </cell>
          <cell r="D69">
            <v>456369</v>
          </cell>
          <cell r="E69">
            <v>321379</v>
          </cell>
          <cell r="F69">
            <v>4000</v>
          </cell>
        </row>
        <row r="70">
          <cell r="B70" t="str">
            <v xml:space="preserve">Resto </v>
          </cell>
          <cell r="C70">
            <v>690972</v>
          </cell>
          <cell r="D70">
            <v>205285</v>
          </cell>
          <cell r="E70">
            <v>463074</v>
          </cell>
          <cell r="F70">
            <v>522</v>
          </cell>
        </row>
        <row r="84">
          <cell r="B84" t="str">
            <v>Suiza</v>
          </cell>
          <cell r="C84">
            <v>54398</v>
          </cell>
          <cell r="D84">
            <v>241985</v>
          </cell>
          <cell r="E84">
            <v>17880</v>
          </cell>
          <cell r="F84">
            <v>8940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alta_tek"/>
    </sheetNames>
    <sheetDataSet>
      <sheetData sheetId="0">
        <row r="7">
          <cell r="B7" t="str">
            <v>Bolivia</v>
          </cell>
          <cell r="C7">
            <v>2408660</v>
          </cell>
          <cell r="D7">
            <v>5210225</v>
          </cell>
          <cell r="E7">
            <v>368969</v>
          </cell>
          <cell r="F7">
            <v>443472</v>
          </cell>
        </row>
        <row r="8">
          <cell r="B8" t="str">
            <v>Ecuador</v>
          </cell>
          <cell r="C8">
            <v>37974556</v>
          </cell>
          <cell r="D8">
            <v>36123899</v>
          </cell>
          <cell r="E8">
            <v>4695035</v>
          </cell>
          <cell r="F8">
            <v>3888745</v>
          </cell>
        </row>
        <row r="9">
          <cell r="B9" t="str">
            <v xml:space="preserve">Perú </v>
          </cell>
          <cell r="C9">
            <v>13214030</v>
          </cell>
          <cell r="D9">
            <v>16639831</v>
          </cell>
          <cell r="E9">
            <v>1716913</v>
          </cell>
          <cell r="F9">
            <v>1976204</v>
          </cell>
        </row>
        <row r="23">
          <cell r="B23" t="str">
            <v>Argentina</v>
          </cell>
          <cell r="C23">
            <v>2410753</v>
          </cell>
          <cell r="D23">
            <v>1232034</v>
          </cell>
          <cell r="E23">
            <v>261524</v>
          </cell>
          <cell r="F23">
            <v>73564</v>
          </cell>
        </row>
        <row r="24">
          <cell r="B24" t="str">
            <v xml:space="preserve">Brasil </v>
          </cell>
          <cell r="C24">
            <v>3237427</v>
          </cell>
          <cell r="D24">
            <v>3157521</v>
          </cell>
          <cell r="E24">
            <v>471947</v>
          </cell>
          <cell r="F24">
            <v>583950</v>
          </cell>
        </row>
        <row r="25">
          <cell r="B25" t="str">
            <v xml:space="preserve">Cuba </v>
          </cell>
          <cell r="C25">
            <v>797605</v>
          </cell>
          <cell r="D25">
            <v>640478</v>
          </cell>
          <cell r="E25">
            <v>229095</v>
          </cell>
          <cell r="F25">
            <v>0</v>
          </cell>
        </row>
        <row r="26">
          <cell r="B26" t="str">
            <v xml:space="preserve">Chile </v>
          </cell>
          <cell r="C26">
            <v>8591772</v>
          </cell>
          <cell r="D26">
            <v>9721512</v>
          </cell>
          <cell r="E26">
            <v>866641</v>
          </cell>
          <cell r="F26">
            <v>1268333</v>
          </cell>
        </row>
        <row r="27">
          <cell r="B27" t="str">
            <v xml:space="preserve">México </v>
          </cell>
          <cell r="C27">
            <v>14093871</v>
          </cell>
          <cell r="D27">
            <v>16834255</v>
          </cell>
          <cell r="E27">
            <v>2419015</v>
          </cell>
          <cell r="F27">
            <v>2110734</v>
          </cell>
        </row>
        <row r="28">
          <cell r="B28" t="str">
            <v xml:space="preserve">Paraguay </v>
          </cell>
          <cell r="C28">
            <v>434971</v>
          </cell>
          <cell r="D28">
            <v>400955</v>
          </cell>
          <cell r="E28">
            <v>111861</v>
          </cell>
          <cell r="F28">
            <v>28864</v>
          </cell>
        </row>
        <row r="29">
          <cell r="B29" t="str">
            <v xml:space="preserve">Uruguay </v>
          </cell>
          <cell r="C29">
            <v>308315</v>
          </cell>
          <cell r="D29">
            <v>451233</v>
          </cell>
          <cell r="E29">
            <v>1440</v>
          </cell>
          <cell r="F29">
            <v>7215</v>
          </cell>
        </row>
        <row r="30">
          <cell r="B30" t="str">
            <v>Venezuela</v>
          </cell>
          <cell r="C30">
            <v>33750372</v>
          </cell>
          <cell r="D30">
            <v>29853009</v>
          </cell>
          <cell r="E30">
            <v>7729323</v>
          </cell>
          <cell r="F30">
            <v>4283015</v>
          </cell>
        </row>
        <row r="44">
          <cell r="B44" t="str">
            <v xml:space="preserve">Canadá </v>
          </cell>
          <cell r="C44">
            <v>506415</v>
          </cell>
          <cell r="D44">
            <v>771072</v>
          </cell>
          <cell r="E44">
            <v>229071</v>
          </cell>
          <cell r="F44">
            <v>0</v>
          </cell>
        </row>
        <row r="45">
          <cell r="B45" t="str">
            <v>Estados Unidos</v>
          </cell>
          <cell r="C45">
            <v>31471119</v>
          </cell>
          <cell r="D45">
            <v>45603696</v>
          </cell>
          <cell r="E45">
            <v>3651389</v>
          </cell>
          <cell r="F45">
            <v>5769423</v>
          </cell>
        </row>
        <row r="46">
          <cell r="B46" t="str">
            <v xml:space="preserve">Puerto Rico </v>
          </cell>
          <cell r="C46">
            <v>14868</v>
          </cell>
          <cell r="D46">
            <v>26594</v>
          </cell>
          <cell r="E46">
            <v>0</v>
          </cell>
          <cell r="F46">
            <v>0</v>
          </cell>
        </row>
        <row r="60">
          <cell r="B60" t="str">
            <v xml:space="preserve">Alemania </v>
          </cell>
          <cell r="C60">
            <v>650163</v>
          </cell>
          <cell r="D60">
            <v>4037225</v>
          </cell>
          <cell r="E60">
            <v>45405</v>
          </cell>
          <cell r="F60">
            <v>421965</v>
          </cell>
        </row>
        <row r="61">
          <cell r="B61" t="str">
            <v xml:space="preserve">España </v>
          </cell>
          <cell r="C61">
            <v>296531</v>
          </cell>
          <cell r="D61">
            <v>188228</v>
          </cell>
          <cell r="E61">
            <v>1349</v>
          </cell>
          <cell r="F61">
            <v>10</v>
          </cell>
        </row>
        <row r="62">
          <cell r="B62" t="str">
            <v xml:space="preserve">Finlandia </v>
          </cell>
          <cell r="C62">
            <v>71024</v>
          </cell>
          <cell r="D62">
            <v>18435</v>
          </cell>
          <cell r="E62">
            <v>0</v>
          </cell>
          <cell r="F62">
            <v>0</v>
          </cell>
        </row>
        <row r="63">
          <cell r="B63" t="str">
            <v xml:space="preserve">Francia </v>
          </cell>
          <cell r="C63">
            <v>65359</v>
          </cell>
          <cell r="D63">
            <v>1738104</v>
          </cell>
          <cell r="E63">
            <v>2275</v>
          </cell>
          <cell r="F63">
            <v>390602</v>
          </cell>
        </row>
        <row r="64">
          <cell r="B64" t="str">
            <v xml:space="preserve">Hungría </v>
          </cell>
          <cell r="C64">
            <v>60279</v>
          </cell>
          <cell r="D64">
            <v>59217</v>
          </cell>
          <cell r="E64">
            <v>0</v>
          </cell>
          <cell r="F64">
            <v>0</v>
          </cell>
        </row>
        <row r="65">
          <cell r="B65" t="str">
            <v xml:space="preserve">Irlanda </v>
          </cell>
          <cell r="C65">
            <v>136992</v>
          </cell>
          <cell r="D65">
            <v>302204</v>
          </cell>
          <cell r="E65">
            <v>0</v>
          </cell>
          <cell r="F65">
            <v>0</v>
          </cell>
        </row>
        <row r="66">
          <cell r="B66" t="str">
            <v xml:space="preserve">Italia </v>
          </cell>
          <cell r="C66">
            <v>67258</v>
          </cell>
          <cell r="D66">
            <v>263962</v>
          </cell>
          <cell r="E66">
            <v>949</v>
          </cell>
          <cell r="F66">
            <v>11921</v>
          </cell>
        </row>
        <row r="67">
          <cell r="B67" t="str">
            <v xml:space="preserve">Países Bajos </v>
          </cell>
          <cell r="C67">
            <v>8252727</v>
          </cell>
          <cell r="D67">
            <v>8577863</v>
          </cell>
          <cell r="E67">
            <v>598055</v>
          </cell>
          <cell r="F67">
            <v>954001</v>
          </cell>
        </row>
        <row r="68">
          <cell r="B68" t="str">
            <v xml:space="preserve">Reino Unido </v>
          </cell>
          <cell r="C68">
            <v>468510</v>
          </cell>
          <cell r="D68">
            <v>252231</v>
          </cell>
          <cell r="E68">
            <v>8551</v>
          </cell>
          <cell r="F68">
            <v>71329</v>
          </cell>
        </row>
        <row r="69">
          <cell r="B69" t="str">
            <v xml:space="preserve">Suecia </v>
          </cell>
          <cell r="C69">
            <v>123929</v>
          </cell>
          <cell r="D69">
            <v>259178</v>
          </cell>
          <cell r="E69">
            <v>11898</v>
          </cell>
          <cell r="F69">
            <v>0</v>
          </cell>
        </row>
        <row r="70">
          <cell r="B70" t="str">
            <v xml:space="preserve">Resto </v>
          </cell>
          <cell r="C70">
            <v>263923</v>
          </cell>
          <cell r="D70">
            <v>32053</v>
          </cell>
          <cell r="E70">
            <v>7019</v>
          </cell>
          <cell r="F70">
            <v>1050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cuadro1c"/>
    </sheetNames>
    <sheetDataSet>
      <sheetData sheetId="0">
        <row r="7">
          <cell r="A7" t="str">
            <v xml:space="preserve">Armenia </v>
          </cell>
          <cell r="B7">
            <v>25884</v>
          </cell>
          <cell r="C7">
            <v>0</v>
          </cell>
          <cell r="D7">
            <v>0</v>
          </cell>
          <cell r="E7">
            <v>0</v>
          </cell>
        </row>
        <row r="8">
          <cell r="A8" t="str">
            <v xml:space="preserve">Barranquilla </v>
          </cell>
          <cell r="B8">
            <v>75790966</v>
          </cell>
          <cell r="C8">
            <v>71765179</v>
          </cell>
          <cell r="D8">
            <v>17390456</v>
          </cell>
          <cell r="E8">
            <v>9935248</v>
          </cell>
        </row>
        <row r="9">
          <cell r="A9" t="str">
            <v xml:space="preserve">Bogotá </v>
          </cell>
          <cell r="B9">
            <v>980238292</v>
          </cell>
          <cell r="C9">
            <v>963500039</v>
          </cell>
          <cell r="D9">
            <v>104345668</v>
          </cell>
          <cell r="E9">
            <v>96733361</v>
          </cell>
        </row>
        <row r="10">
          <cell r="A10" t="str">
            <v xml:space="preserve">Bucaramanga </v>
          </cell>
          <cell r="B10">
            <v>160677</v>
          </cell>
          <cell r="C10">
            <v>466141</v>
          </cell>
          <cell r="D10">
            <v>69290</v>
          </cell>
          <cell r="E10">
            <v>12159</v>
          </cell>
        </row>
        <row r="11">
          <cell r="A11" t="str">
            <v xml:space="preserve">Cali </v>
          </cell>
          <cell r="B11">
            <v>2505340</v>
          </cell>
          <cell r="C11">
            <v>2089549</v>
          </cell>
          <cell r="D11">
            <v>385326</v>
          </cell>
          <cell r="E11">
            <v>358692</v>
          </cell>
        </row>
        <row r="12">
          <cell r="A12" t="str">
            <v xml:space="preserve">Cartagena </v>
          </cell>
          <cell r="B12">
            <v>499273610</v>
          </cell>
          <cell r="C12">
            <v>472341508</v>
          </cell>
          <cell r="D12">
            <v>62728960</v>
          </cell>
          <cell r="E12">
            <v>60716085</v>
          </cell>
        </row>
        <row r="13">
          <cell r="A13" t="str">
            <v xml:space="preserve">Cúcuta </v>
          </cell>
          <cell r="B13">
            <v>208604854</v>
          </cell>
          <cell r="C13">
            <v>116906255</v>
          </cell>
          <cell r="D13">
            <v>30919363</v>
          </cell>
          <cell r="E13">
            <v>15831105</v>
          </cell>
        </row>
        <row r="14">
          <cell r="A14" t="str">
            <v xml:space="preserve">Manizales </v>
          </cell>
          <cell r="B14">
            <v>0</v>
          </cell>
          <cell r="C14">
            <v>145344</v>
          </cell>
          <cell r="D14">
            <v>0</v>
          </cell>
          <cell r="E14">
            <v>0</v>
          </cell>
        </row>
        <row r="15">
          <cell r="A15" t="str">
            <v xml:space="preserve">Medellín </v>
          </cell>
          <cell r="B15">
            <v>2900288</v>
          </cell>
          <cell r="C15">
            <v>7886546</v>
          </cell>
          <cell r="D15">
            <v>170529</v>
          </cell>
          <cell r="E15">
            <v>1058789</v>
          </cell>
        </row>
        <row r="16">
          <cell r="A16" t="str">
            <v xml:space="preserve">Pereira </v>
          </cell>
          <cell r="B16">
            <v>49733</v>
          </cell>
          <cell r="C16">
            <v>58775</v>
          </cell>
          <cell r="D16">
            <v>1282</v>
          </cell>
          <cell r="E16">
            <v>2059</v>
          </cell>
        </row>
        <row r="17">
          <cell r="A17" t="str">
            <v xml:space="preserve">Santa Marta </v>
          </cell>
          <cell r="B17">
            <v>3388405</v>
          </cell>
          <cell r="C17">
            <v>12213365</v>
          </cell>
          <cell r="D17">
            <v>179114</v>
          </cell>
          <cell r="E17">
            <v>195228</v>
          </cell>
        </row>
        <row r="18">
          <cell r="A18" t="str">
            <v xml:space="preserve">Riohacha </v>
          </cell>
          <cell r="B18">
            <v>3639884</v>
          </cell>
          <cell r="C18">
            <v>4947885</v>
          </cell>
          <cell r="D18">
            <v>300</v>
          </cell>
          <cell r="E18">
            <v>0</v>
          </cell>
        </row>
        <row r="19">
          <cell r="A19" t="str">
            <v xml:space="preserve">Buenaventura </v>
          </cell>
          <cell r="B19">
            <v>241609349</v>
          </cell>
          <cell r="C19">
            <v>275331805</v>
          </cell>
          <cell r="D19">
            <v>24996197</v>
          </cell>
          <cell r="E19">
            <v>32861004</v>
          </cell>
        </row>
        <row r="20">
          <cell r="A20" t="str">
            <v xml:space="preserve">Ipiales </v>
          </cell>
          <cell r="B20">
            <v>196781689</v>
          </cell>
          <cell r="C20">
            <v>224190016</v>
          </cell>
          <cell r="D20">
            <v>26332178</v>
          </cell>
          <cell r="E20">
            <v>24694242</v>
          </cell>
        </row>
        <row r="21">
          <cell r="A21" t="str">
            <v xml:space="preserve">Leticia </v>
          </cell>
          <cell r="B21">
            <v>116282</v>
          </cell>
          <cell r="C21">
            <v>81178</v>
          </cell>
          <cell r="D21">
            <v>13245</v>
          </cell>
          <cell r="E21">
            <v>26858</v>
          </cell>
        </row>
        <row r="22">
          <cell r="A22" t="str">
            <v xml:space="preserve">Maicao </v>
          </cell>
          <cell r="B22">
            <v>22348872</v>
          </cell>
          <cell r="C22">
            <v>21194195</v>
          </cell>
          <cell r="D22">
            <v>3772299</v>
          </cell>
          <cell r="E22">
            <v>3255036</v>
          </cell>
        </row>
        <row r="23">
          <cell r="A23" t="str">
            <v xml:space="preserve">Turbo </v>
          </cell>
          <cell r="B23">
            <v>148337</v>
          </cell>
          <cell r="C23">
            <v>0</v>
          </cell>
          <cell r="D23">
            <v>273</v>
          </cell>
          <cell r="E23">
            <v>0</v>
          </cell>
        </row>
        <row r="24">
          <cell r="A24" t="str">
            <v xml:space="preserve">Puerto Asis </v>
          </cell>
          <cell r="B24">
            <v>53695</v>
          </cell>
          <cell r="C24">
            <v>6145</v>
          </cell>
          <cell r="D24">
            <v>0</v>
          </cell>
          <cell r="E24">
            <v>0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C2">
            <v>166986306.52000016</v>
          </cell>
          <cell r="D2">
            <v>15524026.409999991</v>
          </cell>
          <cell r="F2">
            <v>182642892.52999967</v>
          </cell>
          <cell r="G2">
            <v>16645804.370000001</v>
          </cell>
          <cell r="J2" t="str">
            <v>Rosas frescas</v>
          </cell>
        </row>
        <row r="3">
          <cell r="C3">
            <v>183820587.99000007</v>
          </cell>
          <cell r="D3">
            <v>12073816.799999988</v>
          </cell>
          <cell r="F3">
            <v>169885782.78999984</v>
          </cell>
          <cell r="G3">
            <v>12808407.079999989</v>
          </cell>
          <cell r="J3" t="str">
            <v>Capullos frescos</v>
          </cell>
        </row>
        <row r="4">
          <cell r="C4">
            <v>101070610.09999998</v>
          </cell>
          <cell r="D4">
            <v>9515969.2699999996</v>
          </cell>
          <cell r="F4">
            <v>103913292.31999993</v>
          </cell>
          <cell r="G4">
            <v>17094241.969999995</v>
          </cell>
          <cell r="J4" t="str">
            <v>Cafés sin tostar</v>
          </cell>
        </row>
        <row r="5">
          <cell r="C5">
            <v>75663403.680000052</v>
          </cell>
          <cell r="D5">
            <v>12339570.959999993</v>
          </cell>
          <cell r="F5">
            <v>95761498.329999804</v>
          </cell>
          <cell r="G5">
            <v>12463086.939999998</v>
          </cell>
          <cell r="J5" t="str">
            <v>Medicamentos</v>
          </cell>
        </row>
        <row r="6">
          <cell r="C6">
            <v>49134418.839999922</v>
          </cell>
          <cell r="D6">
            <v>6360314.1000000015</v>
          </cell>
          <cell r="F6">
            <v>49978072.249999911</v>
          </cell>
          <cell r="G6">
            <v>5130384.2600000044</v>
          </cell>
          <cell r="J6" t="str">
            <v>Claveles</v>
          </cell>
        </row>
        <row r="7">
          <cell r="C7">
            <v>42501377.549999997</v>
          </cell>
          <cell r="D7">
            <v>8078658.0299999993</v>
          </cell>
          <cell r="F7">
            <v>35813016.339999989</v>
          </cell>
          <cell r="G7">
            <v>4670506.24</v>
          </cell>
          <cell r="J7" t="str">
            <v>Desechos de cobre</v>
          </cell>
        </row>
        <row r="8">
          <cell r="C8">
            <v>43726193.220000051</v>
          </cell>
          <cell r="D8">
            <v>6202354.6199999945</v>
          </cell>
          <cell r="F8">
            <v>33704769.229999967</v>
          </cell>
          <cell r="G8">
            <v>3270979.9299999997</v>
          </cell>
          <cell r="J8" t="str">
            <v>Libros</v>
          </cell>
        </row>
        <row r="9">
          <cell r="C9">
            <v>24095434.500000004</v>
          </cell>
          <cell r="D9">
            <v>4365395.2299999986</v>
          </cell>
          <cell r="F9">
            <v>30091214.400000043</v>
          </cell>
          <cell r="G9">
            <v>4821210.8400000026</v>
          </cell>
          <cell r="J9" t="str">
            <v>Preparaciones capilares</v>
          </cell>
        </row>
        <row r="10">
          <cell r="C10">
            <v>39096467.589999989</v>
          </cell>
          <cell r="D10">
            <v>4553854.620000001</v>
          </cell>
          <cell r="F10">
            <v>29275253.52</v>
          </cell>
          <cell r="G10">
            <v>3219703.73</v>
          </cell>
          <cell r="J10" t="str">
            <v>Carburorreactores</v>
          </cell>
        </row>
        <row r="11">
          <cell r="C11">
            <v>33017289.500000019</v>
          </cell>
          <cell r="D11">
            <v>4254889.97</v>
          </cell>
          <cell r="F11">
            <v>29177405.749999937</v>
          </cell>
          <cell r="G11">
            <v>2591203.14</v>
          </cell>
          <cell r="J11" t="str">
            <v>Recipientes</v>
          </cell>
        </row>
        <row r="12">
          <cell r="C12">
            <v>22809387.839999996</v>
          </cell>
          <cell r="D12">
            <v>3630877.5499999993</v>
          </cell>
          <cell r="F12">
            <v>27670678.910000004</v>
          </cell>
          <cell r="G12">
            <v>2227872.2799999989</v>
          </cell>
          <cell r="J12" t="str">
            <v>Claveles miniatura</v>
          </cell>
        </row>
        <row r="13">
          <cell r="C13">
            <v>25478614.630000014</v>
          </cell>
          <cell r="D13">
            <v>3628981.1599999983</v>
          </cell>
          <cell r="F13">
            <v>25280636.360000025</v>
          </cell>
          <cell r="G13">
            <v>2930092.7899999977</v>
          </cell>
          <cell r="J13" t="str">
            <v>Tejido de punto</v>
          </cell>
        </row>
        <row r="14">
          <cell r="C14">
            <v>15819791.040000023</v>
          </cell>
          <cell r="D14">
            <v>1757437.0399999993</v>
          </cell>
          <cell r="F14">
            <v>21601069.099999979</v>
          </cell>
          <cell r="G14">
            <v>2670953.9699999983</v>
          </cell>
          <cell r="J14" t="str">
            <v>Alstroemerias frescas</v>
          </cell>
        </row>
        <row r="15">
          <cell r="C15">
            <v>21475732.010000013</v>
          </cell>
          <cell r="D15">
            <v>4039446.64</v>
          </cell>
          <cell r="F15">
            <v>19273858.750000019</v>
          </cell>
          <cell r="G15">
            <v>2265043.3199999998</v>
          </cell>
          <cell r="J15" t="str">
            <v>Láminas de polímeros</v>
          </cell>
        </row>
        <row r="16">
          <cell r="C16">
            <v>14969999.299999988</v>
          </cell>
          <cell r="D16">
            <v>2662187.0700000012</v>
          </cell>
          <cell r="F16">
            <v>18117490.399999995</v>
          </cell>
          <cell r="G16">
            <v>2843096.0500000003</v>
          </cell>
          <cell r="J16" t="str">
            <v>Medicamentos con antibióticos</v>
          </cell>
        </row>
        <row r="17">
          <cell r="C17">
            <v>6121375.7999999998</v>
          </cell>
          <cell r="D17">
            <v>970754</v>
          </cell>
          <cell r="F17">
            <v>17665029.420000006</v>
          </cell>
          <cell r="G17">
            <v>2506363.4999999995</v>
          </cell>
          <cell r="J17" t="str">
            <v>Cueros y pieles enteros</v>
          </cell>
        </row>
        <row r="18">
          <cell r="C18">
            <v>6385861.0900000008</v>
          </cell>
          <cell r="D18">
            <v>1045645.48</v>
          </cell>
          <cell r="F18">
            <v>16802397.920000002</v>
          </cell>
          <cell r="G18">
            <v>2184301</v>
          </cell>
          <cell r="J18" t="str">
            <v>Teléfonos móviles</v>
          </cell>
        </row>
        <row r="19">
          <cell r="C19">
            <v>14706078.070000006</v>
          </cell>
          <cell r="D19">
            <v>1693482.1500000001</v>
          </cell>
          <cell r="F19">
            <v>16100352.200000012</v>
          </cell>
          <cell r="G19">
            <v>2512860.7799999998</v>
          </cell>
          <cell r="J19" t="str">
            <v>Láminas de polímeros</v>
          </cell>
        </row>
        <row r="20">
          <cell r="C20">
            <v>13878576.679999998</v>
          </cell>
          <cell r="D20">
            <v>2595551.7999999989</v>
          </cell>
          <cell r="F20">
            <v>15416539.620000005</v>
          </cell>
          <cell r="G20">
            <v>2473524.2599999998</v>
          </cell>
          <cell r="J20" t="str">
            <v>Manufacturas de cuero</v>
          </cell>
        </row>
        <row r="21">
          <cell r="C21">
            <v>16648280.039999992</v>
          </cell>
          <cell r="D21">
            <v>1933790.05</v>
          </cell>
          <cell r="F21">
            <v>14398983.489999996</v>
          </cell>
          <cell r="G21">
            <v>1879161.9899999998</v>
          </cell>
          <cell r="J21" t="str">
            <v>Vidrio de seguridad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cuadro_historico1"/>
    </sheetNames>
    <sheetDataSet>
      <sheetData sheetId="0">
        <row r="7">
          <cell r="B7">
            <v>210207232</v>
          </cell>
          <cell r="C7">
            <v>242000932</v>
          </cell>
          <cell r="D7">
            <v>170796660</v>
          </cell>
          <cell r="E7">
            <v>227822484</v>
          </cell>
          <cell r="F7">
            <v>256658372</v>
          </cell>
          <cell r="G7">
            <v>205435192</v>
          </cell>
        </row>
        <row r="8">
          <cell r="B8">
            <v>262105858</v>
          </cell>
          <cell r="C8">
            <v>251969663</v>
          </cell>
          <cell r="D8">
            <v>206519181</v>
          </cell>
          <cell r="E8">
            <v>249224393</v>
          </cell>
          <cell r="F8">
            <v>275850272</v>
          </cell>
          <cell r="G8">
            <v>238266934</v>
          </cell>
        </row>
        <row r="9">
          <cell r="B9">
            <v>266178078</v>
          </cell>
          <cell r="C9">
            <v>272318949</v>
          </cell>
          <cell r="D9">
            <v>296777746</v>
          </cell>
          <cell r="E9">
            <v>386718040</v>
          </cell>
          <cell r="F9">
            <v>322712631</v>
          </cell>
          <cell r="G9">
            <v>270631465</v>
          </cell>
        </row>
        <row r="10">
          <cell r="B10">
            <v>342130961</v>
          </cell>
          <cell r="C10">
            <v>223764308</v>
          </cell>
          <cell r="D10">
            <v>226573573</v>
          </cell>
          <cell r="E10">
            <v>340135635</v>
          </cell>
          <cell r="F10">
            <v>230511260</v>
          </cell>
          <cell r="G10">
            <v>326835192</v>
          </cell>
        </row>
        <row r="11">
          <cell r="B11">
            <v>303018873</v>
          </cell>
          <cell r="C11">
            <v>268072677</v>
          </cell>
          <cell r="D11">
            <v>355304436</v>
          </cell>
          <cell r="E11">
            <v>265333808</v>
          </cell>
          <cell r="F11">
            <v>306669121</v>
          </cell>
          <cell r="G11">
            <v>323485534</v>
          </cell>
        </row>
        <row r="12">
          <cell r="B12">
            <v>292881032</v>
          </cell>
          <cell r="C12">
            <v>253337159</v>
          </cell>
          <cell r="D12">
            <v>234363568</v>
          </cell>
          <cell r="E12">
            <v>297649432</v>
          </cell>
          <cell r="F12">
            <v>253809307</v>
          </cell>
          <cell r="G12">
            <v>283090793</v>
          </cell>
        </row>
        <row r="13">
          <cell r="B13">
            <v>338851907</v>
          </cell>
          <cell r="C13">
            <v>226842041</v>
          </cell>
          <cell r="D13">
            <v>195535889</v>
          </cell>
          <cell r="E13">
            <v>285167977</v>
          </cell>
          <cell r="F13">
            <v>320120713</v>
          </cell>
          <cell r="G13">
            <v>279698950</v>
          </cell>
        </row>
        <row r="14">
          <cell r="B14">
            <v>289915170</v>
          </cell>
          <cell r="C14">
            <v>207370312</v>
          </cell>
          <cell r="D14">
            <v>221915040</v>
          </cell>
          <cell r="E14">
            <v>321342577</v>
          </cell>
          <cell r="F14">
            <v>271304480</v>
          </cell>
          <cell r="G14">
            <v>245679866</v>
          </cell>
        </row>
        <row r="15">
          <cell r="B15">
            <v>267998377</v>
          </cell>
          <cell r="C15">
            <v>250362204</v>
          </cell>
          <cell r="D15">
            <v>268685288</v>
          </cell>
          <cell r="E15">
            <v>257457008</v>
          </cell>
          <cell r="F15">
            <v>256875438</v>
          </cell>
        </row>
        <row r="16">
          <cell r="B16">
            <v>408946659</v>
          </cell>
          <cell r="C16">
            <v>219217428</v>
          </cell>
          <cell r="D16">
            <v>251290467</v>
          </cell>
          <cell r="E16">
            <v>264351803</v>
          </cell>
          <cell r="F16">
            <v>268693071</v>
          </cell>
        </row>
        <row r="17">
          <cell r="B17">
            <v>284981226</v>
          </cell>
          <cell r="C17">
            <v>226978048</v>
          </cell>
          <cell r="D17">
            <v>236182270</v>
          </cell>
          <cell r="E17">
            <v>343749637</v>
          </cell>
          <cell r="F17">
            <v>271360291</v>
          </cell>
        </row>
        <row r="18">
          <cell r="B18">
            <v>318612227</v>
          </cell>
          <cell r="C18">
            <v>243162033</v>
          </cell>
          <cell r="D18">
            <v>281099122</v>
          </cell>
          <cell r="E18">
            <v>503358621</v>
          </cell>
          <cell r="F18">
            <v>255237551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D20">
            <v>39995</v>
          </cell>
        </row>
        <row r="21">
          <cell r="D21">
            <v>40026</v>
          </cell>
          <cell r="E21">
            <v>268.85121094583354</v>
          </cell>
        </row>
        <row r="22">
          <cell r="D22">
            <v>40057</v>
          </cell>
          <cell r="E22">
            <v>267.38152982583352</v>
          </cell>
        </row>
        <row r="23">
          <cell r="D23">
            <v>40087</v>
          </cell>
          <cell r="E23">
            <v>251.57076055833343</v>
          </cell>
        </row>
        <row r="24">
          <cell r="D24">
            <v>40118</v>
          </cell>
          <cell r="E24">
            <v>246.73716237750025</v>
          </cell>
        </row>
        <row r="25">
          <cell r="D25">
            <v>40148</v>
          </cell>
          <cell r="E25">
            <v>240.44964620166692</v>
          </cell>
        </row>
        <row r="26">
          <cell r="D26">
            <v>40179</v>
          </cell>
          <cell r="E26">
            <v>234.5159568525003</v>
          </cell>
        </row>
        <row r="27">
          <cell r="D27">
            <v>40210</v>
          </cell>
          <cell r="E27">
            <v>230.72841675833357</v>
          </cell>
        </row>
        <row r="28">
          <cell r="D28">
            <v>40238</v>
          </cell>
          <cell r="E28">
            <v>232.76664986500023</v>
          </cell>
        </row>
        <row r="29">
          <cell r="D29">
            <v>40269</v>
          </cell>
          <cell r="E29">
            <v>233.00075532583367</v>
          </cell>
        </row>
        <row r="30">
          <cell r="D30">
            <v>40299</v>
          </cell>
          <cell r="E30">
            <v>240.2700685458336</v>
          </cell>
        </row>
        <row r="31">
          <cell r="D31">
            <v>40330</v>
          </cell>
          <cell r="E31">
            <v>238.68893599583353</v>
          </cell>
        </row>
        <row r="32">
          <cell r="D32">
            <v>40360</v>
          </cell>
          <cell r="E32">
            <v>236.08008996250024</v>
          </cell>
        </row>
        <row r="33">
          <cell r="D33">
            <v>40391</v>
          </cell>
          <cell r="E33">
            <v>237.29215059583353</v>
          </cell>
        </row>
        <row r="34">
          <cell r="D34">
            <v>40422</v>
          </cell>
          <cell r="E34">
            <v>238.81907428833358</v>
          </cell>
        </row>
        <row r="35">
          <cell r="D35">
            <v>40452</v>
          </cell>
          <cell r="E35">
            <v>241.49182755833351</v>
          </cell>
        </row>
        <row r="36">
          <cell r="D36">
            <v>40483</v>
          </cell>
          <cell r="E36">
            <v>242.25884603333353</v>
          </cell>
        </row>
        <row r="37">
          <cell r="D37">
            <v>40513</v>
          </cell>
          <cell r="E37">
            <v>245.42027006916689</v>
          </cell>
        </row>
        <row r="38">
          <cell r="D38">
            <v>40544</v>
          </cell>
          <cell r="E38">
            <v>250.1724220583335</v>
          </cell>
        </row>
        <row r="39">
          <cell r="D39">
            <v>40575</v>
          </cell>
          <cell r="E39">
            <v>253.73118966499999</v>
          </cell>
        </row>
        <row r="40">
          <cell r="D40">
            <v>40603</v>
          </cell>
          <cell r="E40">
            <v>261.22621411833319</v>
          </cell>
        </row>
        <row r="41">
          <cell r="D41">
            <v>40634</v>
          </cell>
          <cell r="E41">
            <v>270.68971929583302</v>
          </cell>
        </row>
        <row r="42">
          <cell r="D42">
            <v>40664</v>
          </cell>
          <cell r="E42">
            <v>263.19216695166637</v>
          </cell>
        </row>
        <row r="43">
          <cell r="D43">
            <v>40695</v>
          </cell>
          <cell r="E43">
            <v>268.46598892499975</v>
          </cell>
        </row>
        <row r="44">
          <cell r="D44">
            <v>40725</v>
          </cell>
          <cell r="E44">
            <v>275.93532965749972</v>
          </cell>
        </row>
        <row r="45">
          <cell r="D45">
            <v>40756</v>
          </cell>
          <cell r="E45">
            <v>284.22095771999972</v>
          </cell>
        </row>
        <row r="46">
          <cell r="D46">
            <v>40787</v>
          </cell>
          <cell r="E46">
            <v>283.28526768333302</v>
          </cell>
        </row>
        <row r="47">
          <cell r="D47">
            <v>40817</v>
          </cell>
          <cell r="E47">
            <v>284.37371235583299</v>
          </cell>
        </row>
        <row r="48">
          <cell r="D48">
            <v>40848</v>
          </cell>
          <cell r="E48">
            <v>293.33765963749937</v>
          </cell>
        </row>
        <row r="49">
          <cell r="D49">
            <v>40878</v>
          </cell>
          <cell r="E49">
            <v>311.85928456249934</v>
          </cell>
        </row>
        <row r="50">
          <cell r="D50">
            <v>40909</v>
          </cell>
          <cell r="E50">
            <v>314.26227524333268</v>
          </cell>
        </row>
        <row r="51">
          <cell r="D51">
            <v>40940</v>
          </cell>
          <cell r="E51">
            <v>316.48109851499947</v>
          </cell>
        </row>
        <row r="52">
          <cell r="D52">
            <v>40969</v>
          </cell>
          <cell r="E52">
            <v>311.14731446416607</v>
          </cell>
        </row>
        <row r="53">
          <cell r="D53">
            <v>41000</v>
          </cell>
          <cell r="E53">
            <v>302.01194986333292</v>
          </cell>
        </row>
        <row r="54">
          <cell r="D54">
            <v>41030</v>
          </cell>
          <cell r="E54">
            <v>305.45655923999954</v>
          </cell>
        </row>
        <row r="55">
          <cell r="D55">
            <v>41061</v>
          </cell>
          <cell r="E55">
            <v>301.80321552166612</v>
          </cell>
        </row>
        <row r="56">
          <cell r="D56">
            <v>41091</v>
          </cell>
          <cell r="E56">
            <v>304.7159434908329</v>
          </cell>
        </row>
        <row r="57">
          <cell r="D57">
            <v>41122</v>
          </cell>
          <cell r="E57">
            <v>300.54610211999943</v>
          </cell>
        </row>
        <row r="58">
          <cell r="D58">
            <v>41153</v>
          </cell>
          <cell r="E58">
            <v>300.49763794833279</v>
          </cell>
        </row>
        <row r="59">
          <cell r="D59">
            <v>41183</v>
          </cell>
          <cell r="E59">
            <v>300.85941029083278</v>
          </cell>
        </row>
        <row r="60">
          <cell r="D60">
            <v>41214</v>
          </cell>
          <cell r="E60">
            <v>294.8269647399996</v>
          </cell>
        </row>
        <row r="61">
          <cell r="D61">
            <v>41244</v>
          </cell>
          <cell r="E61">
            <v>274.15020892999962</v>
          </cell>
        </row>
        <row r="62">
          <cell r="D62">
            <v>41275</v>
          </cell>
          <cell r="E62">
            <v>269.88161055583294</v>
          </cell>
        </row>
        <row r="63">
          <cell r="D63">
            <v>41306</v>
          </cell>
          <cell r="E63">
            <v>266.74966571833295</v>
          </cell>
        </row>
        <row r="64">
          <cell r="D64">
            <v>41334</v>
          </cell>
          <cell r="E64">
            <v>262.40956851333311</v>
          </cell>
        </row>
        <row r="65">
          <cell r="D65">
            <v>41365</v>
          </cell>
          <cell r="E65">
            <v>270.43656281666648</v>
          </cell>
        </row>
        <row r="66">
          <cell r="D66">
            <v>41395</v>
          </cell>
          <cell r="E66">
            <v>271.83793058499998</v>
          </cell>
        </row>
        <row r="67">
          <cell r="D67">
            <v>41426</v>
          </cell>
          <cell r="E67">
            <v>274.27805436249992</v>
          </cell>
        </row>
        <row r="68">
          <cell r="D68">
            <v>41456</v>
          </cell>
          <cell r="E68">
            <v>270.90957411249991</v>
          </cell>
        </row>
        <row r="69">
          <cell r="D69">
            <v>41487</v>
          </cell>
          <cell r="E69">
            <v>268.77418958999988</v>
          </cell>
        </row>
      </sheetData>
      <sheetData sheetId="1">
        <row r="20">
          <cell r="D20">
            <v>39995</v>
          </cell>
        </row>
        <row r="21">
          <cell r="D21">
            <v>40026</v>
          </cell>
          <cell r="E21">
            <v>27.374908371666663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24.348121965833329</v>
          </cell>
        </row>
        <row r="24">
          <cell r="D24">
            <v>40118</v>
          </cell>
          <cell r="E24">
            <v>23.774063100833335</v>
          </cell>
        </row>
        <row r="25">
          <cell r="D25">
            <v>40148</v>
          </cell>
          <cell r="E25">
            <v>23.073302143333333</v>
          </cell>
        </row>
        <row r="26">
          <cell r="D26">
            <v>40179</v>
          </cell>
          <cell r="E26">
            <v>21.118794651666665</v>
          </cell>
        </row>
        <row r="27">
          <cell r="D27">
            <v>40210</v>
          </cell>
          <cell r="E27">
            <v>19.516160041666666</v>
          </cell>
        </row>
        <row r="28">
          <cell r="D28">
            <v>40238</v>
          </cell>
          <cell r="E28">
            <v>18.696673272499993</v>
          </cell>
        </row>
        <row r="29">
          <cell r="D29">
            <v>40269</v>
          </cell>
          <cell r="E29">
            <v>17.396809649999998</v>
          </cell>
        </row>
        <row r="30">
          <cell r="D30">
            <v>40299</v>
          </cell>
          <cell r="E30">
            <v>18.211766261666661</v>
          </cell>
        </row>
        <row r="31">
          <cell r="D31">
            <v>40330</v>
          </cell>
          <cell r="E31">
            <v>18.589453489999997</v>
          </cell>
        </row>
        <row r="32">
          <cell r="D32">
            <v>40360</v>
          </cell>
          <cell r="E32">
            <v>18.645009659999996</v>
          </cell>
        </row>
        <row r="33">
          <cell r="D33">
            <v>40391</v>
          </cell>
          <cell r="E33">
            <v>19.168347471666664</v>
          </cell>
        </row>
        <row r="34">
          <cell r="D34">
            <v>40422</v>
          </cell>
          <cell r="E34">
            <v>19.345158044166659</v>
          </cell>
        </row>
        <row r="35">
          <cell r="D35">
            <v>40452</v>
          </cell>
          <cell r="E35">
            <v>20.289288043333325</v>
          </cell>
        </row>
        <row r="36">
          <cell r="D36">
            <v>40483</v>
          </cell>
          <cell r="E36">
            <v>21.74073899166666</v>
          </cell>
        </row>
        <row r="37">
          <cell r="D37">
            <v>40513</v>
          </cell>
          <cell r="E37">
            <v>22.31157501416666</v>
          </cell>
        </row>
        <row r="38">
          <cell r="D38">
            <v>40544</v>
          </cell>
          <cell r="E38">
            <v>23.71154666499999</v>
          </cell>
        </row>
        <row r="39">
          <cell r="D39">
            <v>40575</v>
          </cell>
          <cell r="E39">
            <v>24.685472419999993</v>
          </cell>
        </row>
        <row r="40">
          <cell r="D40">
            <v>40603</v>
          </cell>
          <cell r="E40">
            <v>27.096483214999992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33.780108429999991</v>
          </cell>
        </row>
        <row r="43">
          <cell r="D43">
            <v>40695</v>
          </cell>
          <cell r="E43">
            <v>33.289549450833327</v>
          </cell>
        </row>
        <row r="44">
          <cell r="D44">
            <v>40725</v>
          </cell>
          <cell r="E44">
            <v>34.64367708999999</v>
          </cell>
        </row>
        <row r="45">
          <cell r="D45">
            <v>40756</v>
          </cell>
          <cell r="E45">
            <v>35.259097894999996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35.532377985833342</v>
          </cell>
        </row>
        <row r="50">
          <cell r="D50">
            <v>40909</v>
          </cell>
          <cell r="E50">
            <v>35.242371815833337</v>
          </cell>
        </row>
        <row r="51">
          <cell r="D51">
            <v>40940</v>
          </cell>
          <cell r="E51">
            <v>36.331476731666676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28.173274596666676</v>
          </cell>
        </row>
        <row r="54">
          <cell r="D54">
            <v>41030</v>
          </cell>
          <cell r="E54">
            <v>27.143898666666672</v>
          </cell>
        </row>
        <row r="55">
          <cell r="D55">
            <v>41061</v>
          </cell>
          <cell r="E55">
            <v>26.372222715000007</v>
          </cell>
        </row>
        <row r="56">
          <cell r="D56">
            <v>41091</v>
          </cell>
          <cell r="E56">
            <v>25.706296425833344</v>
          </cell>
        </row>
        <row r="57">
          <cell r="D57">
            <v>41122</v>
          </cell>
          <cell r="E57">
            <v>24.726852612500011</v>
          </cell>
        </row>
        <row r="58">
          <cell r="D58">
            <v>41153</v>
          </cell>
          <cell r="E58">
            <v>23.818623981666665</v>
          </cell>
        </row>
        <row r="59">
          <cell r="D59">
            <v>41183</v>
          </cell>
          <cell r="E59">
            <v>23.10250150333334</v>
          </cell>
        </row>
        <row r="60">
          <cell r="D60">
            <v>41214</v>
          </cell>
          <cell r="E60">
            <v>22.388636439166671</v>
          </cell>
        </row>
        <row r="61">
          <cell r="D61">
            <v>41244</v>
          </cell>
          <cell r="E61">
            <v>21.484530741666674</v>
          </cell>
        </row>
        <row r="62">
          <cell r="D62">
            <v>41275</v>
          </cell>
          <cell r="E62">
            <v>20.504876534166673</v>
          </cell>
        </row>
        <row r="63">
          <cell r="D63">
            <v>41306</v>
          </cell>
          <cell r="E63">
            <v>19.70408981333334</v>
          </cell>
        </row>
        <row r="64">
          <cell r="D64">
            <v>41334</v>
          </cell>
          <cell r="E64">
            <v>18.726756197500006</v>
          </cell>
        </row>
        <row r="65">
          <cell r="D65">
            <v>41365</v>
          </cell>
          <cell r="E65">
            <v>19.054497997500008</v>
          </cell>
        </row>
        <row r="66">
          <cell r="D66">
            <v>41395</v>
          </cell>
          <cell r="E66">
            <v>19.094207334166672</v>
          </cell>
        </row>
        <row r="67">
          <cell r="D67">
            <v>41426</v>
          </cell>
          <cell r="E67">
            <v>19.394601308333339</v>
          </cell>
        </row>
        <row r="68">
          <cell r="D68">
            <v>41456</v>
          </cell>
          <cell r="E68">
            <v>18.975440170000009</v>
          </cell>
        </row>
        <row r="69">
          <cell r="D69">
            <v>41487</v>
          </cell>
          <cell r="E69">
            <v>19.441251019166675</v>
          </cell>
        </row>
      </sheetData>
      <sheetData sheetId="2">
        <row r="20">
          <cell r="D20">
            <v>39995</v>
          </cell>
        </row>
        <row r="21">
          <cell r="D21">
            <v>40026</v>
          </cell>
          <cell r="E21">
            <v>241.47630257416685</v>
          </cell>
        </row>
        <row r="22">
          <cell r="D22">
            <v>40057</v>
          </cell>
          <cell r="E22">
            <v>240.93892796583347</v>
          </cell>
        </row>
        <row r="23">
          <cell r="D23">
            <v>40087</v>
          </cell>
          <cell r="E23">
            <v>227.22263859249998</v>
          </cell>
        </row>
        <row r="24">
          <cell r="D24">
            <v>40118</v>
          </cell>
          <cell r="E24">
            <v>222.96309927666684</v>
          </cell>
        </row>
        <row r="25">
          <cell r="D25">
            <v>40148</v>
          </cell>
          <cell r="E25">
            <v>217.37634405833342</v>
          </cell>
        </row>
        <row r="26">
          <cell r="D26">
            <v>40179</v>
          </cell>
          <cell r="E26">
            <v>213.39716220083344</v>
          </cell>
        </row>
        <row r="27">
          <cell r="D27">
            <v>40210</v>
          </cell>
          <cell r="E27">
            <v>211.21225671666681</v>
          </cell>
        </row>
        <row r="28">
          <cell r="D28">
            <v>40238</v>
          </cell>
          <cell r="E28">
            <v>214.06997659250007</v>
          </cell>
        </row>
        <row r="29">
          <cell r="D29">
            <v>40269</v>
          </cell>
          <cell r="E29">
            <v>215.60394567583353</v>
          </cell>
        </row>
        <row r="30">
          <cell r="D30">
            <v>40299</v>
          </cell>
          <cell r="E30">
            <v>222.05830228416679</v>
          </cell>
        </row>
        <row r="31">
          <cell r="D31">
            <v>40330</v>
          </cell>
          <cell r="E31">
            <v>220.09948250583352</v>
          </cell>
        </row>
        <row r="32">
          <cell r="D32">
            <v>40360</v>
          </cell>
          <cell r="E32">
            <v>217.43508030250018</v>
          </cell>
        </row>
        <row r="33">
          <cell r="D33">
            <v>40391</v>
          </cell>
          <cell r="E33">
            <v>218.12380312416681</v>
          </cell>
        </row>
        <row r="34">
          <cell r="D34">
            <v>40422</v>
          </cell>
          <cell r="E34">
            <v>219.47391624416687</v>
          </cell>
        </row>
        <row r="35">
          <cell r="D35">
            <v>40452</v>
          </cell>
          <cell r="E35">
            <v>221.20253951500013</v>
          </cell>
        </row>
        <row r="36">
          <cell r="D36">
            <v>40483</v>
          </cell>
          <cell r="E36">
            <v>220.51810704166681</v>
          </cell>
        </row>
        <row r="37">
          <cell r="D37">
            <v>40513</v>
          </cell>
          <cell r="E37">
            <v>223.10869505500011</v>
          </cell>
        </row>
        <row r="38">
          <cell r="D38">
            <v>40544</v>
          </cell>
          <cell r="E38">
            <v>226.46087539333348</v>
          </cell>
        </row>
        <row r="39">
          <cell r="D39">
            <v>40575</v>
          </cell>
          <cell r="E39">
            <v>229.04571724500002</v>
          </cell>
        </row>
        <row r="40">
          <cell r="D40">
            <v>40603</v>
          </cell>
          <cell r="E40">
            <v>234.12973090333335</v>
          </cell>
        </row>
        <row r="41">
          <cell r="D41">
            <v>40634</v>
          </cell>
          <cell r="E41">
            <v>237.59742194083324</v>
          </cell>
        </row>
        <row r="42">
          <cell r="D42">
            <v>40664</v>
          </cell>
          <cell r="E42">
            <v>229.41205852166661</v>
          </cell>
        </row>
        <row r="43">
          <cell r="D43">
            <v>40695</v>
          </cell>
          <cell r="E43">
            <v>235.1764394741665</v>
          </cell>
        </row>
        <row r="44">
          <cell r="D44">
            <v>40725</v>
          </cell>
          <cell r="E44">
            <v>241.29165256749982</v>
          </cell>
        </row>
        <row r="45">
          <cell r="D45">
            <v>40756</v>
          </cell>
          <cell r="E45">
            <v>248.96185982499989</v>
          </cell>
        </row>
        <row r="46">
          <cell r="D46">
            <v>40787</v>
          </cell>
          <cell r="E46">
            <v>247.41316391249987</v>
          </cell>
        </row>
        <row r="47">
          <cell r="D47">
            <v>40817</v>
          </cell>
          <cell r="E47">
            <v>248.27907602083326</v>
          </cell>
        </row>
        <row r="48">
          <cell r="D48">
            <v>40848</v>
          </cell>
          <cell r="E48">
            <v>257.81305260583304</v>
          </cell>
        </row>
        <row r="49">
          <cell r="D49">
            <v>40878</v>
          </cell>
          <cell r="E49">
            <v>276.32690657666643</v>
          </cell>
        </row>
        <row r="50">
          <cell r="D50">
            <v>40909</v>
          </cell>
          <cell r="E50">
            <v>279.0199034274998</v>
          </cell>
        </row>
        <row r="51">
          <cell r="D51">
            <v>40940</v>
          </cell>
          <cell r="E51">
            <v>280.14962178333332</v>
          </cell>
        </row>
        <row r="52">
          <cell r="D52">
            <v>40969</v>
          </cell>
          <cell r="E52">
            <v>276.89147392083333</v>
          </cell>
        </row>
        <row r="53">
          <cell r="D53">
            <v>41000</v>
          </cell>
          <cell r="E53">
            <v>273.83867526666671</v>
          </cell>
        </row>
        <row r="54">
          <cell r="D54">
            <v>41030</v>
          </cell>
          <cell r="E54">
            <v>278.31266057333352</v>
          </cell>
        </row>
        <row r="55">
          <cell r="D55">
            <v>41061</v>
          </cell>
          <cell r="E55">
            <v>275.43099280666678</v>
          </cell>
        </row>
        <row r="56">
          <cell r="D56">
            <v>41091</v>
          </cell>
          <cell r="E56">
            <v>279.00964706500019</v>
          </cell>
        </row>
        <row r="57">
          <cell r="D57">
            <v>41122</v>
          </cell>
          <cell r="E57">
            <v>275.81924950750005</v>
          </cell>
        </row>
        <row r="58">
          <cell r="D58">
            <v>41153</v>
          </cell>
          <cell r="E58">
            <v>276.67901396666667</v>
          </cell>
        </row>
        <row r="59">
          <cell r="D59">
            <v>41183</v>
          </cell>
          <cell r="E59">
            <v>277.75690878749992</v>
          </cell>
        </row>
        <row r="60">
          <cell r="D60">
            <v>41214</v>
          </cell>
          <cell r="E60">
            <v>272.43832830083346</v>
          </cell>
        </row>
        <row r="61">
          <cell r="D61">
            <v>41244</v>
          </cell>
          <cell r="E61">
            <v>252.66567818833335</v>
          </cell>
        </row>
        <row r="62">
          <cell r="D62">
            <v>41275</v>
          </cell>
          <cell r="E62">
            <v>249.37673402166658</v>
          </cell>
        </row>
        <row r="63">
          <cell r="D63">
            <v>41306</v>
          </cell>
          <cell r="E63">
            <v>247.04557590499982</v>
          </cell>
        </row>
        <row r="64">
          <cell r="D64">
            <v>41334</v>
          </cell>
          <cell r="E64">
            <v>243.68281231583322</v>
          </cell>
        </row>
        <row r="65">
          <cell r="D65">
            <v>41365</v>
          </cell>
          <cell r="E65">
            <v>251.38206481916654</v>
          </cell>
        </row>
        <row r="66">
          <cell r="D66">
            <v>41395</v>
          </cell>
          <cell r="E66">
            <v>252.74372325083314</v>
          </cell>
        </row>
        <row r="67">
          <cell r="D67">
            <v>41426</v>
          </cell>
          <cell r="E67">
            <v>254.88345305416655</v>
          </cell>
        </row>
        <row r="68">
          <cell r="D68">
            <v>41456</v>
          </cell>
          <cell r="E68">
            <v>251.93413394249981</v>
          </cell>
        </row>
        <row r="69">
          <cell r="D69">
            <v>41487</v>
          </cell>
          <cell r="E69">
            <v>249.33293857083311</v>
          </cell>
        </row>
      </sheetData>
      <sheetData sheetId="3">
        <row r="20">
          <cell r="D20">
            <v>39995</v>
          </cell>
        </row>
        <row r="21">
          <cell r="D21">
            <v>40026</v>
          </cell>
          <cell r="E21">
            <v>30.17648667666667</v>
          </cell>
        </row>
        <row r="22">
          <cell r="D22">
            <v>40057</v>
          </cell>
          <cell r="E22">
            <v>31.927254866666672</v>
          </cell>
        </row>
        <row r="23">
          <cell r="D23">
            <v>40087</v>
          </cell>
          <cell r="E23">
            <v>32.142074760833331</v>
          </cell>
        </row>
        <row r="24">
          <cell r="D24">
            <v>40118</v>
          </cell>
          <cell r="E24">
            <v>34.873955625000001</v>
          </cell>
        </row>
        <row r="25">
          <cell r="D25">
            <v>40148</v>
          </cell>
          <cell r="E25">
            <v>36.543608190833339</v>
          </cell>
        </row>
        <row r="26">
          <cell r="D26">
            <v>40179</v>
          </cell>
          <cell r="E26">
            <v>36.323219085000012</v>
          </cell>
        </row>
        <row r="27">
          <cell r="D27">
            <v>40210</v>
          </cell>
          <cell r="E27">
            <v>36.623110281666676</v>
          </cell>
        </row>
        <row r="28">
          <cell r="D28">
            <v>40238</v>
          </cell>
          <cell r="E28">
            <v>38.425524970833344</v>
          </cell>
        </row>
        <row r="29">
          <cell r="D29">
            <v>40269</v>
          </cell>
          <cell r="E29">
            <v>38.062163390000016</v>
          </cell>
        </row>
        <row r="30">
          <cell r="D30">
            <v>40299</v>
          </cell>
          <cell r="E30">
            <v>43.191294315000029</v>
          </cell>
        </row>
        <row r="31">
          <cell r="D31">
            <v>40330</v>
          </cell>
          <cell r="E31">
            <v>43.811088802500031</v>
          </cell>
        </row>
        <row r="32">
          <cell r="D32">
            <v>40360</v>
          </cell>
          <cell r="E32">
            <v>43.730648719166687</v>
          </cell>
        </row>
        <row r="33">
          <cell r="D33">
            <v>40391</v>
          </cell>
          <cell r="E33">
            <v>45.832287762500023</v>
          </cell>
        </row>
        <row r="34">
          <cell r="D34">
            <v>40422</v>
          </cell>
          <cell r="E34">
            <v>47.036727987500022</v>
          </cell>
        </row>
        <row r="35">
          <cell r="D35">
            <v>40452</v>
          </cell>
          <cell r="E35">
            <v>48.134240323333351</v>
          </cell>
        </row>
        <row r="36">
          <cell r="D36">
            <v>40483</v>
          </cell>
          <cell r="E36">
            <v>50.220753455833353</v>
          </cell>
        </row>
        <row r="37">
          <cell r="D37">
            <v>40513</v>
          </cell>
          <cell r="E37">
            <v>55.348200825833352</v>
          </cell>
        </row>
        <row r="38">
          <cell r="D38">
            <v>40544</v>
          </cell>
          <cell r="E38">
            <v>58.75539699833336</v>
          </cell>
        </row>
        <row r="39">
          <cell r="D39">
            <v>40575</v>
          </cell>
          <cell r="E39">
            <v>62.452236305000049</v>
          </cell>
        </row>
        <row r="40">
          <cell r="D40">
            <v>40603</v>
          </cell>
          <cell r="E40">
            <v>66.874802830833389</v>
          </cell>
        </row>
        <row r="41">
          <cell r="D41">
            <v>40634</v>
          </cell>
          <cell r="E41">
            <v>72.932631028333375</v>
          </cell>
        </row>
        <row r="42">
          <cell r="D42">
            <v>40664</v>
          </cell>
          <cell r="E42">
            <v>73.133428315000018</v>
          </cell>
        </row>
        <row r="43">
          <cell r="D43">
            <v>40695</v>
          </cell>
          <cell r="E43">
            <v>76.682555970000024</v>
          </cell>
        </row>
        <row r="44">
          <cell r="D44">
            <v>40725</v>
          </cell>
          <cell r="E44">
            <v>79.904317990000024</v>
          </cell>
        </row>
        <row r="45">
          <cell r="D45">
            <v>40756</v>
          </cell>
          <cell r="E45">
            <v>81.576675826666687</v>
          </cell>
        </row>
        <row r="46">
          <cell r="D46">
            <v>40787</v>
          </cell>
          <cell r="E46">
            <v>81.006768581666691</v>
          </cell>
        </row>
        <row r="47">
          <cell r="D47">
            <v>40817</v>
          </cell>
          <cell r="E47">
            <v>82.106277093333347</v>
          </cell>
        </row>
        <row r="48">
          <cell r="D48">
            <v>40848</v>
          </cell>
          <cell r="E48">
            <v>81.791566984999989</v>
          </cell>
        </row>
        <row r="49">
          <cell r="D49">
            <v>40878</v>
          </cell>
          <cell r="E49">
            <v>77.608592742500008</v>
          </cell>
        </row>
        <row r="50">
          <cell r="D50">
            <v>40909</v>
          </cell>
          <cell r="E50">
            <v>79.82459984166664</v>
          </cell>
        </row>
        <row r="51">
          <cell r="D51">
            <v>40940</v>
          </cell>
          <cell r="E51">
            <v>79.413890433333293</v>
          </cell>
        </row>
        <row r="52">
          <cell r="D52">
            <v>40969</v>
          </cell>
          <cell r="E52">
            <v>80.314665188333308</v>
          </cell>
        </row>
        <row r="53">
          <cell r="D53">
            <v>41000</v>
          </cell>
          <cell r="E53">
            <v>75.884952464999969</v>
          </cell>
        </row>
        <row r="54">
          <cell r="D54">
            <v>41030</v>
          </cell>
          <cell r="E54">
            <v>74.449964254166645</v>
          </cell>
        </row>
        <row r="55">
          <cell r="D55">
            <v>41061</v>
          </cell>
          <cell r="E55">
            <v>71.467577919166658</v>
          </cell>
        </row>
        <row r="56">
          <cell r="D56">
            <v>41091</v>
          </cell>
          <cell r="E56">
            <v>74.465155979999992</v>
          </cell>
        </row>
        <row r="57">
          <cell r="D57">
            <v>41122</v>
          </cell>
          <cell r="E57">
            <v>73.478533960833346</v>
          </cell>
        </row>
        <row r="58">
          <cell r="D58">
            <v>41153</v>
          </cell>
          <cell r="E58">
            <v>74.114920097500004</v>
          </cell>
        </row>
        <row r="59">
          <cell r="D59">
            <v>41183</v>
          </cell>
          <cell r="E59">
            <v>73.298161381666674</v>
          </cell>
        </row>
        <row r="60">
          <cell r="D60">
            <v>41214</v>
          </cell>
          <cell r="E60">
            <v>72.444113673333376</v>
          </cell>
        </row>
        <row r="61">
          <cell r="D61">
            <v>41244</v>
          </cell>
          <cell r="E61">
            <v>71.563326016666693</v>
          </cell>
        </row>
        <row r="62">
          <cell r="D62">
            <v>41275</v>
          </cell>
          <cell r="E62">
            <v>67.212181382500049</v>
          </cell>
        </row>
        <row r="63">
          <cell r="D63">
            <v>41306</v>
          </cell>
          <cell r="E63">
            <v>65.863617006666701</v>
          </cell>
        </row>
        <row r="64">
          <cell r="D64">
            <v>41334</v>
          </cell>
          <cell r="E64">
            <v>63.811366664166691</v>
          </cell>
        </row>
        <row r="65">
          <cell r="D65">
            <v>41365</v>
          </cell>
          <cell r="E65">
            <v>68.932848668333349</v>
          </cell>
        </row>
        <row r="66">
          <cell r="D66">
            <v>41395</v>
          </cell>
          <cell r="E66">
            <v>71.45296297500002</v>
          </cell>
        </row>
        <row r="67">
          <cell r="D67">
            <v>41426</v>
          </cell>
          <cell r="E67">
            <v>74.732181721666691</v>
          </cell>
        </row>
        <row r="68">
          <cell r="D68">
            <v>41456</v>
          </cell>
          <cell r="E68">
            <v>72.529730692500024</v>
          </cell>
        </row>
        <row r="69">
          <cell r="D69">
            <v>41487</v>
          </cell>
          <cell r="E69">
            <v>73.502993032500029</v>
          </cell>
        </row>
      </sheetData>
      <sheetData sheetId="4">
        <row r="20">
          <cell r="D20">
            <v>39995</v>
          </cell>
        </row>
        <row r="21">
          <cell r="D21">
            <v>40026</v>
          </cell>
          <cell r="E21">
            <v>227.01128770749997</v>
          </cell>
        </row>
        <row r="22">
          <cell r="D22">
            <v>40057</v>
          </cell>
          <cell r="E22">
            <v>223.36983941083335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</v>
          </cell>
        </row>
        <row r="25">
          <cell r="D25">
            <v>40148</v>
          </cell>
          <cell r="E25">
            <v>193.19845372083333</v>
          </cell>
        </row>
        <row r="26">
          <cell r="D26">
            <v>40179</v>
          </cell>
          <cell r="E26">
            <v>188.13769037999998</v>
          </cell>
        </row>
        <row r="27">
          <cell r="D27">
            <v>40210</v>
          </cell>
          <cell r="E27">
            <v>184.42061757666667</v>
          </cell>
        </row>
        <row r="28">
          <cell r="D28">
            <v>40238</v>
          </cell>
          <cell r="E28">
            <v>184.59187256666667</v>
          </cell>
        </row>
        <row r="29">
          <cell r="D29">
            <v>40269</v>
          </cell>
          <cell r="E29">
            <v>185.18837420833333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185.282880245</v>
          </cell>
        </row>
        <row r="32">
          <cell r="D32">
            <v>40360</v>
          </cell>
          <cell r="E32">
            <v>182.759274315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182.52998658499996</v>
          </cell>
        </row>
        <row r="35">
          <cell r="D35">
            <v>40452</v>
          </cell>
          <cell r="E35">
            <v>184.15243227583332</v>
          </cell>
        </row>
        <row r="36">
          <cell r="D36">
            <v>40483</v>
          </cell>
          <cell r="E36">
            <v>182.72735506166669</v>
          </cell>
        </row>
        <row r="37">
          <cell r="D37">
            <v>40513</v>
          </cell>
          <cell r="E37">
            <v>180.97429979250001</v>
          </cell>
        </row>
        <row r="38">
          <cell r="D38">
            <v>40544</v>
          </cell>
          <cell r="E38">
            <v>182.14580265166671</v>
          </cell>
        </row>
        <row r="39">
          <cell r="D39">
            <v>40575</v>
          </cell>
          <cell r="E39">
            <v>181.93197078750003</v>
          </cell>
        </row>
        <row r="40">
          <cell r="D40">
            <v>40603</v>
          </cell>
          <cell r="E40">
            <v>185.26938361500007</v>
          </cell>
        </row>
        <row r="41">
          <cell r="D41">
            <v>40634</v>
          </cell>
          <cell r="E41">
            <v>188.53122097833341</v>
          </cell>
        </row>
        <row r="42">
          <cell r="D42">
            <v>40664</v>
          </cell>
          <cell r="E42">
            <v>180.89320066000008</v>
          </cell>
        </row>
        <row r="43">
          <cell r="D43">
            <v>40695</v>
          </cell>
          <cell r="E43">
            <v>182.3074961591667</v>
          </cell>
        </row>
        <row r="44">
          <cell r="D44">
            <v>40725</v>
          </cell>
          <cell r="E44">
            <v>186.61012555916673</v>
          </cell>
        </row>
        <row r="45">
          <cell r="D45">
            <v>40756</v>
          </cell>
          <cell r="E45">
            <v>192.82355423916673</v>
          </cell>
        </row>
        <row r="46">
          <cell r="D46">
            <v>40787</v>
          </cell>
          <cell r="E46">
            <v>192.35859421333342</v>
          </cell>
        </row>
        <row r="47">
          <cell r="D47">
            <v>40817</v>
          </cell>
          <cell r="E47">
            <v>192.12113945666678</v>
          </cell>
        </row>
        <row r="48">
          <cell r="D48">
            <v>40848</v>
          </cell>
          <cell r="E48">
            <v>201.41335793083348</v>
          </cell>
        </row>
        <row r="49">
          <cell r="D49">
            <v>40878</v>
          </cell>
          <cell r="E49">
            <v>223.88103794000008</v>
          </cell>
        </row>
        <row r="50">
          <cell r="D50">
            <v>40909</v>
          </cell>
          <cell r="E50">
            <v>224.11152710166672</v>
          </cell>
        </row>
        <row r="51">
          <cell r="D51">
            <v>40940</v>
          </cell>
          <cell r="E51">
            <v>226.75323798583338</v>
          </cell>
        </row>
        <row r="52">
          <cell r="D52">
            <v>40969</v>
          </cell>
          <cell r="E52">
            <v>220.55312363749997</v>
          </cell>
        </row>
        <row r="53">
          <cell r="D53">
            <v>41000</v>
          </cell>
          <cell r="E53">
            <v>216.08296578916665</v>
          </cell>
        </row>
        <row r="54">
          <cell r="D54">
            <v>41030</v>
          </cell>
          <cell r="E54">
            <v>221.04941336833338</v>
          </cell>
        </row>
        <row r="55">
          <cell r="D55">
            <v>41061</v>
          </cell>
          <cell r="E55">
            <v>220.58556809416675</v>
          </cell>
        </row>
        <row r="56">
          <cell r="D56">
            <v>41091</v>
          </cell>
          <cell r="E56">
            <v>220.51972388750005</v>
          </cell>
        </row>
        <row r="57">
          <cell r="D57">
            <v>41122</v>
          </cell>
          <cell r="E57">
            <v>217.48744934250001</v>
          </cell>
        </row>
        <row r="58">
          <cell r="D58">
            <v>41153</v>
          </cell>
          <cell r="E58">
            <v>216.67346741666674</v>
          </cell>
        </row>
        <row r="59">
          <cell r="D59">
            <v>41183</v>
          </cell>
          <cell r="E59">
            <v>217.8689935033334</v>
          </cell>
        </row>
        <row r="60">
          <cell r="D60">
            <v>41214</v>
          </cell>
          <cell r="E60">
            <v>212.62615322833338</v>
          </cell>
        </row>
        <row r="61">
          <cell r="D61">
            <v>41244</v>
          </cell>
          <cell r="E61">
            <v>193.09092680250009</v>
          </cell>
        </row>
        <row r="62">
          <cell r="D62">
            <v>41275</v>
          </cell>
          <cell r="E62">
            <v>193.06885598416673</v>
          </cell>
        </row>
        <row r="63">
          <cell r="D63">
            <v>41306</v>
          </cell>
          <cell r="E63">
            <v>191.33287469333342</v>
          </cell>
        </row>
        <row r="64">
          <cell r="D64">
            <v>41334</v>
          </cell>
          <cell r="E64">
            <v>189.35911276250008</v>
          </cell>
        </row>
        <row r="65">
          <cell r="D65">
            <v>41365</v>
          </cell>
          <cell r="E65">
            <v>192.26698905666672</v>
          </cell>
        </row>
        <row r="66">
          <cell r="D66">
            <v>41395</v>
          </cell>
          <cell r="E66">
            <v>191.39660760250004</v>
          </cell>
        </row>
        <row r="67">
          <cell r="D67">
            <v>41426</v>
          </cell>
          <cell r="E67">
            <v>190.79293236916669</v>
          </cell>
        </row>
        <row r="68">
          <cell r="D68">
            <v>41456</v>
          </cell>
          <cell r="E68">
            <v>189.45377507583336</v>
          </cell>
        </row>
        <row r="69">
          <cell r="D69">
            <v>41487</v>
          </cell>
          <cell r="E69">
            <v>186.70915691083334</v>
          </cell>
        </row>
      </sheetData>
      <sheetData sheetId="5">
        <row r="20">
          <cell r="D20">
            <v>39995</v>
          </cell>
        </row>
        <row r="21">
          <cell r="D21">
            <v>40026</v>
          </cell>
          <cell r="E21">
            <v>35.299703333333341</v>
          </cell>
        </row>
        <row r="22">
          <cell r="D22">
            <v>40057</v>
          </cell>
          <cell r="E22">
            <v>34.824286493333339</v>
          </cell>
        </row>
        <row r="23">
          <cell r="D23">
            <v>40087</v>
          </cell>
          <cell r="E23">
            <v>32.243557485000004</v>
          </cell>
        </row>
        <row r="24">
          <cell r="D24">
            <v>40118</v>
          </cell>
          <cell r="E24">
            <v>31.53546718583334</v>
          </cell>
        </row>
        <row r="25">
          <cell r="D25">
            <v>40148</v>
          </cell>
          <cell r="E25">
            <v>30.296471960000002</v>
          </cell>
        </row>
        <row r="26">
          <cell r="D26">
            <v>40179</v>
          </cell>
          <cell r="E26">
            <v>29.148520721666667</v>
          </cell>
        </row>
        <row r="27">
          <cell r="D27">
            <v>40210</v>
          </cell>
          <cell r="E27">
            <v>28.26169859916666</v>
          </cell>
        </row>
        <row r="28">
          <cell r="D28">
            <v>40238</v>
          </cell>
          <cell r="E28">
            <v>27.870889724999994</v>
          </cell>
        </row>
        <row r="29">
          <cell r="D29">
            <v>40269</v>
          </cell>
          <cell r="E29">
            <v>28.270781442499992</v>
          </cell>
        </row>
        <row r="30">
          <cell r="D30">
            <v>40299</v>
          </cell>
          <cell r="E30">
            <v>28.646178166666655</v>
          </cell>
        </row>
        <row r="31">
          <cell r="D31">
            <v>40330</v>
          </cell>
          <cell r="E31">
            <v>29.329239820833326</v>
          </cell>
        </row>
        <row r="32">
          <cell r="D32">
            <v>40360</v>
          </cell>
          <cell r="E32">
            <v>29.200958909166662</v>
          </cell>
        </row>
        <row r="33">
          <cell r="D33">
            <v>40391</v>
          </cell>
          <cell r="E33">
            <v>28.765130392499994</v>
          </cell>
        </row>
        <row r="34">
          <cell r="D34">
            <v>40422</v>
          </cell>
          <cell r="E34">
            <v>28.302321001666659</v>
          </cell>
        </row>
        <row r="35">
          <cell r="D35">
            <v>40452</v>
          </cell>
          <cell r="E35">
            <v>28.680464632499994</v>
          </cell>
        </row>
        <row r="36">
          <cell r="D36">
            <v>40483</v>
          </cell>
          <cell r="E36">
            <v>28.484022091666663</v>
          </cell>
        </row>
        <row r="37">
          <cell r="D37">
            <v>40513</v>
          </cell>
          <cell r="E37">
            <v>28.34190099833333</v>
          </cell>
        </row>
        <row r="38">
          <cell r="D38">
            <v>40544</v>
          </cell>
          <cell r="E38">
            <v>28.370073045833323</v>
          </cell>
        </row>
        <row r="39">
          <cell r="D39">
            <v>40575</v>
          </cell>
          <cell r="E39">
            <v>27.874724496666669</v>
          </cell>
        </row>
        <row r="40">
          <cell r="D40">
            <v>40603</v>
          </cell>
          <cell r="E40">
            <v>28.051319377499997</v>
          </cell>
        </row>
        <row r="41">
          <cell r="D41">
            <v>40634</v>
          </cell>
          <cell r="E41">
            <v>32.195589215833337</v>
          </cell>
        </row>
        <row r="42">
          <cell r="D42">
            <v>40664</v>
          </cell>
          <cell r="E42">
            <v>31.961964322499998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33.801584639166663</v>
          </cell>
        </row>
        <row r="45">
          <cell r="D45">
            <v>40756</v>
          </cell>
          <cell r="E45">
            <v>34.883206586666653</v>
          </cell>
        </row>
        <row r="46">
          <cell r="D46">
            <v>40787</v>
          </cell>
          <cell r="E46">
            <v>35.510729514999994</v>
          </cell>
        </row>
        <row r="47">
          <cell r="D47">
            <v>40817</v>
          </cell>
          <cell r="E47">
            <v>35.275519754999991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36.352732057499999</v>
          </cell>
        </row>
        <row r="50">
          <cell r="D50">
            <v>40909</v>
          </cell>
          <cell r="E50">
            <v>37.301163548333328</v>
          </cell>
        </row>
        <row r="51">
          <cell r="D51">
            <v>40940</v>
          </cell>
          <cell r="E51">
            <v>38.747981721666662</v>
          </cell>
        </row>
        <row r="52">
          <cell r="D52">
            <v>40969</v>
          </cell>
          <cell r="E52">
            <v>39.184753581666662</v>
          </cell>
        </row>
        <row r="53">
          <cell r="D53">
            <v>41000</v>
          </cell>
          <cell r="E53">
            <v>35.324827204999998</v>
          </cell>
        </row>
        <row r="54">
          <cell r="D54">
            <v>41030</v>
          </cell>
          <cell r="E54">
            <v>36.179057161666655</v>
          </cell>
        </row>
        <row r="55">
          <cell r="D55">
            <v>41061</v>
          </cell>
          <cell r="E55">
            <v>36.21211937333333</v>
          </cell>
        </row>
        <row r="56">
          <cell r="D56">
            <v>41091</v>
          </cell>
          <cell r="E56">
            <v>36.151838674999986</v>
          </cell>
        </row>
        <row r="57">
          <cell r="D57">
            <v>41122</v>
          </cell>
          <cell r="E57">
            <v>36.765992202500001</v>
          </cell>
        </row>
        <row r="58">
          <cell r="D58">
            <v>41153</v>
          </cell>
          <cell r="E58">
            <v>37.105815966666668</v>
          </cell>
        </row>
        <row r="59">
          <cell r="D59">
            <v>41183</v>
          </cell>
          <cell r="E59">
            <v>37.875017677500004</v>
          </cell>
        </row>
        <row r="60">
          <cell r="D60">
            <v>41214</v>
          </cell>
          <cell r="E60">
            <v>38.474255476666663</v>
          </cell>
        </row>
        <row r="61">
          <cell r="D61">
            <v>41244</v>
          </cell>
          <cell r="E61">
            <v>39.415483378333342</v>
          </cell>
        </row>
        <row r="62">
          <cell r="D62">
            <v>41275</v>
          </cell>
          <cell r="E62">
            <v>39.481642555000001</v>
          </cell>
        </row>
        <row r="63">
          <cell r="D63">
            <v>41306</v>
          </cell>
          <cell r="E63">
            <v>39.659771574166662</v>
          </cell>
        </row>
        <row r="64">
          <cell r="D64">
            <v>41334</v>
          </cell>
          <cell r="E64">
            <v>38.88164641416666</v>
          </cell>
        </row>
        <row r="65">
          <cell r="D65">
            <v>41365</v>
          </cell>
          <cell r="E65">
            <v>39.468955145833327</v>
          </cell>
        </row>
        <row r="66">
          <cell r="D66">
            <v>41395</v>
          </cell>
          <cell r="E66">
            <v>39.368340936666662</v>
          </cell>
        </row>
        <row r="67">
          <cell r="D67">
            <v>41426</v>
          </cell>
          <cell r="E67">
            <v>38.949781368333326</v>
          </cell>
        </row>
        <row r="68">
          <cell r="D68">
            <v>41456</v>
          </cell>
          <cell r="E68">
            <v>38.739164536666657</v>
          </cell>
        </row>
        <row r="69">
          <cell r="D69">
            <v>41487</v>
          </cell>
          <cell r="E69">
            <v>37.998563467499984</v>
          </cell>
        </row>
      </sheetData>
      <sheetData sheetId="6">
        <row r="20">
          <cell r="D20">
            <v>39995</v>
          </cell>
        </row>
        <row r="21">
          <cell r="D21">
            <v>40026</v>
          </cell>
          <cell r="E21">
            <v>83.250806505833296</v>
          </cell>
        </row>
        <row r="22">
          <cell r="D22">
            <v>40057</v>
          </cell>
          <cell r="E22">
            <v>81.052007452499993</v>
          </cell>
        </row>
        <row r="23">
          <cell r="D23">
            <v>40087</v>
          </cell>
          <cell r="E23">
            <v>73.776467886666637</v>
          </cell>
        </row>
        <row r="24">
          <cell r="D24">
            <v>40118</v>
          </cell>
          <cell r="E24">
            <v>69.054416789166623</v>
          </cell>
        </row>
        <row r="25">
          <cell r="D25">
            <v>40148</v>
          </cell>
          <cell r="E25">
            <v>65.094994756666651</v>
          </cell>
        </row>
        <row r="26">
          <cell r="D26">
            <v>40179</v>
          </cell>
          <cell r="E26">
            <v>62.869302660833313</v>
          </cell>
        </row>
        <row r="27">
          <cell r="D27">
            <v>40210</v>
          </cell>
          <cell r="E27">
            <v>61.405341583333332</v>
          </cell>
        </row>
        <row r="28">
          <cell r="D28">
            <v>40238</v>
          </cell>
          <cell r="E28">
            <v>60.307972048333305</v>
          </cell>
        </row>
        <row r="29">
          <cell r="D29">
            <v>40269</v>
          </cell>
          <cell r="E29">
            <v>60.569731233333293</v>
          </cell>
        </row>
        <row r="30">
          <cell r="D30">
            <v>40299</v>
          </cell>
          <cell r="E30">
            <v>57.603122200833305</v>
          </cell>
        </row>
        <row r="31">
          <cell r="D31">
            <v>40330</v>
          </cell>
          <cell r="E31">
            <v>55.611733357499979</v>
          </cell>
        </row>
        <row r="32">
          <cell r="D32">
            <v>40360</v>
          </cell>
          <cell r="E32">
            <v>55.573205934166651</v>
          </cell>
        </row>
        <row r="33">
          <cell r="D33">
            <v>40391</v>
          </cell>
          <cell r="E33">
            <v>55.568932989999979</v>
          </cell>
        </row>
        <row r="34">
          <cell r="D34">
            <v>40422</v>
          </cell>
          <cell r="E34">
            <v>56.0357246208333</v>
          </cell>
        </row>
        <row r="35">
          <cell r="D35">
            <v>40452</v>
          </cell>
          <cell r="E35">
            <v>56.516551564999965</v>
          </cell>
        </row>
        <row r="36">
          <cell r="D36">
            <v>40483</v>
          </cell>
          <cell r="E36">
            <v>56.513769209999964</v>
          </cell>
        </row>
        <row r="37">
          <cell r="D37">
            <v>40513</v>
          </cell>
          <cell r="E37">
            <v>56.901193828333312</v>
          </cell>
        </row>
        <row r="38">
          <cell r="D38">
            <v>40544</v>
          </cell>
          <cell r="E38">
            <v>56.861960684166668</v>
          </cell>
        </row>
        <row r="39">
          <cell r="D39">
            <v>40575</v>
          </cell>
          <cell r="E39">
            <v>57.752309002499992</v>
          </cell>
        </row>
        <row r="40">
          <cell r="D40">
            <v>40603</v>
          </cell>
          <cell r="E40">
            <v>58.922173871666679</v>
          </cell>
        </row>
        <row r="41">
          <cell r="D41">
            <v>40634</v>
          </cell>
          <cell r="E41">
            <v>59.017029719166693</v>
          </cell>
        </row>
        <row r="42">
          <cell r="D42">
            <v>40664</v>
          </cell>
          <cell r="E42">
            <v>58.14678649416669</v>
          </cell>
        </row>
        <row r="43">
          <cell r="D43">
            <v>40695</v>
          </cell>
          <cell r="E43">
            <v>57.864273564166645</v>
          </cell>
        </row>
        <row r="44">
          <cell r="D44">
            <v>40725</v>
          </cell>
          <cell r="E44">
            <v>57.360235556666673</v>
          </cell>
        </row>
        <row r="45">
          <cell r="D45">
            <v>40756</v>
          </cell>
          <cell r="E45">
            <v>58.391141680000004</v>
          </cell>
        </row>
        <row r="46">
          <cell r="D46">
            <v>40787</v>
          </cell>
          <cell r="E46">
            <v>57.342731566666664</v>
          </cell>
        </row>
        <row r="47">
          <cell r="D47">
            <v>40817</v>
          </cell>
          <cell r="E47">
            <v>57.476391860000014</v>
          </cell>
        </row>
        <row r="48">
          <cell r="D48">
            <v>40848</v>
          </cell>
          <cell r="E48">
            <v>58.989060500833375</v>
          </cell>
        </row>
        <row r="49">
          <cell r="D49">
            <v>40878</v>
          </cell>
          <cell r="E49">
            <v>58.603809716666689</v>
          </cell>
        </row>
        <row r="50">
          <cell r="D50">
            <v>40909</v>
          </cell>
          <cell r="E50">
            <v>59.396859880000015</v>
          </cell>
        </row>
        <row r="51">
          <cell r="D51">
            <v>40940</v>
          </cell>
          <cell r="E51">
            <v>58.646379578333345</v>
          </cell>
        </row>
        <row r="52">
          <cell r="D52">
            <v>40969</v>
          </cell>
          <cell r="E52">
            <v>57.686223544166666</v>
          </cell>
        </row>
        <row r="53">
          <cell r="D53">
            <v>41000</v>
          </cell>
          <cell r="E53">
            <v>57.348903176666681</v>
          </cell>
        </row>
        <row r="54">
          <cell r="D54">
            <v>41030</v>
          </cell>
          <cell r="E54">
            <v>58.917466997500014</v>
          </cell>
        </row>
        <row r="55">
          <cell r="D55">
            <v>41061</v>
          </cell>
          <cell r="E55">
            <v>59.220892519166711</v>
          </cell>
        </row>
        <row r="56">
          <cell r="D56">
            <v>41091</v>
          </cell>
          <cell r="E56">
            <v>61.146244951666716</v>
          </cell>
        </row>
        <row r="57">
          <cell r="D57">
            <v>41122</v>
          </cell>
          <cell r="E57">
            <v>61.632342389166723</v>
          </cell>
        </row>
        <row r="58">
          <cell r="D58">
            <v>41153</v>
          </cell>
          <cell r="E58">
            <v>62.925002588333392</v>
          </cell>
        </row>
        <row r="59">
          <cell r="D59">
            <v>41183</v>
          </cell>
          <cell r="E59">
            <v>63.94996245916672</v>
          </cell>
        </row>
        <row r="60">
          <cell r="D60">
            <v>41214</v>
          </cell>
          <cell r="E60">
            <v>63.500824805000036</v>
          </cell>
        </row>
        <row r="61">
          <cell r="D61">
            <v>41244</v>
          </cell>
          <cell r="E61">
            <v>63.481054684166729</v>
          </cell>
        </row>
        <row r="62">
          <cell r="D62">
            <v>41275</v>
          </cell>
          <cell r="E62">
            <v>63.474724076666746</v>
          </cell>
        </row>
        <row r="63">
          <cell r="D63">
            <v>41306</v>
          </cell>
          <cell r="E63">
            <v>63.386985456666743</v>
          </cell>
        </row>
        <row r="64">
          <cell r="D64">
            <v>41334</v>
          </cell>
          <cell r="E64">
            <v>62.549098110833398</v>
          </cell>
        </row>
        <row r="65">
          <cell r="D65">
            <v>41365</v>
          </cell>
          <cell r="E65">
            <v>62.791435630833384</v>
          </cell>
        </row>
        <row r="66">
          <cell r="D66">
            <v>41395</v>
          </cell>
          <cell r="E66">
            <v>62.635119232500045</v>
          </cell>
        </row>
        <row r="67">
          <cell r="D67">
            <v>41426</v>
          </cell>
          <cell r="E67">
            <v>61.651583162500032</v>
          </cell>
        </row>
        <row r="68">
          <cell r="D68">
            <v>41456</v>
          </cell>
          <cell r="E68">
            <v>60.343144245833344</v>
          </cell>
        </row>
        <row r="69">
          <cell r="D69">
            <v>41487</v>
          </cell>
          <cell r="E69">
            <v>59.144263175833352</v>
          </cell>
        </row>
      </sheetData>
      <sheetData sheetId="7">
        <row r="20">
          <cell r="D20">
            <v>39995</v>
          </cell>
        </row>
        <row r="21">
          <cell r="D21">
            <v>40026</v>
          </cell>
          <cell r="E21">
            <v>66.295936724166651</v>
          </cell>
        </row>
        <row r="22">
          <cell r="D22">
            <v>40057</v>
          </cell>
          <cell r="E22">
            <v>64.259477834999998</v>
          </cell>
        </row>
        <row r="23">
          <cell r="D23">
            <v>40087</v>
          </cell>
          <cell r="E23">
            <v>60.887286849166664</v>
          </cell>
        </row>
        <row r="24">
          <cell r="D24">
            <v>40118</v>
          </cell>
          <cell r="E24">
            <v>58.997883614999999</v>
          </cell>
        </row>
        <row r="25">
          <cell r="D25">
            <v>40148</v>
          </cell>
          <cell r="E25">
            <v>56.243134450833345</v>
          </cell>
        </row>
        <row r="26">
          <cell r="D26">
            <v>40179</v>
          </cell>
          <cell r="E26">
            <v>54.274923219166688</v>
          </cell>
        </row>
        <row r="27">
          <cell r="D27">
            <v>40210</v>
          </cell>
          <cell r="E27">
            <v>53.361004086666675</v>
          </cell>
        </row>
        <row r="28">
          <cell r="D28">
            <v>40238</v>
          </cell>
          <cell r="E28">
            <v>53.388042694999996</v>
          </cell>
        </row>
        <row r="29">
          <cell r="D29">
            <v>40269</v>
          </cell>
          <cell r="E29">
            <v>54.571816458333338</v>
          </cell>
        </row>
        <row r="30">
          <cell r="D30">
            <v>40299</v>
          </cell>
          <cell r="E30">
            <v>55.21078009666666</v>
          </cell>
        </row>
        <row r="31">
          <cell r="D31">
            <v>40330</v>
          </cell>
          <cell r="E31">
            <v>56.064233048333328</v>
          </cell>
        </row>
        <row r="32">
          <cell r="D32">
            <v>40360</v>
          </cell>
          <cell r="E32">
            <v>55.334134758333313</v>
          </cell>
        </row>
        <row r="33">
          <cell r="D33">
            <v>40391</v>
          </cell>
          <cell r="E33">
            <v>56.116088740833312</v>
          </cell>
        </row>
        <row r="34">
          <cell r="D34">
            <v>40422</v>
          </cell>
          <cell r="E34">
            <v>56.308474392499988</v>
          </cell>
        </row>
        <row r="35">
          <cell r="D35">
            <v>40452</v>
          </cell>
          <cell r="E35">
            <v>56.673184855833334</v>
          </cell>
        </row>
        <row r="36">
          <cell r="D36">
            <v>40483</v>
          </cell>
          <cell r="E36">
            <v>56.351798140833345</v>
          </cell>
        </row>
        <row r="37">
          <cell r="D37">
            <v>40513</v>
          </cell>
          <cell r="E37">
            <v>55.893285645833345</v>
          </cell>
        </row>
        <row r="38">
          <cell r="D38">
            <v>40544</v>
          </cell>
          <cell r="E38">
            <v>56.63070984666669</v>
          </cell>
        </row>
        <row r="39">
          <cell r="D39">
            <v>40575</v>
          </cell>
          <cell r="E39">
            <v>56.351975743333355</v>
          </cell>
        </row>
        <row r="40">
          <cell r="D40">
            <v>40603</v>
          </cell>
          <cell r="E40">
            <v>59.57584653166672</v>
          </cell>
        </row>
        <row r="41">
          <cell r="D41">
            <v>40634</v>
          </cell>
          <cell r="E41">
            <v>58.764355694166717</v>
          </cell>
        </row>
        <row r="42">
          <cell r="D42">
            <v>40664</v>
          </cell>
          <cell r="E42">
            <v>57.766212403333391</v>
          </cell>
        </row>
        <row r="43">
          <cell r="D43">
            <v>40695</v>
          </cell>
          <cell r="E43">
            <v>57.480204899166722</v>
          </cell>
        </row>
        <row r="44">
          <cell r="D44">
            <v>40725</v>
          </cell>
          <cell r="E44">
            <v>57.63529591416674</v>
          </cell>
        </row>
        <row r="45">
          <cell r="D45">
            <v>40756</v>
          </cell>
          <cell r="E45">
            <v>59.07022218083339</v>
          </cell>
        </row>
        <row r="46">
          <cell r="D46">
            <v>40787</v>
          </cell>
          <cell r="E46">
            <v>59.504163342500071</v>
          </cell>
        </row>
        <row r="47">
          <cell r="D47">
            <v>40817</v>
          </cell>
          <cell r="E47">
            <v>59.622097920833404</v>
          </cell>
        </row>
        <row r="48">
          <cell r="D48">
            <v>40848</v>
          </cell>
          <cell r="E48">
            <v>60.439305908333402</v>
          </cell>
        </row>
        <row r="49">
          <cell r="D49">
            <v>40878</v>
          </cell>
          <cell r="E49">
            <v>61.709255439166718</v>
          </cell>
        </row>
        <row r="50">
          <cell r="D50">
            <v>40909</v>
          </cell>
          <cell r="E50">
            <v>61.650980428333376</v>
          </cell>
        </row>
        <row r="51">
          <cell r="D51">
            <v>40940</v>
          </cell>
          <cell r="E51">
            <v>63.159486851666706</v>
          </cell>
        </row>
        <row r="52">
          <cell r="D52">
            <v>40969</v>
          </cell>
          <cell r="E52">
            <v>59.657944835833355</v>
          </cell>
        </row>
        <row r="53">
          <cell r="D53">
            <v>41000</v>
          </cell>
          <cell r="E53">
            <v>59.423740479166689</v>
          </cell>
        </row>
        <row r="54">
          <cell r="D54">
            <v>41030</v>
          </cell>
          <cell r="E54">
            <v>61.462164483333346</v>
          </cell>
        </row>
        <row r="55">
          <cell r="D55">
            <v>41061</v>
          </cell>
          <cell r="E55">
            <v>62.000368621666674</v>
          </cell>
        </row>
        <row r="56">
          <cell r="D56">
            <v>41091</v>
          </cell>
          <cell r="E56">
            <v>63.149176650000008</v>
          </cell>
        </row>
        <row r="57">
          <cell r="D57">
            <v>41122</v>
          </cell>
          <cell r="E57">
            <v>62.141242998333325</v>
          </cell>
        </row>
        <row r="58">
          <cell r="D58">
            <v>41153</v>
          </cell>
          <cell r="E58">
            <v>61.644632432500025</v>
          </cell>
        </row>
        <row r="59">
          <cell r="D59">
            <v>41183</v>
          </cell>
          <cell r="E59">
            <v>62.113685090833364</v>
          </cell>
        </row>
        <row r="60">
          <cell r="D60">
            <v>41214</v>
          </cell>
          <cell r="E60">
            <v>62.293475530000023</v>
          </cell>
        </row>
        <row r="61">
          <cell r="D61">
            <v>41244</v>
          </cell>
          <cell r="E61">
            <v>61.669698319166692</v>
          </cell>
        </row>
        <row r="62">
          <cell r="D62">
            <v>41275</v>
          </cell>
          <cell r="E62">
            <v>61.211971792500016</v>
          </cell>
        </row>
        <row r="63">
          <cell r="D63">
            <v>41306</v>
          </cell>
          <cell r="E63">
            <v>59.49761498666669</v>
          </cell>
        </row>
        <row r="64">
          <cell r="D64">
            <v>41334</v>
          </cell>
          <cell r="E64">
            <v>58.827694313333353</v>
          </cell>
        </row>
        <row r="65">
          <cell r="D65">
            <v>41365</v>
          </cell>
          <cell r="E65">
            <v>59.434260360833342</v>
          </cell>
        </row>
        <row r="66">
          <cell r="D66">
            <v>41395</v>
          </cell>
          <cell r="E66">
            <v>58.451704584166684</v>
          </cell>
        </row>
        <row r="67">
          <cell r="D67">
            <v>41426</v>
          </cell>
          <cell r="E67">
            <v>58.057317203333348</v>
          </cell>
        </row>
        <row r="68">
          <cell r="D68">
            <v>41456</v>
          </cell>
          <cell r="E68">
            <v>57.742051715000009</v>
          </cell>
        </row>
        <row r="69">
          <cell r="D69">
            <v>41487</v>
          </cell>
          <cell r="E69">
            <v>56.718147441666694</v>
          </cell>
        </row>
      </sheetData>
      <sheetData sheetId="8">
        <row r="20">
          <cell r="D20">
            <v>39995</v>
          </cell>
        </row>
        <row r="21">
          <cell r="D21">
            <v>40026</v>
          </cell>
          <cell r="E21">
            <v>42.164841144166651</v>
          </cell>
        </row>
        <row r="22">
          <cell r="D22">
            <v>40057</v>
          </cell>
          <cell r="E22">
            <v>43.234067629999991</v>
          </cell>
        </row>
        <row r="23">
          <cell r="D23">
            <v>40087</v>
          </cell>
          <cell r="E23">
            <v>40.99078224583333</v>
          </cell>
        </row>
        <row r="24">
          <cell r="D24">
            <v>40118</v>
          </cell>
          <cell r="E24">
            <v>41.206326634999996</v>
          </cell>
        </row>
        <row r="25">
          <cell r="D25">
            <v>40148</v>
          </cell>
          <cell r="E25">
            <v>41.563852553333341</v>
          </cell>
        </row>
        <row r="26">
          <cell r="D26">
            <v>40179</v>
          </cell>
          <cell r="E26">
            <v>41.844943778333331</v>
          </cell>
        </row>
        <row r="27">
          <cell r="D27">
            <v>40210</v>
          </cell>
          <cell r="E27">
            <v>41.392573307500001</v>
          </cell>
        </row>
        <row r="28">
          <cell r="D28">
            <v>40238</v>
          </cell>
          <cell r="E28">
            <v>43.024968098333346</v>
          </cell>
        </row>
        <row r="29">
          <cell r="D29">
            <v>40269</v>
          </cell>
          <cell r="E29">
            <v>41.776045074166682</v>
          </cell>
        </row>
        <row r="30">
          <cell r="D30">
            <v>40299</v>
          </cell>
          <cell r="E30">
            <v>45.757240065833351</v>
          </cell>
        </row>
        <row r="31">
          <cell r="D31">
            <v>40330</v>
          </cell>
          <cell r="E31">
            <v>44.277674018333357</v>
          </cell>
        </row>
        <row r="32">
          <cell r="D32">
            <v>40360</v>
          </cell>
          <cell r="E32">
            <v>42.650974713333362</v>
          </cell>
        </row>
        <row r="33">
          <cell r="D33">
            <v>40391</v>
          </cell>
          <cell r="E33">
            <v>41.512378054166689</v>
          </cell>
        </row>
        <row r="34">
          <cell r="D34">
            <v>40422</v>
          </cell>
          <cell r="E34">
            <v>41.883466570000017</v>
          </cell>
        </row>
        <row r="35">
          <cell r="D35">
            <v>40452</v>
          </cell>
          <cell r="E35">
            <v>42.282231222500009</v>
          </cell>
        </row>
        <row r="36">
          <cell r="D36">
            <v>40483</v>
          </cell>
          <cell r="E36">
            <v>41.377765619166688</v>
          </cell>
        </row>
        <row r="37">
          <cell r="D37">
            <v>40513</v>
          </cell>
          <cell r="E37">
            <v>39.837919320000019</v>
          </cell>
        </row>
        <row r="38">
          <cell r="D38">
            <v>40544</v>
          </cell>
          <cell r="E38">
            <v>40.283059075000025</v>
          </cell>
        </row>
        <row r="39">
          <cell r="D39">
            <v>40575</v>
          </cell>
          <cell r="E39">
            <v>39.952961545000029</v>
          </cell>
        </row>
        <row r="40">
          <cell r="D40">
            <v>40603</v>
          </cell>
          <cell r="E40">
            <v>38.720043834166688</v>
          </cell>
        </row>
        <row r="41">
          <cell r="D41">
            <v>40634</v>
          </cell>
          <cell r="E41">
            <v>38.554246349166682</v>
          </cell>
        </row>
        <row r="42">
          <cell r="D42">
            <v>40664</v>
          </cell>
          <cell r="E42">
            <v>33.018237440000007</v>
          </cell>
        </row>
        <row r="43">
          <cell r="D43">
            <v>40695</v>
          </cell>
          <cell r="E43">
            <v>34.326228457500008</v>
          </cell>
        </row>
        <row r="44">
          <cell r="D44">
            <v>40725</v>
          </cell>
          <cell r="E44">
            <v>37.813009449166671</v>
          </cell>
        </row>
        <row r="45">
          <cell r="D45">
            <v>40756</v>
          </cell>
          <cell r="E45">
            <v>40.478983791666678</v>
          </cell>
        </row>
        <row r="46">
          <cell r="D46">
            <v>40787</v>
          </cell>
          <cell r="E46">
            <v>40.000969789166682</v>
          </cell>
        </row>
        <row r="47">
          <cell r="D47">
            <v>40817</v>
          </cell>
          <cell r="E47">
            <v>39.747129920833359</v>
          </cell>
        </row>
        <row r="48">
          <cell r="D48">
            <v>40848</v>
          </cell>
          <cell r="E48">
            <v>45.999237414166686</v>
          </cell>
        </row>
        <row r="49">
          <cell r="D49">
            <v>40878</v>
          </cell>
          <cell r="E49">
            <v>67.215240726666693</v>
          </cell>
        </row>
        <row r="50">
          <cell r="D50">
            <v>40909</v>
          </cell>
          <cell r="E50">
            <v>65.762523245000025</v>
          </cell>
        </row>
        <row r="51">
          <cell r="D51">
            <v>40940</v>
          </cell>
          <cell r="E51">
            <v>66.199389834166695</v>
          </cell>
        </row>
        <row r="52">
          <cell r="D52">
            <v>40969</v>
          </cell>
          <cell r="E52">
            <v>64.024201675833368</v>
          </cell>
        </row>
        <row r="53">
          <cell r="D53">
            <v>41000</v>
          </cell>
          <cell r="E53">
            <v>63.985494928333345</v>
          </cell>
        </row>
        <row r="54">
          <cell r="D54">
            <v>41030</v>
          </cell>
          <cell r="E54">
            <v>64.490724725833346</v>
          </cell>
        </row>
        <row r="55">
          <cell r="D55">
            <v>41061</v>
          </cell>
          <cell r="E55">
            <v>63.15218758000001</v>
          </cell>
        </row>
        <row r="56">
          <cell r="D56">
            <v>41091</v>
          </cell>
          <cell r="E56">
            <v>60.072463610833331</v>
          </cell>
        </row>
        <row r="57">
          <cell r="D57">
            <v>41122</v>
          </cell>
          <cell r="E57">
            <v>56.947871752499999</v>
          </cell>
        </row>
        <row r="58">
          <cell r="D58">
            <v>41153</v>
          </cell>
          <cell r="E58">
            <v>54.998016429166661</v>
          </cell>
        </row>
        <row r="59">
          <cell r="D59">
            <v>41183</v>
          </cell>
          <cell r="E59">
            <v>53.930328275833318</v>
          </cell>
        </row>
        <row r="60">
          <cell r="D60">
            <v>41214</v>
          </cell>
          <cell r="E60">
            <v>48.357597416666657</v>
          </cell>
        </row>
        <row r="61">
          <cell r="D61">
            <v>41244</v>
          </cell>
          <cell r="E61">
            <v>28.52469042083332</v>
          </cell>
        </row>
        <row r="62">
          <cell r="D62">
            <v>41275</v>
          </cell>
          <cell r="E62">
            <v>28.900517559999983</v>
          </cell>
        </row>
        <row r="63">
          <cell r="D63">
            <v>41306</v>
          </cell>
          <cell r="E63">
            <v>28.788502675833318</v>
          </cell>
        </row>
        <row r="64">
          <cell r="D64">
            <v>41334</v>
          </cell>
          <cell r="E64">
            <v>29.100673924166657</v>
          </cell>
        </row>
        <row r="65">
          <cell r="D65">
            <v>41365</v>
          </cell>
          <cell r="E65">
            <v>30.57233791916666</v>
          </cell>
        </row>
        <row r="66">
          <cell r="D66">
            <v>41395</v>
          </cell>
          <cell r="E66">
            <v>30.941442849166659</v>
          </cell>
        </row>
        <row r="67">
          <cell r="D67">
            <v>41426</v>
          </cell>
          <cell r="E67">
            <v>32.134250634999994</v>
          </cell>
        </row>
        <row r="68">
          <cell r="D68">
            <v>41456</v>
          </cell>
          <cell r="E68">
            <v>32.629414578333332</v>
          </cell>
        </row>
        <row r="69">
          <cell r="D69">
            <v>41487</v>
          </cell>
          <cell r="E69">
            <v>32.848182825833334</v>
          </cell>
        </row>
      </sheetData>
      <sheetData sheetId="9"/>
      <sheetData sheetId="10">
        <row r="20">
          <cell r="D20">
            <v>39995</v>
          </cell>
        </row>
        <row r="21">
          <cell r="D21">
            <v>40026</v>
          </cell>
          <cell r="E21">
            <v>44.574482019166673</v>
          </cell>
        </row>
        <row r="22">
          <cell r="D22">
            <v>40057</v>
          </cell>
          <cell r="E22">
            <v>42.957302045833337</v>
          </cell>
        </row>
        <row r="23">
          <cell r="D23">
            <v>40087</v>
          </cell>
          <cell r="E23">
            <v>41.212596027499998</v>
          </cell>
        </row>
        <row r="24">
          <cell r="D24">
            <v>40118</v>
          </cell>
          <cell r="E24">
            <v>41.599104040833339</v>
          </cell>
        </row>
        <row r="25">
          <cell r="D25">
            <v>40148</v>
          </cell>
          <cell r="E25">
            <v>40.445388418333337</v>
          </cell>
        </row>
        <row r="26">
          <cell r="D26">
            <v>40179</v>
          </cell>
          <cell r="E26">
            <v>40.63349053999999</v>
          </cell>
        </row>
        <row r="27">
          <cell r="D27">
            <v>40210</v>
          </cell>
          <cell r="E27">
            <v>40.719388239166655</v>
          </cell>
        </row>
        <row r="28">
          <cell r="D28">
            <v>40238</v>
          </cell>
          <cell r="E28">
            <v>43.420637922499985</v>
          </cell>
        </row>
        <row r="29">
          <cell r="D29">
            <v>40269</v>
          </cell>
          <cell r="E29">
            <v>43.687136848333303</v>
          </cell>
        </row>
        <row r="30">
          <cell r="D30">
            <v>40299</v>
          </cell>
          <cell r="E30">
            <v>47.821472211666645</v>
          </cell>
        </row>
        <row r="31">
          <cell r="D31">
            <v>40330</v>
          </cell>
          <cell r="E31">
            <v>48.287665184999973</v>
          </cell>
        </row>
        <row r="32">
          <cell r="D32">
            <v>40360</v>
          </cell>
          <cell r="E32">
            <v>47.775240619999984</v>
          </cell>
        </row>
        <row r="33">
          <cell r="D33">
            <v>40391</v>
          </cell>
          <cell r="E33">
            <v>50.32596716499998</v>
          </cell>
        </row>
        <row r="34">
          <cell r="D34">
            <v>40422</v>
          </cell>
          <cell r="E34">
            <v>51.552582860833319</v>
          </cell>
        </row>
        <row r="35">
          <cell r="D35">
            <v>40452</v>
          </cell>
          <cell r="E35">
            <v>52.214561520833321</v>
          </cell>
        </row>
        <row r="36">
          <cell r="D36">
            <v>40483</v>
          </cell>
          <cell r="E36">
            <v>55.267244163333324</v>
          </cell>
        </row>
        <row r="37">
          <cell r="D37">
            <v>40513</v>
          </cell>
          <cell r="E37">
            <v>59.440425088333306</v>
          </cell>
        </row>
        <row r="38">
          <cell r="D38">
            <v>40544</v>
          </cell>
          <cell r="E38">
            <v>62.426371009166651</v>
          </cell>
        </row>
        <row r="39">
          <cell r="D39">
            <v>40575</v>
          </cell>
          <cell r="E39">
            <v>65.35655977499998</v>
          </cell>
        </row>
        <row r="40">
          <cell r="D40">
            <v>40603</v>
          </cell>
          <cell r="E40">
            <v>65.796760202499982</v>
          </cell>
        </row>
        <row r="41">
          <cell r="D41">
            <v>40634</v>
          </cell>
          <cell r="E41">
            <v>71.222631551666652</v>
          </cell>
        </row>
        <row r="42">
          <cell r="D42">
            <v>40664</v>
          </cell>
          <cell r="E42">
            <v>69.841634504999988</v>
          </cell>
        </row>
        <row r="43">
          <cell r="D43">
            <v>40695</v>
          </cell>
          <cell r="E43">
            <v>73.104621744166664</v>
          </cell>
        </row>
        <row r="44">
          <cell r="D44">
            <v>40725</v>
          </cell>
          <cell r="E44">
            <v>74.591551842499982</v>
          </cell>
        </row>
        <row r="45">
          <cell r="D45">
            <v>40756</v>
          </cell>
          <cell r="E45">
            <v>74.257950952499996</v>
          </cell>
        </row>
        <row r="46">
          <cell r="D46">
            <v>40787</v>
          </cell>
          <cell r="E46">
            <v>73.043186389166664</v>
          </cell>
        </row>
        <row r="47">
          <cell r="D47">
            <v>40817</v>
          </cell>
          <cell r="E47">
            <v>73.519351304999972</v>
          </cell>
        </row>
        <row r="48">
          <cell r="D48">
            <v>40848</v>
          </cell>
          <cell r="E48">
            <v>72.279979283333304</v>
          </cell>
        </row>
        <row r="49">
          <cell r="D49">
            <v>40878</v>
          </cell>
          <cell r="E49">
            <v>67.996569358333332</v>
          </cell>
        </row>
        <row r="50">
          <cell r="D50">
            <v>40909</v>
          </cell>
          <cell r="E50">
            <v>69.509933630833345</v>
          </cell>
        </row>
        <row r="51">
          <cell r="D51">
            <v>40940</v>
          </cell>
          <cell r="E51">
            <v>68.637167784166678</v>
          </cell>
        </row>
        <row r="52">
          <cell r="D52">
            <v>40969</v>
          </cell>
          <cell r="E52">
            <v>70.36738457666668</v>
          </cell>
        </row>
        <row r="53">
          <cell r="D53">
            <v>41000</v>
          </cell>
          <cell r="E53">
            <v>65.779620783333343</v>
          </cell>
        </row>
        <row r="54">
          <cell r="D54">
            <v>41030</v>
          </cell>
          <cell r="E54">
            <v>65.294607780000021</v>
          </cell>
        </row>
        <row r="55">
          <cell r="D55">
            <v>41061</v>
          </cell>
          <cell r="E55">
            <v>62.382729143333336</v>
          </cell>
        </row>
        <row r="56">
          <cell r="D56">
            <v>41091</v>
          </cell>
          <cell r="E56">
            <v>65.628275115833318</v>
          </cell>
        </row>
        <row r="57">
          <cell r="D57">
            <v>41122</v>
          </cell>
          <cell r="E57">
            <v>65.770363827500006</v>
          </cell>
        </row>
        <row r="58">
          <cell r="D58">
            <v>41153</v>
          </cell>
          <cell r="E58">
            <v>66.714109345000011</v>
          </cell>
        </row>
        <row r="59">
          <cell r="D59">
            <v>41183</v>
          </cell>
          <cell r="E59">
            <v>66.830843944166659</v>
          </cell>
        </row>
        <row r="60">
          <cell r="D60">
            <v>41214</v>
          </cell>
          <cell r="E60">
            <v>66.684928189166669</v>
          </cell>
        </row>
        <row r="61">
          <cell r="D61">
            <v>41244</v>
          </cell>
          <cell r="E61">
            <v>67.895533604166658</v>
          </cell>
        </row>
        <row r="62">
          <cell r="D62">
            <v>41275</v>
          </cell>
          <cell r="E62">
            <v>64.15027771666665</v>
          </cell>
        </row>
        <row r="63">
          <cell r="D63">
            <v>41306</v>
          </cell>
          <cell r="E63">
            <v>63.895846735833324</v>
          </cell>
        </row>
        <row r="64">
          <cell r="D64">
            <v>41334</v>
          </cell>
          <cell r="E64">
            <v>63.417734581666629</v>
          </cell>
        </row>
        <row r="65">
          <cell r="D65">
            <v>41365</v>
          </cell>
          <cell r="E65">
            <v>68.6532193908333</v>
          </cell>
        </row>
        <row r="66">
          <cell r="D66">
            <v>41395</v>
          </cell>
          <cell r="E66">
            <v>71.248642577499936</v>
          </cell>
        </row>
        <row r="67">
          <cell r="D67">
            <v>41426</v>
          </cell>
          <cell r="E67">
            <v>73.908960889166607</v>
          </cell>
        </row>
        <row r="68">
          <cell r="D68">
            <v>41456</v>
          </cell>
          <cell r="E68">
            <v>71.412197940833295</v>
          </cell>
        </row>
        <row r="69">
          <cell r="D69">
            <v>41487</v>
          </cell>
          <cell r="E69">
            <v>71.739957366666644</v>
          </cell>
        </row>
      </sheetData>
      <sheetData sheetId="11">
        <row r="20">
          <cell r="D20">
            <v>39995</v>
          </cell>
        </row>
        <row r="21">
          <cell r="D21">
            <v>40026</v>
          </cell>
          <cell r="E21">
            <v>32.562219945833334</v>
          </cell>
        </row>
        <row r="22">
          <cell r="D22">
            <v>40057</v>
          </cell>
          <cell r="E22">
            <v>32.19937629166666</v>
          </cell>
        </row>
        <row r="23">
          <cell r="D23">
            <v>40087</v>
          </cell>
          <cell r="E23">
            <v>30.735366798333335</v>
          </cell>
        </row>
        <row r="24">
          <cell r="D24">
            <v>40118</v>
          </cell>
          <cell r="E24">
            <v>29.973160124999996</v>
          </cell>
        </row>
        <row r="25">
          <cell r="D25">
            <v>40148</v>
          </cell>
          <cell r="E25">
            <v>28.956642776666669</v>
          </cell>
        </row>
        <row r="26">
          <cell r="D26">
            <v>40179</v>
          </cell>
          <cell r="E26">
            <v>27.971363097500003</v>
          </cell>
        </row>
        <row r="27">
          <cell r="D27">
            <v>40210</v>
          </cell>
          <cell r="E27">
            <v>28.444494177500005</v>
          </cell>
        </row>
        <row r="28">
          <cell r="D28">
            <v>40238</v>
          </cell>
          <cell r="E28">
            <v>29.344832988333337</v>
          </cell>
        </row>
        <row r="29">
          <cell r="D29">
            <v>40269</v>
          </cell>
          <cell r="E29">
            <v>30.221206226666681</v>
          </cell>
        </row>
        <row r="30">
          <cell r="D30">
            <v>40299</v>
          </cell>
          <cell r="E30">
            <v>31.000651070833346</v>
          </cell>
        </row>
        <row r="31">
          <cell r="D31">
            <v>40330</v>
          </cell>
          <cell r="E31">
            <v>31.554452459166683</v>
          </cell>
        </row>
        <row r="32">
          <cell r="D32">
            <v>40360</v>
          </cell>
          <cell r="E32">
            <v>32.007247226666685</v>
          </cell>
        </row>
        <row r="33">
          <cell r="D33">
            <v>40391</v>
          </cell>
          <cell r="E33">
            <v>32.931458432500015</v>
          </cell>
        </row>
        <row r="34">
          <cell r="D34">
            <v>40422</v>
          </cell>
          <cell r="E34">
            <v>34.731135131666683</v>
          </cell>
        </row>
        <row r="35">
          <cell r="D35">
            <v>40452</v>
          </cell>
          <cell r="E35">
            <v>37.48909719166668</v>
          </cell>
        </row>
        <row r="36">
          <cell r="D36">
            <v>40483</v>
          </cell>
          <cell r="E36">
            <v>37.623099780000011</v>
          </cell>
        </row>
        <row r="37">
          <cell r="D37">
            <v>40513</v>
          </cell>
          <cell r="E37">
            <v>38.169807350833345</v>
          </cell>
        </row>
        <row r="38">
          <cell r="D38">
            <v>40544</v>
          </cell>
          <cell r="E38">
            <v>38.912828353333346</v>
          </cell>
        </row>
        <row r="39">
          <cell r="D39">
            <v>40575</v>
          </cell>
          <cell r="E39">
            <v>38.67809687583334</v>
          </cell>
        </row>
        <row r="40">
          <cell r="D40">
            <v>40603</v>
          </cell>
          <cell r="E40">
            <v>39.330040229166691</v>
          </cell>
        </row>
        <row r="41">
          <cell r="D41">
            <v>40634</v>
          </cell>
          <cell r="E41">
            <v>38.528304556666683</v>
          </cell>
        </row>
        <row r="42">
          <cell r="D42">
            <v>40664</v>
          </cell>
          <cell r="E42">
            <v>38.206201730833349</v>
          </cell>
        </row>
        <row r="43">
          <cell r="D43">
            <v>40695</v>
          </cell>
          <cell r="E43">
            <v>37.973722187500016</v>
          </cell>
        </row>
        <row r="44">
          <cell r="D44">
            <v>40725</v>
          </cell>
          <cell r="E44">
            <v>37.56004297833335</v>
          </cell>
        </row>
        <row r="45">
          <cell r="D45">
            <v>40756</v>
          </cell>
          <cell r="E45">
            <v>37.769355800000021</v>
          </cell>
        </row>
        <row r="46">
          <cell r="D46">
            <v>40787</v>
          </cell>
          <cell r="E46">
            <v>36.239738284166698</v>
          </cell>
        </row>
        <row r="47">
          <cell r="D47">
            <v>40817</v>
          </cell>
          <cell r="E47">
            <v>33.91358048750002</v>
          </cell>
        </row>
        <row r="48">
          <cell r="D48">
            <v>40848</v>
          </cell>
          <cell r="E48">
            <v>34.326860955833361</v>
          </cell>
        </row>
        <row r="49">
          <cell r="D49">
            <v>40878</v>
          </cell>
          <cell r="E49">
            <v>34.351092142500022</v>
          </cell>
        </row>
        <row r="50">
          <cell r="D50">
            <v>40909</v>
          </cell>
          <cell r="E50">
            <v>34.517256564166686</v>
          </cell>
        </row>
        <row r="51">
          <cell r="D51">
            <v>40940</v>
          </cell>
          <cell r="E51">
            <v>35.263898272500015</v>
          </cell>
        </row>
        <row r="52">
          <cell r="D52">
            <v>40969</v>
          </cell>
          <cell r="E52">
            <v>34.431479158333325</v>
          </cell>
        </row>
        <row r="53">
          <cell r="D53">
            <v>41000</v>
          </cell>
          <cell r="E53">
            <v>34.463804320833333</v>
          </cell>
        </row>
        <row r="54">
          <cell r="D54">
            <v>41030</v>
          </cell>
          <cell r="E54">
            <v>35.037527961666648</v>
          </cell>
        </row>
        <row r="55">
          <cell r="D55">
            <v>41061</v>
          </cell>
          <cell r="E55">
            <v>35.103984746666654</v>
          </cell>
        </row>
        <row r="56">
          <cell r="D56">
            <v>41091</v>
          </cell>
          <cell r="E56">
            <v>35.814384890833317</v>
          </cell>
        </row>
        <row r="57">
          <cell r="D57">
            <v>41122</v>
          </cell>
          <cell r="E57">
            <v>35.82497643083331</v>
          </cell>
        </row>
        <row r="58">
          <cell r="D58">
            <v>41153</v>
          </cell>
          <cell r="E58">
            <v>36.373213550833313</v>
          </cell>
        </row>
        <row r="59">
          <cell r="D59">
            <v>41183</v>
          </cell>
          <cell r="E59">
            <v>36.955676825833315</v>
          </cell>
        </row>
        <row r="60">
          <cell r="D60">
            <v>41214</v>
          </cell>
          <cell r="E60">
            <v>37.286041432499992</v>
          </cell>
        </row>
        <row r="61">
          <cell r="D61">
            <v>41244</v>
          </cell>
          <cell r="E61">
            <v>37.319189258333317</v>
          </cell>
        </row>
        <row r="62">
          <cell r="D62">
            <v>41275</v>
          </cell>
          <cell r="E62">
            <v>37.411858144166651</v>
          </cell>
        </row>
        <row r="63">
          <cell r="D63">
            <v>41306</v>
          </cell>
          <cell r="E63">
            <v>37.170352246666653</v>
          </cell>
        </row>
        <row r="64">
          <cell r="D64">
            <v>41334</v>
          </cell>
          <cell r="E64">
            <v>36.907018391666654</v>
          </cell>
        </row>
        <row r="65">
          <cell r="D65">
            <v>41365</v>
          </cell>
          <cell r="E65">
            <v>38.105782149999989</v>
          </cell>
        </row>
        <row r="66">
          <cell r="D66">
            <v>41395</v>
          </cell>
          <cell r="E66">
            <v>38.532031844166653</v>
          </cell>
        </row>
        <row r="67">
          <cell r="D67">
            <v>41426</v>
          </cell>
          <cell r="E67">
            <v>39.009602894999993</v>
          </cell>
        </row>
        <row r="68">
          <cell r="D68">
            <v>41456</v>
          </cell>
          <cell r="E68">
            <v>39.532151362499995</v>
          </cell>
        </row>
        <row r="69">
          <cell r="D69">
            <v>41487</v>
          </cell>
          <cell r="E69">
            <v>39.225355921666662</v>
          </cell>
        </row>
      </sheetData>
      <sheetData sheetId="12">
        <row r="20">
          <cell r="D20">
            <v>39995</v>
          </cell>
        </row>
        <row r="21">
          <cell r="D21">
            <v>40026</v>
          </cell>
          <cell r="E21">
            <v>91.507217539999999</v>
          </cell>
        </row>
        <row r="22">
          <cell r="D22">
            <v>40057</v>
          </cell>
          <cell r="E22">
            <v>90.03880273999998</v>
          </cell>
        </row>
        <row r="23">
          <cell r="D23">
            <v>40087</v>
          </cell>
          <cell r="E23">
            <v>81.378314037499976</v>
          </cell>
        </row>
        <row r="24">
          <cell r="D24">
            <v>40118</v>
          </cell>
          <cell r="E24">
            <v>75.486967783333341</v>
          </cell>
        </row>
        <row r="25">
          <cell r="D25">
            <v>40148</v>
          </cell>
          <cell r="E25">
            <v>68.45947492083333</v>
          </cell>
        </row>
        <row r="26">
          <cell r="D26">
            <v>40179</v>
          </cell>
          <cell r="E26">
            <v>64.124652753333336</v>
          </cell>
        </row>
        <row r="27">
          <cell r="D27">
            <v>40210</v>
          </cell>
          <cell r="E27">
            <v>59.862311115000004</v>
          </cell>
        </row>
        <row r="28">
          <cell r="D28">
            <v>40238</v>
          </cell>
          <cell r="E28">
            <v>56.108876693333343</v>
          </cell>
        </row>
        <row r="29">
          <cell r="D29">
            <v>40269</v>
          </cell>
          <cell r="E29">
            <v>53.99661837416668</v>
          </cell>
        </row>
        <row r="30">
          <cell r="D30">
            <v>40299</v>
          </cell>
          <cell r="E30">
            <v>48.999321677499999</v>
          </cell>
        </row>
        <row r="31">
          <cell r="D31">
            <v>40330</v>
          </cell>
          <cell r="E31">
            <v>43.820518076666673</v>
          </cell>
        </row>
        <row r="32">
          <cell r="D32">
            <v>40360</v>
          </cell>
          <cell r="E32">
            <v>41.195742134166686</v>
          </cell>
        </row>
        <row r="33">
          <cell r="D33">
            <v>40391</v>
          </cell>
          <cell r="E33">
            <v>38.330821993333359</v>
          </cell>
        </row>
        <row r="34">
          <cell r="D34">
            <v>40422</v>
          </cell>
          <cell r="E34">
            <v>34.557783334166679</v>
          </cell>
        </row>
        <row r="35">
          <cell r="D35">
            <v>40452</v>
          </cell>
          <cell r="E35">
            <v>32.021912458333354</v>
          </cell>
        </row>
        <row r="36">
          <cell r="D36">
            <v>40483</v>
          </cell>
          <cell r="E36">
            <v>29.502948394166669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28.502660009166672</v>
          </cell>
        </row>
        <row r="39">
          <cell r="D39">
            <v>40575</v>
          </cell>
          <cell r="E39">
            <v>26.941000686666666</v>
          </cell>
        </row>
        <row r="40">
          <cell r="D40">
            <v>40603</v>
          </cell>
          <cell r="E40">
            <v>25.912955294166675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24.226035928333342</v>
          </cell>
        </row>
        <row r="43">
          <cell r="D43">
            <v>40695</v>
          </cell>
          <cell r="E43">
            <v>24.340687144166669</v>
          </cell>
        </row>
        <row r="44">
          <cell r="D44">
            <v>40725</v>
          </cell>
          <cell r="E44">
            <v>24.443885376666667</v>
          </cell>
        </row>
        <row r="45">
          <cell r="D45">
            <v>40756</v>
          </cell>
          <cell r="E45">
            <v>25.458272857500003</v>
          </cell>
        </row>
        <row r="46">
          <cell r="D46">
            <v>40787</v>
          </cell>
          <cell r="E46">
            <v>25.895186806666668</v>
          </cell>
        </row>
        <row r="47">
          <cell r="D47">
            <v>40817</v>
          </cell>
          <cell r="E47">
            <v>26.664331198333333</v>
          </cell>
        </row>
        <row r="48">
          <cell r="D48">
            <v>40848</v>
          </cell>
          <cell r="E48">
            <v>28.114413496666668</v>
          </cell>
        </row>
        <row r="49">
          <cell r="D49">
            <v>40878</v>
          </cell>
          <cell r="E49">
            <v>30.498939934999999</v>
          </cell>
        </row>
        <row r="50">
          <cell r="D50">
            <v>40909</v>
          </cell>
          <cell r="E50">
            <v>31.161441773333323</v>
          </cell>
        </row>
        <row r="51">
          <cell r="D51">
            <v>40940</v>
          </cell>
          <cell r="E51">
            <v>31.525280651666659</v>
          </cell>
        </row>
        <row r="52">
          <cell r="D52">
            <v>40969</v>
          </cell>
          <cell r="E52">
            <v>32.078195521666665</v>
          </cell>
        </row>
        <row r="53">
          <cell r="D53">
            <v>41000</v>
          </cell>
          <cell r="E53">
            <v>32.529032778333338</v>
          </cell>
        </row>
        <row r="54">
          <cell r="D54">
            <v>41030</v>
          </cell>
          <cell r="E54">
            <v>33.652261660000008</v>
          </cell>
        </row>
        <row r="55">
          <cell r="D55">
            <v>41061</v>
          </cell>
          <cell r="E55">
            <v>34.847685898333339</v>
          </cell>
        </row>
        <row r="56">
          <cell r="D56">
            <v>41091</v>
          </cell>
          <cell r="E56">
            <v>36.348756509999994</v>
          </cell>
        </row>
        <row r="57">
          <cell r="D57">
            <v>41122</v>
          </cell>
          <cell r="E57">
            <v>37.678420502499996</v>
          </cell>
        </row>
        <row r="58">
          <cell r="D58">
            <v>41153</v>
          </cell>
          <cell r="E58">
            <v>38.594281608333326</v>
          </cell>
        </row>
        <row r="59">
          <cell r="D59">
            <v>41183</v>
          </cell>
          <cell r="E59">
            <v>39.398659109166658</v>
          </cell>
        </row>
        <row r="60">
          <cell r="D60">
            <v>41214</v>
          </cell>
          <cell r="E60">
            <v>39.232442224999993</v>
          </cell>
        </row>
        <row r="61">
          <cell r="D61">
            <v>41244</v>
          </cell>
          <cell r="E61">
            <v>37.026893621666659</v>
          </cell>
        </row>
        <row r="62">
          <cell r="D62">
            <v>41275</v>
          </cell>
          <cell r="E62">
            <v>36.552011454999992</v>
          </cell>
        </row>
        <row r="63">
          <cell r="D63">
            <v>41306</v>
          </cell>
          <cell r="E63">
            <v>35.939146304166655</v>
          </cell>
        </row>
        <row r="64">
          <cell r="D64">
            <v>41334</v>
          </cell>
          <cell r="E64">
            <v>34.678314169999986</v>
          </cell>
        </row>
        <row r="65">
          <cell r="D65">
            <v>41365</v>
          </cell>
          <cell r="E65">
            <v>33.87825449999999</v>
          </cell>
        </row>
        <row r="66">
          <cell r="D66">
            <v>41395</v>
          </cell>
          <cell r="E66">
            <v>32.863051869166661</v>
          </cell>
        </row>
        <row r="67">
          <cell r="D67">
            <v>41426</v>
          </cell>
          <cell r="E67">
            <v>31.349949324166658</v>
          </cell>
        </row>
        <row r="68">
          <cell r="D68">
            <v>41456</v>
          </cell>
          <cell r="E68">
            <v>29.713315461666667</v>
          </cell>
        </row>
        <row r="69">
          <cell r="D69">
            <v>41487</v>
          </cell>
          <cell r="E69">
            <v>28.015137267499995</v>
          </cell>
        </row>
      </sheetData>
      <sheetData sheetId="13">
        <row r="20">
          <cell r="D20">
            <v>39995</v>
          </cell>
        </row>
        <row r="21">
          <cell r="D21">
            <v>40026</v>
          </cell>
          <cell r="E21">
            <v>12.363829501666665</v>
          </cell>
        </row>
        <row r="22">
          <cell r="D22">
            <v>40057</v>
          </cell>
          <cell r="E22">
            <v>12.794329441666664</v>
          </cell>
        </row>
        <row r="23">
          <cell r="D23">
            <v>40087</v>
          </cell>
          <cell r="E23">
            <v>13.127015901666661</v>
          </cell>
        </row>
        <row r="24">
          <cell r="D24">
            <v>40118</v>
          </cell>
          <cell r="E24">
            <v>13.023658302499994</v>
          </cell>
        </row>
        <row r="25">
          <cell r="D25">
            <v>40148</v>
          </cell>
          <cell r="E25">
            <v>13.140724007499999</v>
          </cell>
        </row>
        <row r="26">
          <cell r="D26">
            <v>40179</v>
          </cell>
          <cell r="E26">
            <v>12.835834206666666</v>
          </cell>
        </row>
        <row r="27">
          <cell r="D27">
            <v>40210</v>
          </cell>
          <cell r="E27">
            <v>12.575876212499999</v>
          </cell>
        </row>
        <row r="28">
          <cell r="D28">
            <v>40238</v>
          </cell>
          <cell r="E28">
            <v>12.56572276583333</v>
          </cell>
        </row>
        <row r="29">
          <cell r="D29">
            <v>40269</v>
          </cell>
          <cell r="E29">
            <v>12.388632020000001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13.251684199166661</v>
          </cell>
        </row>
        <row r="32">
          <cell r="D32">
            <v>40360</v>
          </cell>
          <cell r="E32">
            <v>13.389264475833329</v>
          </cell>
        </row>
        <row r="33">
          <cell r="D33">
            <v>40391</v>
          </cell>
          <cell r="E33">
            <v>13.396053619999996</v>
          </cell>
        </row>
        <row r="34">
          <cell r="D34">
            <v>40422</v>
          </cell>
          <cell r="E34">
            <v>13.124493697499995</v>
          </cell>
        </row>
        <row r="35">
          <cell r="D35">
            <v>40452</v>
          </cell>
          <cell r="E35">
            <v>12.534774179999998</v>
          </cell>
        </row>
        <row r="36">
          <cell r="D36">
            <v>40483</v>
          </cell>
          <cell r="E36">
            <v>12.666550229166665</v>
          </cell>
        </row>
        <row r="37">
          <cell r="D37">
            <v>40513</v>
          </cell>
          <cell r="E37">
            <v>12.184890927499998</v>
          </cell>
        </row>
        <row r="38">
          <cell r="D38">
            <v>40544</v>
          </cell>
          <cell r="E38">
            <v>12.383947199999996</v>
          </cell>
        </row>
        <row r="39">
          <cell r="D39">
            <v>40575</v>
          </cell>
          <cell r="E39">
            <v>12.415300883333332</v>
          </cell>
        </row>
        <row r="40">
          <cell r="D40">
            <v>40603</v>
          </cell>
          <cell r="E40">
            <v>12.349144071666666</v>
          </cell>
        </row>
        <row r="41">
          <cell r="D41">
            <v>40634</v>
          </cell>
          <cell r="E41">
            <v>12.525914428333332</v>
          </cell>
        </row>
        <row r="42">
          <cell r="D42">
            <v>40664</v>
          </cell>
          <cell r="E42">
            <v>12.412296777499998</v>
          </cell>
        </row>
        <row r="43">
          <cell r="D43">
            <v>40695</v>
          </cell>
          <cell r="E43">
            <v>12.086005053333333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12.493158029999998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13.068214145833332</v>
          </cell>
        </row>
        <row r="48">
          <cell r="D48">
            <v>40848</v>
          </cell>
          <cell r="E48">
            <v>15.913004581666661</v>
          </cell>
        </row>
        <row r="49">
          <cell r="D49">
            <v>40878</v>
          </cell>
          <cell r="E49">
            <v>19.384323212499996</v>
          </cell>
        </row>
        <row r="50">
          <cell r="D50">
            <v>40909</v>
          </cell>
          <cell r="E50">
            <v>19.732538467499996</v>
          </cell>
        </row>
        <row r="51">
          <cell r="D51">
            <v>40940</v>
          </cell>
          <cell r="E51">
            <v>20.667112564166665</v>
          </cell>
        </row>
        <row r="52">
          <cell r="D52">
            <v>40969</v>
          </cell>
          <cell r="E52">
            <v>20.460593554166667</v>
          </cell>
        </row>
        <row r="53">
          <cell r="D53">
            <v>41000</v>
          </cell>
          <cell r="E53">
            <v>20.307773458333333</v>
          </cell>
        </row>
        <row r="54">
          <cell r="D54">
            <v>41030</v>
          </cell>
          <cell r="E54">
            <v>20.745190224166659</v>
          </cell>
        </row>
        <row r="55">
          <cell r="D55">
            <v>41061</v>
          </cell>
          <cell r="E55">
            <v>20.894146248333325</v>
          </cell>
        </row>
        <row r="56">
          <cell r="D56">
            <v>41091</v>
          </cell>
          <cell r="E56">
            <v>21.190204483333321</v>
          </cell>
        </row>
        <row r="57">
          <cell r="D57">
            <v>41122</v>
          </cell>
          <cell r="E57">
            <v>21.054584679166656</v>
          </cell>
        </row>
        <row r="58">
          <cell r="D58">
            <v>41153</v>
          </cell>
          <cell r="E58">
            <v>21.358963500833323</v>
          </cell>
        </row>
        <row r="59">
          <cell r="D59">
            <v>41183</v>
          </cell>
          <cell r="E59">
            <v>21.41342968833332</v>
          </cell>
        </row>
        <row r="60">
          <cell r="D60">
            <v>41214</v>
          </cell>
          <cell r="E60">
            <v>18.844971963333325</v>
          </cell>
        </row>
        <row r="61">
          <cell r="D61">
            <v>41244</v>
          </cell>
          <cell r="E61">
            <v>15.970000834999993</v>
          </cell>
        </row>
        <row r="62">
          <cell r="D62">
            <v>41275</v>
          </cell>
          <cell r="E62">
            <v>15.645028462499992</v>
          </cell>
        </row>
        <row r="63">
          <cell r="D63">
            <v>41306</v>
          </cell>
          <cell r="E63">
            <v>14.859854667499993</v>
          </cell>
        </row>
        <row r="64">
          <cell r="D64">
            <v>41334</v>
          </cell>
          <cell r="E64">
            <v>14.935333970833328</v>
          </cell>
        </row>
        <row r="65">
          <cell r="D65">
            <v>41365</v>
          </cell>
          <cell r="E65">
            <v>15.340145778333328</v>
          </cell>
        </row>
        <row r="66">
          <cell r="D66">
            <v>41395</v>
          </cell>
          <cell r="E66">
            <v>15.399275312499995</v>
          </cell>
        </row>
        <row r="67">
          <cell r="D67">
            <v>41426</v>
          </cell>
          <cell r="E67">
            <v>15.404744308333328</v>
          </cell>
        </row>
        <row r="68">
          <cell r="D68">
            <v>41456</v>
          </cell>
          <cell r="E68">
            <v>15.349979099999993</v>
          </cell>
        </row>
        <row r="69">
          <cell r="D69">
            <v>41487</v>
          </cell>
          <cell r="E69">
            <v>15.480802720833331</v>
          </cell>
        </row>
      </sheetData>
      <sheetData sheetId="14">
        <row r="20">
          <cell r="D20">
            <v>39995</v>
          </cell>
        </row>
        <row r="21">
          <cell r="D21">
            <v>40026</v>
          </cell>
          <cell r="E21">
            <v>7.6193411291666644</v>
          </cell>
        </row>
        <row r="22">
          <cell r="D22">
            <v>40057</v>
          </cell>
          <cell r="E22">
            <v>7.3717861191666652</v>
          </cell>
        </row>
        <row r="23">
          <cell r="D23">
            <v>40087</v>
          </cell>
          <cell r="E23">
            <v>6.3610162491666671</v>
          </cell>
        </row>
        <row r="24">
          <cell r="D24">
            <v>40118</v>
          </cell>
          <cell r="E24">
            <v>6.468260626666666</v>
          </cell>
        </row>
        <row r="25">
          <cell r="D25">
            <v>40148</v>
          </cell>
          <cell r="E25">
            <v>6.5514017783333323</v>
          </cell>
        </row>
        <row r="26">
          <cell r="D26">
            <v>40179</v>
          </cell>
          <cell r="E26">
            <v>6.8732925566666667</v>
          </cell>
        </row>
        <row r="27">
          <cell r="D27">
            <v>40210</v>
          </cell>
          <cell r="E27">
            <v>6.7953130733333333</v>
          </cell>
        </row>
        <row r="28">
          <cell r="D28">
            <v>40238</v>
          </cell>
          <cell r="E28">
            <v>6.7449189191666648</v>
          </cell>
        </row>
        <row r="29">
          <cell r="D29">
            <v>40269</v>
          </cell>
          <cell r="E29">
            <v>6.774730299999999</v>
          </cell>
        </row>
        <row r="30">
          <cell r="D30">
            <v>40299</v>
          </cell>
          <cell r="E30">
            <v>6.6250621366666662</v>
          </cell>
        </row>
        <row r="31">
          <cell r="D31">
            <v>40330</v>
          </cell>
          <cell r="E31">
            <v>6.7464206141666665</v>
          </cell>
        </row>
        <row r="32">
          <cell r="D32">
            <v>40360</v>
          </cell>
          <cell r="E32">
            <v>6.9601395699999999</v>
          </cell>
        </row>
        <row r="33">
          <cell r="D33">
            <v>40391</v>
          </cell>
          <cell r="E33">
            <v>7.0845458525000007</v>
          </cell>
        </row>
        <row r="34">
          <cell r="D34">
            <v>40422</v>
          </cell>
          <cell r="E34">
            <v>7.1620208466666675</v>
          </cell>
        </row>
        <row r="35">
          <cell r="D35">
            <v>40452</v>
          </cell>
          <cell r="E35">
            <v>7.1960916708333356</v>
          </cell>
        </row>
        <row r="36">
          <cell r="D36">
            <v>40483</v>
          </cell>
          <cell r="E36">
            <v>7.2317787841666687</v>
          </cell>
        </row>
        <row r="37">
          <cell r="D37">
            <v>40513</v>
          </cell>
          <cell r="E37">
            <v>7.1523072350000012</v>
          </cell>
        </row>
        <row r="38">
          <cell r="D38">
            <v>40544</v>
          </cell>
          <cell r="E38">
            <v>6.6954496849999998</v>
          </cell>
        </row>
        <row r="39">
          <cell r="D39">
            <v>40575</v>
          </cell>
          <cell r="E39">
            <v>6.9504124433333319</v>
          </cell>
        </row>
        <row r="40">
          <cell r="D40">
            <v>40603</v>
          </cell>
          <cell r="E40">
            <v>9.3125301683333337</v>
          </cell>
        </row>
        <row r="41">
          <cell r="D41">
            <v>40634</v>
          </cell>
          <cell r="E41">
            <v>10.186985153333332</v>
          </cell>
        </row>
        <row r="42">
          <cell r="D42">
            <v>40664</v>
          </cell>
          <cell r="E42">
            <v>10.251298496666665</v>
          </cell>
        </row>
        <row r="43">
          <cell r="D43">
            <v>40695</v>
          </cell>
          <cell r="E43">
            <v>11.254535889166666</v>
          </cell>
        </row>
        <row r="44">
          <cell r="D44">
            <v>40725</v>
          </cell>
          <cell r="E44">
            <v>11.743016564999998</v>
          </cell>
        </row>
        <row r="45">
          <cell r="D45">
            <v>40756</v>
          </cell>
          <cell r="E45">
            <v>12.850727167499999</v>
          </cell>
        </row>
        <row r="46">
          <cell r="D46">
            <v>40787</v>
          </cell>
          <cell r="E46">
            <v>13.715091778333331</v>
          </cell>
        </row>
        <row r="47">
          <cell r="D47">
            <v>40817</v>
          </cell>
          <cell r="E47">
            <v>14.554923963333332</v>
          </cell>
        </row>
        <row r="48">
          <cell r="D48">
            <v>40848</v>
          </cell>
          <cell r="E48">
            <v>14.998190687499999</v>
          </cell>
        </row>
        <row r="49">
          <cell r="D49">
            <v>40878</v>
          </cell>
          <cell r="E49">
            <v>15.367297680833332</v>
          </cell>
        </row>
        <row r="50">
          <cell r="D50">
            <v>40909</v>
          </cell>
          <cell r="E50">
            <v>15.70384204833333</v>
          </cell>
        </row>
        <row r="51">
          <cell r="D51">
            <v>40940</v>
          </cell>
          <cell r="E51">
            <v>16.423704016666662</v>
          </cell>
        </row>
        <row r="52">
          <cell r="D52">
            <v>40969</v>
          </cell>
          <cell r="E52">
            <v>14.442754508333328</v>
          </cell>
        </row>
        <row r="53">
          <cell r="D53">
            <v>41000</v>
          </cell>
          <cell r="E53">
            <v>13.883254489166662</v>
          </cell>
        </row>
        <row r="54">
          <cell r="D54">
            <v>41030</v>
          </cell>
          <cell r="E54">
            <v>14.337297891666664</v>
          </cell>
        </row>
        <row r="55">
          <cell r="D55">
            <v>41061</v>
          </cell>
          <cell r="E55">
            <v>13.966551735833333</v>
          </cell>
        </row>
        <row r="56">
          <cell r="D56">
            <v>41091</v>
          </cell>
          <cell r="E56">
            <v>14.289054347499997</v>
          </cell>
        </row>
        <row r="57">
          <cell r="D57">
            <v>41122</v>
          </cell>
          <cell r="E57">
            <v>13.624407608333327</v>
          </cell>
        </row>
        <row r="58">
          <cell r="D58">
            <v>41153</v>
          </cell>
          <cell r="E58">
            <v>13.319060414999994</v>
          </cell>
        </row>
        <row r="59">
          <cell r="D59">
            <v>41183</v>
          </cell>
          <cell r="E59">
            <v>13.268272514166661</v>
          </cell>
        </row>
        <row r="60">
          <cell r="D60">
            <v>41214</v>
          </cell>
          <cell r="E60">
            <v>12.963349898333327</v>
          </cell>
        </row>
        <row r="61">
          <cell r="D61">
            <v>41244</v>
          </cell>
          <cell r="E61">
            <v>12.774486460833328</v>
          </cell>
        </row>
        <row r="62">
          <cell r="D62">
            <v>41275</v>
          </cell>
          <cell r="E62">
            <v>12.751616096666664</v>
          </cell>
        </row>
        <row r="63">
          <cell r="D63">
            <v>41306</v>
          </cell>
          <cell r="E63">
            <v>12.064956919999995</v>
          </cell>
        </row>
        <row r="64">
          <cell r="D64">
            <v>41334</v>
          </cell>
          <cell r="E64">
            <v>11.658971623333329</v>
          </cell>
        </row>
        <row r="65">
          <cell r="D65">
            <v>41365</v>
          </cell>
          <cell r="E65">
            <v>12.184118451666663</v>
          </cell>
        </row>
        <row r="66">
          <cell r="D66">
            <v>41395</v>
          </cell>
          <cell r="E66">
            <v>12.738885524999995</v>
          </cell>
        </row>
        <row r="67">
          <cell r="D67">
            <v>41426</v>
          </cell>
          <cell r="E67">
            <v>13.022633454999996</v>
          </cell>
        </row>
        <row r="68">
          <cell r="D68">
            <v>41456</v>
          </cell>
          <cell r="E68">
            <v>12.880487674999992</v>
          </cell>
        </row>
        <row r="69">
          <cell r="D69">
            <v>41487</v>
          </cell>
          <cell r="E69">
            <v>13.129926120833332</v>
          </cell>
        </row>
      </sheetData>
      <sheetData sheetId="15">
        <row r="18">
          <cell r="D18">
            <v>39934</v>
          </cell>
        </row>
        <row r="21">
          <cell r="D21">
            <v>40026</v>
          </cell>
          <cell r="E21">
            <v>8.2412909733333333</v>
          </cell>
        </row>
        <row r="22">
          <cell r="D22">
            <v>40057</v>
          </cell>
          <cell r="E22">
            <v>9.5145734016666683</v>
          </cell>
        </row>
        <row r="23">
          <cell r="D23">
            <v>40087</v>
          </cell>
          <cell r="E23">
            <v>10.84258495416667</v>
          </cell>
        </row>
        <row r="24">
          <cell r="D24">
            <v>40118</v>
          </cell>
          <cell r="E24">
            <v>12.138161029166673</v>
          </cell>
        </row>
        <row r="25">
          <cell r="D25">
            <v>40148</v>
          </cell>
          <cell r="E25">
            <v>13.685289770833341</v>
          </cell>
        </row>
        <row r="26">
          <cell r="D26">
            <v>40179</v>
          </cell>
          <cell r="E26">
            <v>15.056262162500007</v>
          </cell>
        </row>
        <row r="27">
          <cell r="D27">
            <v>40210</v>
          </cell>
          <cell r="E27">
            <v>16.913906625000006</v>
          </cell>
        </row>
        <row r="28">
          <cell r="D28">
            <v>40238</v>
          </cell>
          <cell r="E28">
            <v>19.425939830000008</v>
          </cell>
        </row>
        <row r="29">
          <cell r="D29">
            <v>40269</v>
          </cell>
          <cell r="E29">
            <v>20.817165196666675</v>
          </cell>
        </row>
        <row r="30">
          <cell r="D30">
            <v>40299</v>
          </cell>
          <cell r="E30">
            <v>25.421301685000007</v>
          </cell>
        </row>
        <row r="31">
          <cell r="D31">
            <v>40330</v>
          </cell>
          <cell r="E31">
            <v>26.834686419999997</v>
          </cell>
        </row>
        <row r="32">
          <cell r="D32">
            <v>40360</v>
          </cell>
          <cell r="E32">
            <v>26.919218944166669</v>
          </cell>
        </row>
        <row r="33">
          <cell r="D33">
            <v>40391</v>
          </cell>
          <cell r="E33">
            <v>28.38398176083334</v>
          </cell>
        </row>
        <row r="34">
          <cell r="D34">
            <v>40422</v>
          </cell>
          <cell r="E34">
            <v>29.484877137500003</v>
          </cell>
        </row>
        <row r="35">
          <cell r="D35">
            <v>40452</v>
          </cell>
          <cell r="E35">
            <v>30.007861652499997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36.811050180833313</v>
          </cell>
        </row>
        <row r="38">
          <cell r="D38">
            <v>40544</v>
          </cell>
          <cell r="E38">
            <v>38.920501387499975</v>
          </cell>
        </row>
        <row r="39">
          <cell r="D39">
            <v>40575</v>
          </cell>
          <cell r="E39">
            <v>41.033858628333313</v>
          </cell>
        </row>
        <row r="40">
          <cell r="D40">
            <v>40603</v>
          </cell>
          <cell r="E40">
            <v>42.922621126666634</v>
          </cell>
        </row>
        <row r="41">
          <cell r="D41">
            <v>40634</v>
          </cell>
          <cell r="E41">
            <v>46.41222407999998</v>
          </cell>
        </row>
        <row r="42">
          <cell r="D42">
            <v>40664</v>
          </cell>
          <cell r="E42">
            <v>45.931025934999973</v>
          </cell>
        </row>
        <row r="43">
          <cell r="D43">
            <v>40695</v>
          </cell>
          <cell r="E43">
            <v>49.701152694999983</v>
          </cell>
        </row>
        <row r="44">
          <cell r="D44">
            <v>40725</v>
          </cell>
          <cell r="E44">
            <v>51.827698202499988</v>
          </cell>
        </row>
        <row r="45">
          <cell r="D45">
            <v>40756</v>
          </cell>
          <cell r="E45">
            <v>53.301472651666664</v>
          </cell>
        </row>
        <row r="46">
          <cell r="D46">
            <v>40787</v>
          </cell>
          <cell r="E46">
            <v>52.510905649999991</v>
          </cell>
        </row>
        <row r="47">
          <cell r="D47">
            <v>40817</v>
          </cell>
          <cell r="E47">
            <v>53.036148822499989</v>
          </cell>
        </row>
        <row r="48">
          <cell r="D48">
            <v>40848</v>
          </cell>
          <cell r="E48">
            <v>53.355211284999989</v>
          </cell>
        </row>
        <row r="49">
          <cell r="D49">
            <v>40878</v>
          </cell>
          <cell r="E49">
            <v>49.304254249166661</v>
          </cell>
        </row>
        <row r="50">
          <cell r="D50">
            <v>40909</v>
          </cell>
          <cell r="E50">
            <v>51.93044577749999</v>
          </cell>
        </row>
        <row r="51">
          <cell r="D51">
            <v>40940</v>
          </cell>
          <cell r="E51">
            <v>51.149066214166673</v>
          </cell>
        </row>
        <row r="52">
          <cell r="D52">
            <v>40969</v>
          </cell>
          <cell r="E52">
            <v>54.249657341666683</v>
          </cell>
        </row>
        <row r="53">
          <cell r="D53">
            <v>41000</v>
          </cell>
          <cell r="E53">
            <v>52.275167924166674</v>
          </cell>
        </row>
        <row r="54">
          <cell r="D54">
            <v>41030</v>
          </cell>
          <cell r="E54">
            <v>51.932775249166689</v>
          </cell>
        </row>
        <row r="55">
          <cell r="D55">
            <v>41061</v>
          </cell>
          <cell r="E55">
            <v>48.986557592500027</v>
          </cell>
        </row>
        <row r="56">
          <cell r="D56">
            <v>41091</v>
          </cell>
          <cell r="E56">
            <v>52.20723711583333</v>
          </cell>
        </row>
        <row r="57">
          <cell r="D57">
            <v>41122</v>
          </cell>
          <cell r="E57">
            <v>51.958616264999989</v>
          </cell>
        </row>
        <row r="58">
          <cell r="D58">
            <v>41153</v>
          </cell>
          <cell r="E58">
            <v>52.949672347499991</v>
          </cell>
        </row>
        <row r="59">
          <cell r="D59">
            <v>41183</v>
          </cell>
          <cell r="E59">
            <v>52.897555864999987</v>
          </cell>
        </row>
        <row r="60">
          <cell r="D60">
            <v>41214</v>
          </cell>
          <cell r="E60">
            <v>52.772399600833324</v>
          </cell>
        </row>
        <row r="61">
          <cell r="D61">
            <v>41244</v>
          </cell>
          <cell r="E61">
            <v>52.821547451666667</v>
          </cell>
        </row>
        <row r="62">
          <cell r="D62">
            <v>41275</v>
          </cell>
          <cell r="E62">
            <v>49.352520728333339</v>
          </cell>
        </row>
        <row r="63">
          <cell r="D63">
            <v>41306</v>
          </cell>
          <cell r="E63">
            <v>48.592557464999999</v>
          </cell>
        </row>
        <row r="64">
          <cell r="D64">
            <v>41334</v>
          </cell>
          <cell r="E64">
            <v>46.945843264166662</v>
          </cell>
        </row>
        <row r="65">
          <cell r="D65">
            <v>41365</v>
          </cell>
          <cell r="E65">
            <v>51.225016166666641</v>
          </cell>
        </row>
        <row r="66">
          <cell r="D66">
            <v>41395</v>
          </cell>
          <cell r="E66">
            <v>53.351761706666601</v>
          </cell>
        </row>
        <row r="67">
          <cell r="D67">
            <v>41426</v>
          </cell>
          <cell r="E67">
            <v>56.130532319999951</v>
          </cell>
        </row>
        <row r="68">
          <cell r="D68">
            <v>41456</v>
          </cell>
          <cell r="E68">
            <v>53.759492677499964</v>
          </cell>
        </row>
        <row r="69">
          <cell r="D69">
            <v>41487</v>
          </cell>
          <cell r="E69">
            <v>53.857903929999956</v>
          </cell>
        </row>
      </sheetData>
      <sheetData sheetId="16">
        <row r="20">
          <cell r="D20">
            <v>39995</v>
          </cell>
        </row>
        <row r="21">
          <cell r="D21">
            <v>40026</v>
          </cell>
          <cell r="E21">
            <v>44.35935365000001</v>
          </cell>
        </row>
        <row r="22">
          <cell r="D22">
            <v>40057</v>
          </cell>
          <cell r="E22">
            <v>47.002448523333349</v>
          </cell>
        </row>
        <row r="23">
          <cell r="D23">
            <v>40087</v>
          </cell>
          <cell r="E23">
            <v>45.324054310833354</v>
          </cell>
        </row>
        <row r="24">
          <cell r="D24">
            <v>40118</v>
          </cell>
          <cell r="E24">
            <v>45.788504250000017</v>
          </cell>
        </row>
        <row r="25">
          <cell r="D25">
            <v>40148</v>
          </cell>
          <cell r="E25">
            <v>45.014168568333353</v>
          </cell>
        </row>
        <row r="26">
          <cell r="D26">
            <v>40179</v>
          </cell>
          <cell r="E26">
            <v>43.956835172500014</v>
          </cell>
        </row>
        <row r="27">
          <cell r="D27">
            <v>40210</v>
          </cell>
          <cell r="E27">
            <v>42.671427347500021</v>
          </cell>
        </row>
        <row r="28">
          <cell r="D28">
            <v>40238</v>
          </cell>
          <cell r="E28">
            <v>42.858163845833353</v>
          </cell>
        </row>
        <row r="29">
          <cell r="D29">
            <v>40269</v>
          </cell>
          <cell r="E29">
            <v>43.562413795833343</v>
          </cell>
        </row>
        <row r="30">
          <cell r="D30">
            <v>40299</v>
          </cell>
          <cell r="E30">
            <v>44.785934125000004</v>
          </cell>
        </row>
        <row r="31">
          <cell r="D31">
            <v>40330</v>
          </cell>
          <cell r="E31">
            <v>45.10113625916668</v>
          </cell>
        </row>
        <row r="32">
          <cell r="D32">
            <v>40360</v>
          </cell>
          <cell r="E32">
            <v>44.424552756666685</v>
          </cell>
        </row>
        <row r="33">
          <cell r="D33">
            <v>40391</v>
          </cell>
          <cell r="E33">
            <v>44.288158328333338</v>
          </cell>
        </row>
        <row r="34">
          <cell r="D34">
            <v>40422</v>
          </cell>
          <cell r="E34">
            <v>42.420907605000011</v>
          </cell>
        </row>
        <row r="35">
          <cell r="D35">
            <v>40452</v>
          </cell>
          <cell r="E35">
            <v>41.660988658333345</v>
          </cell>
        </row>
        <row r="36">
          <cell r="D36">
            <v>40483</v>
          </cell>
          <cell r="E36">
            <v>40.587365936666679</v>
          </cell>
        </row>
        <row r="37">
          <cell r="D37">
            <v>40513</v>
          </cell>
          <cell r="E37">
            <v>40.423228725000008</v>
          </cell>
        </row>
        <row r="38">
          <cell r="D38">
            <v>40544</v>
          </cell>
          <cell r="E38">
            <v>40.327827106666668</v>
          </cell>
        </row>
        <row r="39">
          <cell r="D39">
            <v>40575</v>
          </cell>
          <cell r="E39">
            <v>40.742997415833337</v>
          </cell>
        </row>
        <row r="40">
          <cell r="D40">
            <v>40603</v>
          </cell>
          <cell r="E40">
            <v>40.762934613333329</v>
          </cell>
        </row>
        <row r="41">
          <cell r="D41">
            <v>40634</v>
          </cell>
          <cell r="E41">
            <v>40.191517032499995</v>
          </cell>
        </row>
        <row r="42">
          <cell r="D42">
            <v>40664</v>
          </cell>
          <cell r="E42">
            <v>39.150853833333336</v>
          </cell>
        </row>
        <row r="43">
          <cell r="D43">
            <v>40695</v>
          </cell>
          <cell r="E43">
            <v>38.786233275833332</v>
          </cell>
        </row>
        <row r="44">
          <cell r="D44">
            <v>40725</v>
          </cell>
          <cell r="E44">
            <v>39.10660887416666</v>
          </cell>
        </row>
        <row r="45">
          <cell r="D45">
            <v>40756</v>
          </cell>
          <cell r="E45">
            <v>39.864105951666666</v>
          </cell>
        </row>
        <row r="46">
          <cell r="D46">
            <v>40787</v>
          </cell>
          <cell r="E46">
            <v>40.612711901666664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42.096884978333343</v>
          </cell>
        </row>
        <row r="49">
          <cell r="D49">
            <v>40878</v>
          </cell>
          <cell r="E49">
            <v>42.805342809166667</v>
          </cell>
        </row>
        <row r="50">
          <cell r="D50">
            <v>40909</v>
          </cell>
          <cell r="E50">
            <v>43.171692647500002</v>
          </cell>
        </row>
        <row r="51">
          <cell r="D51">
            <v>40940</v>
          </cell>
          <cell r="E51">
            <v>43.496030688333327</v>
          </cell>
        </row>
        <row r="52">
          <cell r="D52">
            <v>40969</v>
          </cell>
          <cell r="E52">
            <v>43.228913793333341</v>
          </cell>
        </row>
        <row r="53">
          <cell r="D53">
            <v>41000</v>
          </cell>
          <cell r="E53">
            <v>43.478838510833327</v>
          </cell>
        </row>
        <row r="54">
          <cell r="D54">
            <v>41030</v>
          </cell>
          <cell r="E54">
            <v>44.90556924083333</v>
          </cell>
        </row>
        <row r="55">
          <cell r="D55">
            <v>41061</v>
          </cell>
          <cell r="E55">
            <v>45.227196853333318</v>
          </cell>
        </row>
        <row r="56">
          <cell r="D56">
            <v>41091</v>
          </cell>
          <cell r="E56">
            <v>45.828865060833323</v>
          </cell>
        </row>
        <row r="57">
          <cell r="D57">
            <v>41122</v>
          </cell>
          <cell r="E57">
            <v>45.978570624166657</v>
          </cell>
        </row>
        <row r="58">
          <cell r="D58">
            <v>41153</v>
          </cell>
          <cell r="E58">
            <v>45.35934451666666</v>
          </cell>
        </row>
        <row r="59">
          <cell r="D59">
            <v>41183</v>
          </cell>
          <cell r="E59">
            <v>45.888796204999984</v>
          </cell>
        </row>
        <row r="60">
          <cell r="D60">
            <v>41214</v>
          </cell>
          <cell r="E60">
            <v>45.533277579999975</v>
          </cell>
        </row>
        <row r="61">
          <cell r="D61">
            <v>41244</v>
          </cell>
          <cell r="E61">
            <v>45.061046163333316</v>
          </cell>
        </row>
        <row r="62">
          <cell r="D62">
            <v>41275</v>
          </cell>
          <cell r="E62">
            <v>45.519360191666642</v>
          </cell>
        </row>
        <row r="63">
          <cell r="D63">
            <v>41306</v>
          </cell>
          <cell r="E63">
            <v>44.751689766666651</v>
          </cell>
        </row>
        <row r="64">
          <cell r="D64">
            <v>41334</v>
          </cell>
          <cell r="E64">
            <v>44.014890185833309</v>
          </cell>
        </row>
        <row r="65">
          <cell r="D65">
            <v>41365</v>
          </cell>
          <cell r="E65">
            <v>44.463598418333305</v>
          </cell>
        </row>
        <row r="66">
          <cell r="D66">
            <v>41395</v>
          </cell>
          <cell r="E66">
            <v>43.922961626666648</v>
          </cell>
        </row>
        <row r="67">
          <cell r="D67">
            <v>41426</v>
          </cell>
          <cell r="E67">
            <v>44.010668228333309</v>
          </cell>
        </row>
        <row r="68">
          <cell r="D68">
            <v>41456</v>
          </cell>
          <cell r="E68">
            <v>44.020520719999979</v>
          </cell>
        </row>
        <row r="69">
          <cell r="D69">
            <v>41487</v>
          </cell>
          <cell r="E69">
            <v>43.709650861666653</v>
          </cell>
        </row>
      </sheetData>
      <sheetData sheetId="17">
        <row r="20">
          <cell r="D20">
            <v>39995</v>
          </cell>
        </row>
        <row r="21">
          <cell r="D21">
            <v>40026</v>
          </cell>
          <cell r="E21">
            <v>21.436667131666667</v>
          </cell>
        </row>
        <row r="22">
          <cell r="D22">
            <v>40057</v>
          </cell>
          <cell r="E22">
            <v>21.268530164166663</v>
          </cell>
        </row>
        <row r="23">
          <cell r="D23">
            <v>40087</v>
          </cell>
          <cell r="E23">
            <v>20.039754477500001</v>
          </cell>
        </row>
        <row r="24">
          <cell r="D24">
            <v>40118</v>
          </cell>
          <cell r="E24">
            <v>20.178767850000003</v>
          </cell>
        </row>
        <row r="25">
          <cell r="D25">
            <v>40148</v>
          </cell>
          <cell r="E25">
            <v>19.931631619166673</v>
          </cell>
        </row>
        <row r="26">
          <cell r="D26">
            <v>40179</v>
          </cell>
          <cell r="E26">
            <v>19.107756288333341</v>
          </cell>
        </row>
        <row r="27">
          <cell r="D27">
            <v>40210</v>
          </cell>
          <cell r="E27">
            <v>18.469198256666672</v>
          </cell>
        </row>
        <row r="28">
          <cell r="D28">
            <v>40238</v>
          </cell>
          <cell r="E28">
            <v>18.185925160000007</v>
          </cell>
        </row>
        <row r="29">
          <cell r="D29">
            <v>40269</v>
          </cell>
          <cell r="E29">
            <v>18.009831485833342</v>
          </cell>
        </row>
        <row r="30">
          <cell r="D30">
            <v>40299</v>
          </cell>
          <cell r="E30">
            <v>18.898869692500007</v>
          </cell>
        </row>
        <row r="31">
          <cell r="D31">
            <v>40330</v>
          </cell>
          <cell r="E31">
            <v>18.920276355833348</v>
          </cell>
        </row>
        <row r="32">
          <cell r="D32">
            <v>40360</v>
          </cell>
          <cell r="E32">
            <v>18.827581924166676</v>
          </cell>
        </row>
        <row r="33">
          <cell r="D33">
            <v>40391</v>
          </cell>
          <cell r="E33">
            <v>19.301638440833344</v>
          </cell>
        </row>
        <row r="34">
          <cell r="D34">
            <v>40422</v>
          </cell>
          <cell r="E34">
            <v>19.816331329166676</v>
          </cell>
        </row>
        <row r="35">
          <cell r="D35">
            <v>40452</v>
          </cell>
          <cell r="E35">
            <v>20.346194854166676</v>
          </cell>
        </row>
        <row r="36">
          <cell r="D36">
            <v>40483</v>
          </cell>
          <cell r="E36">
            <v>21.22093058916667</v>
          </cell>
        </row>
        <row r="37">
          <cell r="D37">
            <v>40513</v>
          </cell>
          <cell r="E37">
            <v>21.962152970833341</v>
          </cell>
        </row>
        <row r="38">
          <cell r="D38">
            <v>40544</v>
          </cell>
          <cell r="E38">
            <v>23.580786679166675</v>
          </cell>
        </row>
        <row r="39">
          <cell r="D39">
            <v>40575</v>
          </cell>
          <cell r="E39">
            <v>25.249741973333332</v>
          </cell>
        </row>
        <row r="40">
          <cell r="D40">
            <v>40603</v>
          </cell>
          <cell r="E40">
            <v>27.992489251666672</v>
          </cell>
        </row>
        <row r="41">
          <cell r="D41">
            <v>40634</v>
          </cell>
          <cell r="E41">
            <v>30.780365389166676</v>
          </cell>
        </row>
        <row r="42">
          <cell r="D42">
            <v>40664</v>
          </cell>
          <cell r="E42">
            <v>31.808958465000003</v>
          </cell>
        </row>
        <row r="43">
          <cell r="D43">
            <v>40695</v>
          </cell>
          <cell r="E43">
            <v>32.486783196666671</v>
          </cell>
        </row>
        <row r="44">
          <cell r="D44">
            <v>40725</v>
          </cell>
          <cell r="E44">
            <v>33.076064515833338</v>
          </cell>
        </row>
        <row r="45">
          <cell r="D45">
            <v>40756</v>
          </cell>
          <cell r="E45">
            <v>33.335994160833337</v>
          </cell>
        </row>
        <row r="46">
          <cell r="D46">
            <v>40787</v>
          </cell>
          <cell r="E46">
            <v>33.283156583333337</v>
          </cell>
        </row>
        <row r="47">
          <cell r="D47">
            <v>40817</v>
          </cell>
          <cell r="E47">
            <v>33.192691623333339</v>
          </cell>
        </row>
        <row r="48">
          <cell r="D48">
            <v>40848</v>
          </cell>
          <cell r="E48">
            <v>32.692951433333342</v>
          </cell>
        </row>
        <row r="49">
          <cell r="D49">
            <v>40878</v>
          </cell>
          <cell r="E49">
            <v>32.989719380000004</v>
          </cell>
        </row>
        <row r="50">
          <cell r="D50">
            <v>40909</v>
          </cell>
          <cell r="E50">
            <v>32.198859042500004</v>
          </cell>
        </row>
        <row r="51">
          <cell r="D51">
            <v>40940</v>
          </cell>
          <cell r="E51">
            <v>31.244780012500012</v>
          </cell>
        </row>
        <row r="52">
          <cell r="D52">
            <v>40969</v>
          </cell>
          <cell r="E52">
            <v>28.683374705000006</v>
          </cell>
        </row>
        <row r="53">
          <cell r="D53">
            <v>41000</v>
          </cell>
          <cell r="E53">
            <v>26.279724164166666</v>
          </cell>
        </row>
        <row r="54">
          <cell r="D54">
            <v>41030</v>
          </cell>
          <cell r="E54">
            <v>25.443186600833332</v>
          </cell>
        </row>
        <row r="55">
          <cell r="D55">
            <v>41061</v>
          </cell>
          <cell r="E55">
            <v>24.859214725833336</v>
          </cell>
        </row>
        <row r="56">
          <cell r="D56">
            <v>41091</v>
          </cell>
          <cell r="E56">
            <v>25.151105183333332</v>
          </cell>
        </row>
        <row r="57">
          <cell r="D57">
            <v>41122</v>
          </cell>
          <cell r="E57">
            <v>25.242073523333332</v>
          </cell>
        </row>
        <row r="58">
          <cell r="D58">
            <v>41153</v>
          </cell>
          <cell r="E58">
            <v>25.6557896875</v>
          </cell>
        </row>
        <row r="59">
          <cell r="D59">
            <v>41183</v>
          </cell>
          <cell r="E59">
            <v>25.893194809999994</v>
          </cell>
        </row>
        <row r="60">
          <cell r="D60">
            <v>41214</v>
          </cell>
          <cell r="E60">
            <v>25.807296774166662</v>
          </cell>
        </row>
        <row r="61">
          <cell r="D61">
            <v>41244</v>
          </cell>
          <cell r="E61">
            <v>25.004519185833331</v>
          </cell>
        </row>
        <row r="62">
          <cell r="D62">
            <v>41275</v>
          </cell>
          <cell r="E62">
            <v>24.641099706666665</v>
          </cell>
        </row>
        <row r="63">
          <cell r="D63">
            <v>41306</v>
          </cell>
          <cell r="E63">
            <v>25.151653842499996</v>
          </cell>
        </row>
        <row r="64">
          <cell r="D64">
            <v>41334</v>
          </cell>
          <cell r="E64">
            <v>25.146388361666656</v>
          </cell>
        </row>
        <row r="65">
          <cell r="D65">
            <v>41365</v>
          </cell>
          <cell r="E65">
            <v>26.071300829166656</v>
          </cell>
        </row>
        <row r="66">
          <cell r="D66">
            <v>41395</v>
          </cell>
          <cell r="E66">
            <v>26.37202933833332</v>
          </cell>
        </row>
        <row r="67">
          <cell r="D67">
            <v>41426</v>
          </cell>
          <cell r="E67">
            <v>26.89949404333333</v>
          </cell>
        </row>
        <row r="68">
          <cell r="D68">
            <v>41456</v>
          </cell>
          <cell r="E68">
            <v>27.329230911666659</v>
          </cell>
        </row>
        <row r="69">
          <cell r="D69">
            <v>41487</v>
          </cell>
          <cell r="E69">
            <v>28.120267769166663</v>
          </cell>
        </row>
      </sheetData>
      <sheetData sheetId="18">
        <row r="20">
          <cell r="D20">
            <v>39995</v>
          </cell>
        </row>
        <row r="21">
          <cell r="D21">
            <v>40026</v>
          </cell>
          <cell r="E21">
            <v>15.728549615</v>
          </cell>
        </row>
        <row r="22">
          <cell r="D22">
            <v>40057</v>
          </cell>
          <cell r="E22">
            <v>15.679299966666667</v>
          </cell>
        </row>
        <row r="23">
          <cell r="D23">
            <v>40087</v>
          </cell>
          <cell r="E23">
            <v>15.19994593083333</v>
          </cell>
        </row>
        <row r="24">
          <cell r="D24">
            <v>40118</v>
          </cell>
          <cell r="E24">
            <v>14.990292768333331</v>
          </cell>
        </row>
        <row r="25">
          <cell r="D25">
            <v>40148</v>
          </cell>
          <cell r="E25">
            <v>14.7309885</v>
          </cell>
        </row>
        <row r="26">
          <cell r="D26">
            <v>40179</v>
          </cell>
          <cell r="E26">
            <v>14.518990800833331</v>
          </cell>
        </row>
        <row r="27">
          <cell r="D27">
            <v>40210</v>
          </cell>
          <cell r="E27">
            <v>13.946472753333333</v>
          </cell>
        </row>
        <row r="28">
          <cell r="D28">
            <v>40238</v>
          </cell>
          <cell r="E28">
            <v>13.738736267499997</v>
          </cell>
        </row>
        <row r="29">
          <cell r="D29">
            <v>40269</v>
          </cell>
          <cell r="E29">
            <v>13.819736270833333</v>
          </cell>
        </row>
        <row r="30">
          <cell r="D30">
            <v>40299</v>
          </cell>
          <cell r="E30">
            <v>13.7756889375</v>
          </cell>
        </row>
        <row r="31">
          <cell r="D31">
            <v>40330</v>
          </cell>
          <cell r="E31">
            <v>14.023670532499999</v>
          </cell>
        </row>
        <row r="32">
          <cell r="D32">
            <v>40360</v>
          </cell>
          <cell r="E32">
            <v>14.059890238333331</v>
          </cell>
        </row>
        <row r="33">
          <cell r="D33">
            <v>40391</v>
          </cell>
          <cell r="E33">
            <v>14.431678624166665</v>
          </cell>
        </row>
        <row r="34">
          <cell r="D34">
            <v>40422</v>
          </cell>
          <cell r="E34">
            <v>14.560930649999998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14.658592814166672</v>
          </cell>
        </row>
        <row r="37">
          <cell r="D37">
            <v>40513</v>
          </cell>
          <cell r="E37">
            <v>14.334616765833331</v>
          </cell>
        </row>
        <row r="38">
          <cell r="D38">
            <v>40544</v>
          </cell>
          <cell r="E38">
            <v>14.502024460000001</v>
          </cell>
        </row>
        <row r="39">
          <cell r="D39">
            <v>40575</v>
          </cell>
          <cell r="E39">
            <v>14.607061957499999</v>
          </cell>
        </row>
        <row r="40">
          <cell r="D40">
            <v>40603</v>
          </cell>
          <cell r="E40">
            <v>14.617392569166666</v>
          </cell>
        </row>
        <row r="41">
          <cell r="D41">
            <v>40634</v>
          </cell>
          <cell r="E41">
            <v>14.987164715</v>
          </cell>
        </row>
        <row r="42">
          <cell r="D42">
            <v>40664</v>
          </cell>
          <cell r="E42">
            <v>15.061438935</v>
          </cell>
        </row>
        <row r="43">
          <cell r="D43">
            <v>40695</v>
          </cell>
          <cell r="E43">
            <v>15.192552441666676</v>
          </cell>
        </row>
        <row r="44">
          <cell r="D44">
            <v>40725</v>
          </cell>
          <cell r="E44">
            <v>15.332398138333341</v>
          </cell>
        </row>
        <row r="45">
          <cell r="D45">
            <v>40756</v>
          </cell>
          <cell r="E45">
            <v>15.418565355833339</v>
          </cell>
        </row>
        <row r="46">
          <cell r="D46">
            <v>40787</v>
          </cell>
          <cell r="E46">
            <v>15.50635131083334</v>
          </cell>
        </row>
        <row r="47">
          <cell r="D47">
            <v>40817</v>
          </cell>
          <cell r="E47">
            <v>15.661868365833342</v>
          </cell>
        </row>
        <row r="48">
          <cell r="D48">
            <v>40848</v>
          </cell>
          <cell r="E48">
            <v>15.809223649166675</v>
          </cell>
        </row>
        <row r="49">
          <cell r="D49">
            <v>40878</v>
          </cell>
          <cell r="E49">
            <v>16.259010192500007</v>
          </cell>
        </row>
        <row r="50">
          <cell r="D50">
            <v>40909</v>
          </cell>
          <cell r="E50">
            <v>16.514289863333342</v>
          </cell>
        </row>
        <row r="51">
          <cell r="D51">
            <v>40940</v>
          </cell>
          <cell r="E51">
            <v>17.040904015000006</v>
          </cell>
        </row>
        <row r="52">
          <cell r="D52">
            <v>40969</v>
          </cell>
          <cell r="E52">
            <v>17.204968409166675</v>
          </cell>
        </row>
        <row r="53">
          <cell r="D53">
            <v>41000</v>
          </cell>
          <cell r="E53">
            <v>17.44754741833334</v>
          </cell>
        </row>
        <row r="54">
          <cell r="D54">
            <v>41030</v>
          </cell>
          <cell r="E54">
            <v>18.152476415000002</v>
          </cell>
        </row>
        <row r="55">
          <cell r="D55">
            <v>41061</v>
          </cell>
          <cell r="E55">
            <v>18.516204892499999</v>
          </cell>
        </row>
        <row r="56">
          <cell r="D56">
            <v>41091</v>
          </cell>
          <cell r="E56">
            <v>19.045656731666661</v>
          </cell>
        </row>
        <row r="57">
          <cell r="D57">
            <v>41122</v>
          </cell>
          <cell r="E57">
            <v>19.373752504999995</v>
          </cell>
        </row>
        <row r="58">
          <cell r="D58">
            <v>41153</v>
          </cell>
          <cell r="E58">
            <v>19.599477959166659</v>
          </cell>
        </row>
        <row r="59">
          <cell r="D59">
            <v>41183</v>
          </cell>
          <cell r="E59">
            <v>20.298800183333327</v>
          </cell>
        </row>
        <row r="60">
          <cell r="D60">
            <v>41214</v>
          </cell>
          <cell r="E60">
            <v>20.843107209166654</v>
          </cell>
        </row>
        <row r="61">
          <cell r="D61">
            <v>41244</v>
          </cell>
          <cell r="E61">
            <v>21.212503679999987</v>
          </cell>
        </row>
        <row r="62">
          <cell r="D62">
            <v>41275</v>
          </cell>
          <cell r="E62">
            <v>21.462671349166651</v>
          </cell>
        </row>
        <row r="63">
          <cell r="D63">
            <v>41306</v>
          </cell>
          <cell r="E63">
            <v>21.611198524999988</v>
          </cell>
        </row>
        <row r="64">
          <cell r="D64">
            <v>41334</v>
          </cell>
          <cell r="E64">
            <v>21.731618996666651</v>
          </cell>
        </row>
        <row r="65">
          <cell r="D65">
            <v>41365</v>
          </cell>
          <cell r="E65">
            <v>21.875680437499984</v>
          </cell>
        </row>
        <row r="66">
          <cell r="D66">
            <v>41395</v>
          </cell>
          <cell r="E66">
            <v>21.734491066666653</v>
          </cell>
        </row>
        <row r="67">
          <cell r="D67">
            <v>41426</v>
          </cell>
          <cell r="E67">
            <v>21.442173780833318</v>
          </cell>
        </row>
        <row r="68">
          <cell r="D68">
            <v>41456</v>
          </cell>
          <cell r="E68">
            <v>21.246029746666654</v>
          </cell>
        </row>
        <row r="69">
          <cell r="D69">
            <v>41487</v>
          </cell>
          <cell r="E69">
            <v>20.987683088333323</v>
          </cell>
        </row>
      </sheetData>
      <sheetData sheetId="19">
        <row r="20">
          <cell r="D20">
            <v>39995</v>
          </cell>
        </row>
        <row r="21">
          <cell r="D21">
            <v>40026</v>
          </cell>
          <cell r="E21">
            <v>30.226269621666663</v>
          </cell>
        </row>
        <row r="22">
          <cell r="D22">
            <v>40057</v>
          </cell>
          <cell r="E22">
            <v>29.669869774999995</v>
          </cell>
        </row>
        <row r="23">
          <cell r="D23">
            <v>40087</v>
          </cell>
          <cell r="E23">
            <v>26.74248184166666</v>
          </cell>
        </row>
        <row r="24">
          <cell r="D24">
            <v>40118</v>
          </cell>
          <cell r="E24">
            <v>24.65384767583333</v>
          </cell>
        </row>
        <row r="25">
          <cell r="D25">
            <v>40148</v>
          </cell>
          <cell r="E25">
            <v>23.05967395916667</v>
          </cell>
        </row>
        <row r="26">
          <cell r="D26">
            <v>40179</v>
          </cell>
          <cell r="E26">
            <v>22.263472544166664</v>
          </cell>
        </row>
        <row r="27">
          <cell r="D27">
            <v>40210</v>
          </cell>
          <cell r="E27">
            <v>21.356658923333338</v>
          </cell>
        </row>
        <row r="28">
          <cell r="D28">
            <v>40238</v>
          </cell>
          <cell r="E28">
            <v>20.560388841666668</v>
          </cell>
        </row>
        <row r="29">
          <cell r="D29">
            <v>40269</v>
          </cell>
          <cell r="E29">
            <v>20.16964782416667</v>
          </cell>
        </row>
        <row r="30">
          <cell r="D30">
            <v>40299</v>
          </cell>
          <cell r="E30">
            <v>17.008287950833338</v>
          </cell>
        </row>
        <row r="31">
          <cell r="D31">
            <v>40330</v>
          </cell>
          <cell r="E31">
            <v>14.666931703333338</v>
          </cell>
        </row>
        <row r="32">
          <cell r="D32">
            <v>40360</v>
          </cell>
          <cell r="E32">
            <v>14.417360290000003</v>
          </cell>
        </row>
        <row r="33">
          <cell r="D33">
            <v>40391</v>
          </cell>
          <cell r="E33">
            <v>14.330803093333337</v>
          </cell>
        </row>
        <row r="34">
          <cell r="D34">
            <v>40422</v>
          </cell>
          <cell r="E34">
            <v>14.599259789999998</v>
          </cell>
        </row>
        <row r="35">
          <cell r="D35">
            <v>40452</v>
          </cell>
          <cell r="E35">
            <v>14.533863280833332</v>
          </cell>
        </row>
        <row r="36">
          <cell r="D36">
            <v>40483</v>
          </cell>
          <cell r="E36">
            <v>14.656413392500001</v>
          </cell>
        </row>
        <row r="37">
          <cell r="D37">
            <v>40513</v>
          </cell>
          <cell r="E37">
            <v>14.905566910833334</v>
          </cell>
        </row>
        <row r="38">
          <cell r="D38">
            <v>40544</v>
          </cell>
          <cell r="E38">
            <v>15.284423713333334</v>
          </cell>
        </row>
        <row r="39">
          <cell r="D39">
            <v>40575</v>
          </cell>
          <cell r="E39">
            <v>15.472928923333336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17.184891613333345</v>
          </cell>
        </row>
        <row r="42">
          <cell r="D42">
            <v>40664</v>
          </cell>
          <cell r="E42">
            <v>17.230164251666675</v>
          </cell>
        </row>
        <row r="43">
          <cell r="D43">
            <v>40695</v>
          </cell>
          <cell r="E43">
            <v>17.680371700833348</v>
          </cell>
        </row>
        <row r="44">
          <cell r="D44">
            <v>40725</v>
          </cell>
          <cell r="E44">
            <v>17.724229830833348</v>
          </cell>
        </row>
        <row r="45">
          <cell r="D45">
            <v>40756</v>
          </cell>
          <cell r="E45">
            <v>18.267408269166683</v>
          </cell>
        </row>
        <row r="46">
          <cell r="D46">
            <v>40787</v>
          </cell>
          <cell r="E46">
            <v>18.05600345333335</v>
          </cell>
        </row>
        <row r="47">
          <cell r="D47">
            <v>40817</v>
          </cell>
          <cell r="E47">
            <v>18.332448111666682</v>
          </cell>
        </row>
        <row r="48">
          <cell r="D48">
            <v>40848</v>
          </cell>
          <cell r="E48">
            <v>18.663593040833344</v>
          </cell>
        </row>
        <row r="49">
          <cell r="D49">
            <v>40878</v>
          </cell>
          <cell r="E49">
            <v>18.806936319166681</v>
          </cell>
        </row>
        <row r="50">
          <cell r="D50">
            <v>40909</v>
          </cell>
          <cell r="E50">
            <v>18.835264034166681</v>
          </cell>
        </row>
        <row r="51">
          <cell r="D51">
            <v>40940</v>
          </cell>
          <cell r="E51">
            <v>19.048853341666682</v>
          </cell>
        </row>
        <row r="52">
          <cell r="D52">
            <v>40969</v>
          </cell>
          <cell r="E52">
            <v>17.892729034166674</v>
          </cell>
        </row>
        <row r="53">
          <cell r="D53">
            <v>41000</v>
          </cell>
          <cell r="E53">
            <v>17.767894255000009</v>
          </cell>
        </row>
        <row r="54">
          <cell r="D54">
            <v>41030</v>
          </cell>
          <cell r="E54">
            <v>18.476960850000005</v>
          </cell>
        </row>
        <row r="55">
          <cell r="D55">
            <v>41061</v>
          </cell>
          <cell r="E55">
            <v>18.284546445833335</v>
          </cell>
        </row>
        <row r="56">
          <cell r="D56">
            <v>41091</v>
          </cell>
          <cell r="E56">
            <v>18.918583850833329</v>
          </cell>
        </row>
        <row r="57">
          <cell r="D57">
            <v>41122</v>
          </cell>
          <cell r="E57">
            <v>19.07149873083333</v>
          </cell>
        </row>
        <row r="58">
          <cell r="D58">
            <v>41153</v>
          </cell>
          <cell r="E58">
            <v>19.738001481666668</v>
          </cell>
        </row>
        <row r="59">
          <cell r="D59">
            <v>41183</v>
          </cell>
          <cell r="E59">
            <v>20.185269109999997</v>
          </cell>
        </row>
        <row r="60">
          <cell r="D60">
            <v>41214</v>
          </cell>
          <cell r="E60">
            <v>20.040446088333336</v>
          </cell>
        </row>
        <row r="61">
          <cell r="D61">
            <v>41244</v>
          </cell>
          <cell r="E61">
            <v>19.932105189166666</v>
          </cell>
        </row>
        <row r="62">
          <cell r="D62">
            <v>41275</v>
          </cell>
          <cell r="E62">
            <v>19.911617657499999</v>
          </cell>
        </row>
        <row r="63">
          <cell r="D63">
            <v>41306</v>
          </cell>
          <cell r="E63">
            <v>19.865021451666671</v>
          </cell>
        </row>
        <row r="64">
          <cell r="D64">
            <v>41334</v>
          </cell>
          <cell r="E64">
            <v>19.531605270833342</v>
          </cell>
        </row>
        <row r="65">
          <cell r="D65">
            <v>41365</v>
          </cell>
          <cell r="E65">
            <v>19.727660788333342</v>
          </cell>
        </row>
        <row r="66">
          <cell r="D66">
            <v>41395</v>
          </cell>
          <cell r="E66">
            <v>19.524189086666677</v>
          </cell>
        </row>
        <row r="67">
          <cell r="D67">
            <v>41426</v>
          </cell>
          <cell r="E67">
            <v>19.26251470250001</v>
          </cell>
        </row>
        <row r="68">
          <cell r="D68">
            <v>41456</v>
          </cell>
          <cell r="E68">
            <v>19.121194034166678</v>
          </cell>
        </row>
        <row r="69">
          <cell r="D69">
            <v>41487</v>
          </cell>
          <cell r="E69">
            <v>18.737883674166671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tradicionales"/>
    </sheetNames>
    <sheetDataSet>
      <sheetData sheetId="0">
        <row r="7">
          <cell r="C7">
            <v>4908133</v>
          </cell>
          <cell r="D7">
            <v>39303503</v>
          </cell>
          <cell r="E7">
            <v>15849413</v>
          </cell>
          <cell r="F7">
            <v>32649073</v>
          </cell>
          <cell r="G7">
            <v>29168999</v>
          </cell>
          <cell r="H7">
            <v>17413149</v>
          </cell>
        </row>
        <row r="8">
          <cell r="C8">
            <v>13215481</v>
          </cell>
          <cell r="D8">
            <v>35060711</v>
          </cell>
          <cell r="E8">
            <v>15829096</v>
          </cell>
          <cell r="F8">
            <v>27516205</v>
          </cell>
          <cell r="G8">
            <v>40585464</v>
          </cell>
          <cell r="H8">
            <v>30976024</v>
          </cell>
        </row>
        <row r="9">
          <cell r="C9">
            <v>15536369</v>
          </cell>
          <cell r="D9">
            <v>32991284</v>
          </cell>
          <cell r="E9">
            <v>23157443</v>
          </cell>
          <cell r="F9">
            <v>52089572</v>
          </cell>
          <cell r="G9">
            <v>27181938</v>
          </cell>
          <cell r="H9">
            <v>15453935</v>
          </cell>
        </row>
        <row r="10">
          <cell r="C10">
            <v>24652837</v>
          </cell>
          <cell r="D10">
            <v>30051522</v>
          </cell>
          <cell r="E10">
            <v>14453159</v>
          </cell>
          <cell r="F10">
            <v>86402929</v>
          </cell>
          <cell r="G10">
            <v>13412137</v>
          </cell>
          <cell r="H10">
            <v>17345039</v>
          </cell>
        </row>
        <row r="11">
          <cell r="C11">
            <v>30291212</v>
          </cell>
          <cell r="D11">
            <v>15330900</v>
          </cell>
          <cell r="E11">
            <v>25110379</v>
          </cell>
          <cell r="F11">
            <v>33364112</v>
          </cell>
          <cell r="G11">
            <v>21011601</v>
          </cell>
          <cell r="H11">
            <v>21488113</v>
          </cell>
        </row>
        <row r="12">
          <cell r="C12">
            <v>33686581</v>
          </cell>
          <cell r="D12">
            <v>27916739</v>
          </cell>
          <cell r="E12">
            <v>32448986</v>
          </cell>
          <cell r="F12">
            <v>26562278</v>
          </cell>
          <cell r="G12">
            <v>17302167</v>
          </cell>
          <cell r="H12">
            <v>20906895</v>
          </cell>
        </row>
        <row r="13">
          <cell r="C13">
            <v>27157116</v>
          </cell>
          <cell r="D13">
            <v>13003639</v>
          </cell>
          <cell r="E13">
            <v>13670313</v>
          </cell>
          <cell r="F13">
            <v>29919845</v>
          </cell>
          <cell r="G13">
            <v>21928730</v>
          </cell>
          <cell r="H13">
            <v>16898796</v>
          </cell>
        </row>
        <row r="14">
          <cell r="C14">
            <v>17197131</v>
          </cell>
          <cell r="D14">
            <v>13985434</v>
          </cell>
          <cell r="E14">
            <v>20265488</v>
          </cell>
          <cell r="F14">
            <v>27650538</v>
          </cell>
          <cell r="G14">
            <v>15897212</v>
          </cell>
          <cell r="H14">
            <v>21486942</v>
          </cell>
        </row>
        <row r="15">
          <cell r="C15">
            <v>27797909</v>
          </cell>
          <cell r="D15">
            <v>16610231</v>
          </cell>
          <cell r="E15">
            <v>18731958</v>
          </cell>
          <cell r="F15">
            <v>26088029</v>
          </cell>
          <cell r="G15">
            <v>15189285</v>
          </cell>
        </row>
        <row r="16">
          <cell r="C16">
            <v>37939425</v>
          </cell>
          <cell r="D16">
            <v>12805666</v>
          </cell>
          <cell r="E16">
            <v>24135226</v>
          </cell>
          <cell r="F16">
            <v>26805617</v>
          </cell>
          <cell r="G16">
            <v>18212147</v>
          </cell>
        </row>
        <row r="17">
          <cell r="C17">
            <v>23466853</v>
          </cell>
          <cell r="D17">
            <v>16578146</v>
          </cell>
          <cell r="E17">
            <v>33995558</v>
          </cell>
          <cell r="F17">
            <v>27155206</v>
          </cell>
          <cell r="G17">
            <v>18588825</v>
          </cell>
        </row>
        <row r="18">
          <cell r="C18">
            <v>31650980</v>
          </cell>
          <cell r="D18">
            <v>23241848</v>
          </cell>
          <cell r="E18">
            <v>30091881</v>
          </cell>
          <cell r="F18">
            <v>30185132</v>
          </cell>
          <cell r="G18">
            <v>19335864</v>
          </cell>
        </row>
        <row r="19">
          <cell r="C19">
            <v>205299099</v>
          </cell>
          <cell r="D19">
            <v>202697429</v>
          </cell>
          <cell r="E19">
            <v>154947247</v>
          </cell>
          <cell r="F19">
            <v>195173411</v>
          </cell>
          <cell r="G19">
            <v>227489373</v>
          </cell>
          <cell r="H19">
            <v>188022043</v>
          </cell>
        </row>
        <row r="20">
          <cell r="C20">
            <v>248890377</v>
          </cell>
          <cell r="D20">
            <v>216908951</v>
          </cell>
          <cell r="E20">
            <v>190690085</v>
          </cell>
          <cell r="F20">
            <v>221708187</v>
          </cell>
          <cell r="G20">
            <v>235264808</v>
          </cell>
          <cell r="H20">
            <v>207290910</v>
          </cell>
        </row>
        <row r="21">
          <cell r="C21">
            <v>250641709</v>
          </cell>
          <cell r="D21">
            <v>239327665</v>
          </cell>
          <cell r="E21">
            <v>273620304</v>
          </cell>
          <cell r="F21">
            <v>334628468</v>
          </cell>
          <cell r="G21">
            <v>295530693</v>
          </cell>
          <cell r="H21">
            <v>255177530</v>
          </cell>
        </row>
        <row r="22">
          <cell r="C22">
            <v>317478124</v>
          </cell>
          <cell r="D22">
            <v>193712785</v>
          </cell>
          <cell r="E22">
            <v>212120414</v>
          </cell>
          <cell r="F22">
            <v>253732707</v>
          </cell>
          <cell r="G22">
            <v>217099123</v>
          </cell>
          <cell r="H22">
            <v>309490153</v>
          </cell>
        </row>
        <row r="23">
          <cell r="C23">
            <v>272727662</v>
          </cell>
          <cell r="D23">
            <v>252741778</v>
          </cell>
          <cell r="E23">
            <v>330194057</v>
          </cell>
          <cell r="F23">
            <v>231969696</v>
          </cell>
          <cell r="G23">
            <v>285657520</v>
          </cell>
          <cell r="H23">
            <v>301997421</v>
          </cell>
        </row>
        <row r="24">
          <cell r="C24">
            <v>259194451</v>
          </cell>
          <cell r="D24">
            <v>225420420</v>
          </cell>
          <cell r="E24">
            <v>201914582</v>
          </cell>
          <cell r="F24">
            <v>271087154</v>
          </cell>
          <cell r="G24">
            <v>236507140</v>
          </cell>
          <cell r="H24">
            <v>262183898</v>
          </cell>
        </row>
        <row r="25">
          <cell r="C25">
            <v>311694791</v>
          </cell>
          <cell r="D25">
            <v>213838402</v>
          </cell>
          <cell r="E25">
            <v>181865575</v>
          </cell>
          <cell r="F25">
            <v>255248132</v>
          </cell>
          <cell r="G25">
            <v>298191983</v>
          </cell>
          <cell r="H25">
            <v>262800154</v>
          </cell>
        </row>
        <row r="26">
          <cell r="C26">
            <v>272718039</v>
          </cell>
          <cell r="D26">
            <v>193384878</v>
          </cell>
          <cell r="E26">
            <v>201649552</v>
          </cell>
          <cell r="F26">
            <v>293692039</v>
          </cell>
          <cell r="G26">
            <v>255407268</v>
          </cell>
          <cell r="H26">
            <v>224192924</v>
          </cell>
        </row>
        <row r="27">
          <cell r="C27">
            <v>240200468</v>
          </cell>
          <cell r="D27">
            <v>233751973</v>
          </cell>
          <cell r="E27">
            <v>249953330</v>
          </cell>
          <cell r="F27">
            <v>231368979</v>
          </cell>
          <cell r="G27">
            <v>241686153</v>
          </cell>
        </row>
        <row r="28">
          <cell r="C28">
            <v>371007234</v>
          </cell>
          <cell r="D28">
            <v>206411762</v>
          </cell>
          <cell r="E28">
            <v>227155241</v>
          </cell>
          <cell r="F28">
            <v>237546186</v>
          </cell>
          <cell r="G28">
            <v>250480924</v>
          </cell>
        </row>
        <row r="29">
          <cell r="C29">
            <v>261514374</v>
          </cell>
          <cell r="D29">
            <v>210399902</v>
          </cell>
          <cell r="E29">
            <v>202186712</v>
          </cell>
          <cell r="F29">
            <v>316594431</v>
          </cell>
          <cell r="G29">
            <v>252771465</v>
          </cell>
        </row>
        <row r="30">
          <cell r="C30">
            <v>286961248</v>
          </cell>
          <cell r="D30">
            <v>219920185</v>
          </cell>
          <cell r="E30">
            <v>251007241</v>
          </cell>
          <cell r="F30">
            <v>473173489</v>
          </cell>
          <cell r="G30">
            <v>235901687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intensidad_tecnologic"/>
    </sheetNames>
    <sheetDataSet>
      <sheetData sheetId="0">
        <row r="19">
          <cell r="C19">
            <v>11449368</v>
          </cell>
          <cell r="D19">
            <v>38223586</v>
          </cell>
          <cell r="E19">
            <v>35578917</v>
          </cell>
          <cell r="F19">
            <v>76465271</v>
          </cell>
          <cell r="G19">
            <v>103057356</v>
          </cell>
          <cell r="H19">
            <v>50843621</v>
          </cell>
        </row>
        <row r="20">
          <cell r="C20">
            <v>29353292</v>
          </cell>
          <cell r="D20">
            <v>35953193</v>
          </cell>
          <cell r="E20">
            <v>39551887</v>
          </cell>
          <cell r="F20">
            <v>83913959</v>
          </cell>
          <cell r="G20">
            <v>78985446</v>
          </cell>
          <cell r="H20">
            <v>62802674</v>
          </cell>
        </row>
        <row r="21">
          <cell r="C21">
            <v>27438889</v>
          </cell>
          <cell r="D21">
            <v>38081356</v>
          </cell>
          <cell r="E21">
            <v>59710332</v>
          </cell>
          <cell r="F21">
            <v>112781130</v>
          </cell>
          <cell r="G21">
            <v>123590428</v>
          </cell>
          <cell r="H21">
            <v>98963423</v>
          </cell>
        </row>
        <row r="22">
          <cell r="C22">
            <v>24233457</v>
          </cell>
          <cell r="D22">
            <v>40676340</v>
          </cell>
          <cell r="E22">
            <v>36316001</v>
          </cell>
          <cell r="F22">
            <v>109009939</v>
          </cell>
          <cell r="G22">
            <v>55853387</v>
          </cell>
          <cell r="H22">
            <v>117311171</v>
          </cell>
        </row>
        <row r="23">
          <cell r="C23">
            <v>31560879</v>
          </cell>
          <cell r="D23">
            <v>31903930</v>
          </cell>
          <cell r="E23">
            <v>93453502</v>
          </cell>
          <cell r="F23">
            <v>95863069</v>
          </cell>
          <cell r="G23">
            <v>78643210</v>
          </cell>
          <cell r="H23">
            <v>108884582</v>
          </cell>
        </row>
        <row r="24">
          <cell r="C24">
            <v>23495373</v>
          </cell>
          <cell r="D24">
            <v>41351608</v>
          </cell>
          <cell r="E24">
            <v>48789141</v>
          </cell>
          <cell r="F24">
            <v>91378673</v>
          </cell>
          <cell r="G24">
            <v>55590037</v>
          </cell>
          <cell r="H24">
            <v>94940662</v>
          </cell>
        </row>
        <row r="25">
          <cell r="C25">
            <v>25970631</v>
          </cell>
          <cell r="D25">
            <v>28143013</v>
          </cell>
          <cell r="E25">
            <v>27177732</v>
          </cell>
          <cell r="F25">
            <v>65838877</v>
          </cell>
          <cell r="G25">
            <v>101809813</v>
          </cell>
          <cell r="H25">
            <v>75380401</v>
          </cell>
        </row>
        <row r="26">
          <cell r="C26">
            <v>17662241</v>
          </cell>
          <cell r="D26">
            <v>24973902</v>
          </cell>
          <cell r="E26">
            <v>50193571</v>
          </cell>
          <cell r="F26">
            <v>70261865</v>
          </cell>
          <cell r="G26">
            <v>58422401</v>
          </cell>
          <cell r="H26">
            <v>70101549</v>
          </cell>
        </row>
        <row r="27">
          <cell r="C27">
            <v>11456572</v>
          </cell>
          <cell r="D27">
            <v>32465790</v>
          </cell>
          <cell r="E27">
            <v>46919073</v>
          </cell>
          <cell r="F27">
            <v>40080186</v>
          </cell>
          <cell r="G27">
            <v>47716820</v>
          </cell>
        </row>
        <row r="28">
          <cell r="C28">
            <v>28241161</v>
          </cell>
          <cell r="D28">
            <v>30818999</v>
          </cell>
          <cell r="E28">
            <v>43989147</v>
          </cell>
          <cell r="F28">
            <v>57183249</v>
          </cell>
          <cell r="G28">
            <v>47382145</v>
          </cell>
        </row>
        <row r="29">
          <cell r="C29">
            <v>18526929</v>
          </cell>
          <cell r="D29">
            <v>51309499</v>
          </cell>
          <cell r="E29">
            <v>76347657</v>
          </cell>
          <cell r="F29">
            <v>72571135</v>
          </cell>
          <cell r="G29">
            <v>62322563</v>
          </cell>
        </row>
        <row r="30">
          <cell r="C30">
            <v>24586250</v>
          </cell>
          <cell r="D30">
            <v>44622080</v>
          </cell>
          <cell r="E30">
            <v>106151449</v>
          </cell>
          <cell r="F30">
            <v>55955758</v>
          </cell>
          <cell r="G30">
            <v>45386306</v>
          </cell>
        </row>
        <row r="31">
          <cell r="C31">
            <v>19404335</v>
          </cell>
          <cell r="D31">
            <v>33199253</v>
          </cell>
          <cell r="E31">
            <v>19423838</v>
          </cell>
          <cell r="F31">
            <v>19761903</v>
          </cell>
          <cell r="G31">
            <v>31143080</v>
          </cell>
          <cell r="H31">
            <v>31936991</v>
          </cell>
        </row>
        <row r="32">
          <cell r="C32">
            <v>35535169</v>
          </cell>
          <cell r="D32">
            <v>36178716</v>
          </cell>
          <cell r="E32">
            <v>25536851</v>
          </cell>
          <cell r="F32">
            <v>19592668</v>
          </cell>
          <cell r="G32">
            <v>36954486</v>
          </cell>
          <cell r="H32">
            <v>39092034</v>
          </cell>
        </row>
        <row r="33">
          <cell r="C33">
            <v>40003262</v>
          </cell>
          <cell r="D33">
            <v>36946571</v>
          </cell>
          <cell r="E33">
            <v>32256865</v>
          </cell>
          <cell r="F33">
            <v>34376003</v>
          </cell>
          <cell r="G33">
            <v>39617266</v>
          </cell>
          <cell r="H33">
            <v>30279764</v>
          </cell>
        </row>
        <row r="34">
          <cell r="C34">
            <v>68962762</v>
          </cell>
          <cell r="D34">
            <v>24392818</v>
          </cell>
          <cell r="E34">
            <v>29191518</v>
          </cell>
          <cell r="F34">
            <v>78922756</v>
          </cell>
          <cell r="G34">
            <v>32603640</v>
          </cell>
          <cell r="H34">
            <v>39651344</v>
          </cell>
        </row>
        <row r="35">
          <cell r="C35">
            <v>50627219</v>
          </cell>
          <cell r="D35">
            <v>26788234</v>
          </cell>
          <cell r="E35">
            <v>31292995</v>
          </cell>
          <cell r="F35">
            <v>28489496</v>
          </cell>
          <cell r="G35">
            <v>38740255</v>
          </cell>
          <cell r="H35">
            <v>37532885</v>
          </cell>
        </row>
        <row r="36">
          <cell r="C36">
            <v>71879600</v>
          </cell>
          <cell r="D36">
            <v>22363286</v>
          </cell>
          <cell r="E36">
            <v>30560026</v>
          </cell>
          <cell r="F36">
            <v>38657925</v>
          </cell>
          <cell r="G36">
            <v>39054672</v>
          </cell>
          <cell r="H36">
            <v>34031957</v>
          </cell>
        </row>
        <row r="37">
          <cell r="C37">
            <v>62214163</v>
          </cell>
          <cell r="D37">
            <v>27634945</v>
          </cell>
          <cell r="E37">
            <v>26095575</v>
          </cell>
          <cell r="F37">
            <v>40073119</v>
          </cell>
          <cell r="G37">
            <v>39349751</v>
          </cell>
          <cell r="H37">
            <v>36822349</v>
          </cell>
        </row>
        <row r="38">
          <cell r="C38">
            <v>56475669</v>
          </cell>
          <cell r="D38">
            <v>30602355</v>
          </cell>
          <cell r="E38">
            <v>25372413</v>
          </cell>
          <cell r="F38">
            <v>38351876</v>
          </cell>
          <cell r="G38">
            <v>45721719</v>
          </cell>
          <cell r="H38">
            <v>36834506</v>
          </cell>
        </row>
        <row r="39">
          <cell r="C39">
            <v>40943090</v>
          </cell>
          <cell r="D39">
            <v>35238088</v>
          </cell>
          <cell r="E39">
            <v>29684375</v>
          </cell>
          <cell r="F39">
            <v>37214650</v>
          </cell>
          <cell r="G39">
            <v>41292535</v>
          </cell>
        </row>
        <row r="40">
          <cell r="C40">
            <v>59784437</v>
          </cell>
          <cell r="D40">
            <v>28815689</v>
          </cell>
          <cell r="E40">
            <v>33353412</v>
          </cell>
          <cell r="F40">
            <v>30530895</v>
          </cell>
          <cell r="G40">
            <v>39761316</v>
          </cell>
        </row>
        <row r="41">
          <cell r="C41">
            <v>37392091</v>
          </cell>
          <cell r="D41">
            <v>28895007</v>
          </cell>
          <cell r="E41">
            <v>26537697</v>
          </cell>
          <cell r="F41">
            <v>35060509</v>
          </cell>
          <cell r="G41">
            <v>42251363</v>
          </cell>
        </row>
        <row r="42">
          <cell r="C42">
            <v>47370644</v>
          </cell>
          <cell r="D42">
            <v>32502701</v>
          </cell>
          <cell r="E42">
            <v>30797248</v>
          </cell>
          <cell r="F42">
            <v>35200983</v>
          </cell>
          <cell r="G42">
            <v>46495718</v>
          </cell>
        </row>
        <row r="43">
          <cell r="C43">
            <v>88437582</v>
          </cell>
          <cell r="D43">
            <v>64961584</v>
          </cell>
          <cell r="E43">
            <v>38253279</v>
          </cell>
          <cell r="F43">
            <v>37782482</v>
          </cell>
          <cell r="G43">
            <v>47299083</v>
          </cell>
          <cell r="H43">
            <v>47223116</v>
          </cell>
        </row>
        <row r="44">
          <cell r="C44">
            <v>84472151</v>
          </cell>
          <cell r="D44">
            <v>70957370</v>
          </cell>
          <cell r="E44">
            <v>53389837</v>
          </cell>
          <cell r="F44">
            <v>64074017</v>
          </cell>
          <cell r="G44">
            <v>55068254</v>
          </cell>
          <cell r="H44">
            <v>54015390</v>
          </cell>
        </row>
        <row r="45">
          <cell r="C45">
            <v>81187340</v>
          </cell>
          <cell r="D45">
            <v>76748939</v>
          </cell>
          <cell r="E45">
            <v>63580505</v>
          </cell>
          <cell r="F45">
            <v>77618883</v>
          </cell>
          <cell r="G45">
            <v>66097011</v>
          </cell>
          <cell r="H45">
            <v>56042362</v>
          </cell>
        </row>
        <row r="46">
          <cell r="C46">
            <v>118820877</v>
          </cell>
          <cell r="D46">
            <v>55561547</v>
          </cell>
          <cell r="E46">
            <v>58702657</v>
          </cell>
          <cell r="F46">
            <v>59840927</v>
          </cell>
          <cell r="G46">
            <v>55793082</v>
          </cell>
          <cell r="H46">
            <v>58701133</v>
          </cell>
        </row>
        <row r="47">
          <cell r="C47">
            <v>111525355</v>
          </cell>
          <cell r="D47">
            <v>93260051</v>
          </cell>
          <cell r="E47">
            <v>57660743</v>
          </cell>
          <cell r="F47">
            <v>47217824</v>
          </cell>
          <cell r="G47">
            <v>66040590</v>
          </cell>
          <cell r="H47">
            <v>64164793</v>
          </cell>
        </row>
        <row r="48">
          <cell r="C48">
            <v>89125365</v>
          </cell>
          <cell r="D48">
            <v>86122669</v>
          </cell>
          <cell r="E48">
            <v>62226002</v>
          </cell>
          <cell r="F48">
            <v>58835847</v>
          </cell>
          <cell r="G48">
            <v>62476954</v>
          </cell>
          <cell r="H48">
            <v>50674521</v>
          </cell>
        </row>
        <row r="49">
          <cell r="C49">
            <v>99360218</v>
          </cell>
          <cell r="D49">
            <v>58254476</v>
          </cell>
          <cell r="E49">
            <v>57792147</v>
          </cell>
          <cell r="F49">
            <v>51743691</v>
          </cell>
          <cell r="G49">
            <v>74847920</v>
          </cell>
          <cell r="H49">
            <v>59146653</v>
          </cell>
        </row>
        <row r="50">
          <cell r="C50">
            <v>91750338</v>
          </cell>
          <cell r="D50">
            <v>47323711</v>
          </cell>
          <cell r="E50">
            <v>47272436</v>
          </cell>
          <cell r="F50">
            <v>59643309</v>
          </cell>
          <cell r="G50">
            <v>65476479</v>
          </cell>
          <cell r="H50">
            <v>51089906</v>
          </cell>
        </row>
        <row r="51">
          <cell r="C51">
            <v>87287747</v>
          </cell>
          <cell r="D51">
            <v>60902158</v>
          </cell>
          <cell r="E51">
            <v>66503658</v>
          </cell>
          <cell r="F51">
            <v>53922737</v>
          </cell>
          <cell r="G51">
            <v>69434659</v>
          </cell>
        </row>
        <row r="52">
          <cell r="C52">
            <v>141967413</v>
          </cell>
          <cell r="D52">
            <v>54660938</v>
          </cell>
          <cell r="E52">
            <v>60430861</v>
          </cell>
          <cell r="F52">
            <v>62034785</v>
          </cell>
          <cell r="G52">
            <v>74334303</v>
          </cell>
        </row>
        <row r="53">
          <cell r="C53">
            <v>107962522</v>
          </cell>
          <cell r="D53">
            <v>51297909</v>
          </cell>
          <cell r="E53">
            <v>51264521</v>
          </cell>
          <cell r="F53">
            <v>69416544</v>
          </cell>
          <cell r="G53">
            <v>64026893</v>
          </cell>
        </row>
        <row r="54">
          <cell r="C54">
            <v>108601649</v>
          </cell>
          <cell r="D54">
            <v>61088584</v>
          </cell>
          <cell r="E54">
            <v>65737680</v>
          </cell>
          <cell r="F54">
            <v>61114671</v>
          </cell>
          <cell r="G54">
            <v>60877429</v>
          </cell>
        </row>
        <row r="55">
          <cell r="C55">
            <v>48843765</v>
          </cell>
          <cell r="D55">
            <v>61408431</v>
          </cell>
          <cell r="E55">
            <v>37789897</v>
          </cell>
          <cell r="F55">
            <v>46638987</v>
          </cell>
          <cell r="G55">
            <v>45939687</v>
          </cell>
          <cell r="H55">
            <v>40446969</v>
          </cell>
        </row>
        <row r="56">
          <cell r="C56">
            <v>72626949</v>
          </cell>
          <cell r="D56">
            <v>64736020</v>
          </cell>
          <cell r="E56">
            <v>53768990</v>
          </cell>
          <cell r="F56">
            <v>50424181</v>
          </cell>
          <cell r="G56">
            <v>68526258</v>
          </cell>
          <cell r="H56">
            <v>47953976</v>
          </cell>
        </row>
        <row r="57">
          <cell r="C57">
            <v>71823591</v>
          </cell>
          <cell r="D57">
            <v>61942202</v>
          </cell>
          <cell r="E57">
            <v>62266665</v>
          </cell>
          <cell r="F57">
            <v>100953115</v>
          </cell>
          <cell r="G57">
            <v>58934611</v>
          </cell>
          <cell r="H57">
            <v>50895563</v>
          </cell>
        </row>
        <row r="58">
          <cell r="C58">
            <v>76941413</v>
          </cell>
          <cell r="D58">
            <v>52098587</v>
          </cell>
          <cell r="E58">
            <v>66303872</v>
          </cell>
          <cell r="F58">
            <v>56565982</v>
          </cell>
          <cell r="G58">
            <v>53755530</v>
          </cell>
          <cell r="H58">
            <v>61034323</v>
          </cell>
        </row>
        <row r="59">
          <cell r="C59">
            <v>62414915</v>
          </cell>
          <cell r="D59">
            <v>57787810</v>
          </cell>
          <cell r="E59">
            <v>65455373</v>
          </cell>
          <cell r="F59">
            <v>53477654</v>
          </cell>
          <cell r="G59">
            <v>77938742</v>
          </cell>
          <cell r="H59">
            <v>66148073</v>
          </cell>
        </row>
        <row r="60">
          <cell r="C60">
            <v>57177173</v>
          </cell>
          <cell r="D60">
            <v>50229357</v>
          </cell>
          <cell r="E60">
            <v>60470792</v>
          </cell>
          <cell r="F60">
            <v>57038702</v>
          </cell>
          <cell r="G60">
            <v>63497152</v>
          </cell>
          <cell r="H60">
            <v>58764503</v>
          </cell>
        </row>
        <row r="61">
          <cell r="C61">
            <v>85029787</v>
          </cell>
          <cell r="D61">
            <v>54972816</v>
          </cell>
          <cell r="E61">
            <v>46211636</v>
          </cell>
          <cell r="F61">
            <v>48072729</v>
          </cell>
          <cell r="G61">
            <v>61858425</v>
          </cell>
          <cell r="H61">
            <v>58075239</v>
          </cell>
        </row>
        <row r="62">
          <cell r="C62">
            <v>74656532</v>
          </cell>
          <cell r="D62">
            <v>47031281</v>
          </cell>
          <cell r="E62">
            <v>56414729</v>
          </cell>
          <cell r="F62">
            <v>73633844</v>
          </cell>
          <cell r="G62">
            <v>61538640</v>
          </cell>
          <cell r="H62">
            <v>49251789</v>
          </cell>
        </row>
        <row r="63">
          <cell r="C63">
            <v>83977679</v>
          </cell>
          <cell r="D63">
            <v>59540172</v>
          </cell>
          <cell r="E63">
            <v>61848800</v>
          </cell>
          <cell r="F63">
            <v>67056094</v>
          </cell>
          <cell r="G63">
            <v>61096767</v>
          </cell>
        </row>
        <row r="64">
          <cell r="C64">
            <v>95013569</v>
          </cell>
          <cell r="D64">
            <v>54547277</v>
          </cell>
          <cell r="E64">
            <v>58923803</v>
          </cell>
          <cell r="F64">
            <v>60339018</v>
          </cell>
          <cell r="G64">
            <v>65967649</v>
          </cell>
        </row>
        <row r="65">
          <cell r="C65">
            <v>75885168</v>
          </cell>
          <cell r="D65">
            <v>53212329</v>
          </cell>
          <cell r="E65">
            <v>49355688</v>
          </cell>
          <cell r="F65">
            <v>59162184</v>
          </cell>
          <cell r="G65">
            <v>61319669</v>
          </cell>
        </row>
        <row r="66">
          <cell r="C66">
            <v>90468321</v>
          </cell>
          <cell r="D66">
            <v>57411331</v>
          </cell>
          <cell r="E66">
            <v>51909181</v>
          </cell>
          <cell r="F66">
            <v>67148575</v>
          </cell>
          <cell r="G66">
            <v>59663249</v>
          </cell>
        </row>
        <row r="67">
          <cell r="C67">
            <v>30035775</v>
          </cell>
          <cell r="D67">
            <v>30159521</v>
          </cell>
          <cell r="E67">
            <v>33532616</v>
          </cell>
          <cell r="F67">
            <v>38874293</v>
          </cell>
          <cell r="G67">
            <v>21441683</v>
          </cell>
          <cell r="H67">
            <v>25951609</v>
          </cell>
        </row>
        <row r="68">
          <cell r="C68">
            <v>30616865</v>
          </cell>
          <cell r="D68">
            <v>32378881</v>
          </cell>
          <cell r="E68">
            <v>26950436</v>
          </cell>
          <cell r="F68">
            <v>22989265</v>
          </cell>
          <cell r="G68">
            <v>28231665</v>
          </cell>
          <cell r="H68">
            <v>26887486</v>
          </cell>
        </row>
        <row r="69">
          <cell r="C69">
            <v>34710951</v>
          </cell>
          <cell r="D69">
            <v>46140766</v>
          </cell>
          <cell r="E69">
            <v>65729503</v>
          </cell>
          <cell r="F69">
            <v>50934491</v>
          </cell>
          <cell r="G69">
            <v>24832233</v>
          </cell>
          <cell r="H69">
            <v>28578288</v>
          </cell>
        </row>
        <row r="70">
          <cell r="C70">
            <v>43136693</v>
          </cell>
          <cell r="D70">
            <v>41273878</v>
          </cell>
          <cell r="E70">
            <v>26286801</v>
          </cell>
          <cell r="F70">
            <v>24297232</v>
          </cell>
          <cell r="G70">
            <v>23832751</v>
          </cell>
          <cell r="H70">
            <v>41492719</v>
          </cell>
        </row>
        <row r="71">
          <cell r="C71">
            <v>37085005</v>
          </cell>
          <cell r="D71">
            <v>48055851</v>
          </cell>
          <cell r="E71">
            <v>95830191</v>
          </cell>
          <cell r="F71">
            <v>29398084</v>
          </cell>
          <cell r="G71">
            <v>35460842</v>
          </cell>
          <cell r="H71">
            <v>39890101</v>
          </cell>
        </row>
        <row r="72">
          <cell r="C72">
            <v>41742787</v>
          </cell>
          <cell r="D72">
            <v>41666694</v>
          </cell>
          <cell r="E72">
            <v>23911901</v>
          </cell>
          <cell r="F72">
            <v>39607793</v>
          </cell>
          <cell r="G72">
            <v>23545347</v>
          </cell>
          <cell r="H72">
            <v>37859041</v>
          </cell>
        </row>
        <row r="73">
          <cell r="C73">
            <v>54844762</v>
          </cell>
          <cell r="D73">
            <v>47007477</v>
          </cell>
          <cell r="E73">
            <v>27487085</v>
          </cell>
          <cell r="F73">
            <v>69328457</v>
          </cell>
          <cell r="G73">
            <v>32371770</v>
          </cell>
          <cell r="H73">
            <v>38313737</v>
          </cell>
        </row>
        <row r="74">
          <cell r="C74">
            <v>39925062</v>
          </cell>
          <cell r="D74">
            <v>48643236</v>
          </cell>
          <cell r="E74">
            <v>34980076</v>
          </cell>
          <cell r="F74">
            <v>66971768</v>
          </cell>
          <cell r="G74">
            <v>29476666</v>
          </cell>
          <cell r="H74">
            <v>32101885</v>
          </cell>
        </row>
        <row r="75">
          <cell r="C75">
            <v>36599137</v>
          </cell>
          <cell r="D75">
            <v>49429855</v>
          </cell>
          <cell r="E75">
            <v>53882917</v>
          </cell>
          <cell r="F75">
            <v>48146749</v>
          </cell>
          <cell r="G75">
            <v>24748485</v>
          </cell>
        </row>
        <row r="76">
          <cell r="C76">
            <v>68091926</v>
          </cell>
          <cell r="D76">
            <v>41172502</v>
          </cell>
          <cell r="E76">
            <v>45957677</v>
          </cell>
          <cell r="F76">
            <v>42911599</v>
          </cell>
          <cell r="G76">
            <v>30099341</v>
          </cell>
        </row>
        <row r="77">
          <cell r="C77">
            <v>32253189</v>
          </cell>
          <cell r="D77">
            <v>34839721</v>
          </cell>
          <cell r="E77">
            <v>23986134</v>
          </cell>
          <cell r="F77">
            <v>99011424</v>
          </cell>
          <cell r="G77">
            <v>32138654</v>
          </cell>
        </row>
        <row r="78">
          <cell r="C78">
            <v>33707538</v>
          </cell>
          <cell r="D78">
            <v>37997849</v>
          </cell>
          <cell r="E78">
            <v>19519693</v>
          </cell>
          <cell r="F78">
            <v>274111733</v>
          </cell>
          <cell r="G78">
            <v>36116849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princ_paises_tek_P1"/>
    </sheetNames>
    <sheetDataSet>
      <sheetData sheetId="0">
        <row r="7">
          <cell r="C7">
            <v>29577714</v>
          </cell>
          <cell r="D7">
            <v>34077455</v>
          </cell>
          <cell r="E7">
            <v>36334681</v>
          </cell>
          <cell r="F7">
            <v>72166032</v>
          </cell>
          <cell r="G7">
            <v>90326403</v>
          </cell>
          <cell r="H7">
            <v>45383332</v>
          </cell>
        </row>
        <row r="8">
          <cell r="C8">
            <v>38156098</v>
          </cell>
          <cell r="D8">
            <v>32708424</v>
          </cell>
          <cell r="E8">
            <v>33739197</v>
          </cell>
          <cell r="F8">
            <v>68901462</v>
          </cell>
          <cell r="G8">
            <v>58428272</v>
          </cell>
          <cell r="H8">
            <v>55375100</v>
          </cell>
        </row>
        <row r="9">
          <cell r="C9">
            <v>46308016</v>
          </cell>
          <cell r="D9">
            <v>46975644</v>
          </cell>
          <cell r="E9">
            <v>79390640</v>
          </cell>
          <cell r="F9">
            <v>84673045</v>
          </cell>
          <cell r="G9">
            <v>105435647</v>
          </cell>
          <cell r="H9">
            <v>99698301</v>
          </cell>
        </row>
        <row r="10">
          <cell r="C10">
            <v>53817842</v>
          </cell>
          <cell r="D10">
            <v>38498740</v>
          </cell>
          <cell r="E10">
            <v>41696727</v>
          </cell>
          <cell r="F10">
            <v>106807184</v>
          </cell>
          <cell r="G10">
            <v>51754018</v>
          </cell>
          <cell r="H10">
            <v>114579836</v>
          </cell>
        </row>
        <row r="11">
          <cell r="C11">
            <v>45467732</v>
          </cell>
          <cell r="D11">
            <v>49752789</v>
          </cell>
          <cell r="E11">
            <v>99364814</v>
          </cell>
          <cell r="F11">
            <v>82792849</v>
          </cell>
          <cell r="G11">
            <v>76972693</v>
          </cell>
          <cell r="H11">
            <v>108117771</v>
          </cell>
        </row>
        <row r="12">
          <cell r="C12">
            <v>55608925</v>
          </cell>
          <cell r="D12">
            <v>40154916</v>
          </cell>
          <cell r="E12">
            <v>45749232</v>
          </cell>
          <cell r="F12">
            <v>84905079</v>
          </cell>
          <cell r="G12">
            <v>49962535</v>
          </cell>
          <cell r="H12">
            <v>81886355</v>
          </cell>
        </row>
        <row r="13">
          <cell r="C13">
            <v>64232972</v>
          </cell>
          <cell r="D13">
            <v>49545779</v>
          </cell>
          <cell r="E13">
            <v>43396685</v>
          </cell>
          <cell r="F13">
            <v>61239846</v>
          </cell>
          <cell r="G13">
            <v>100186397</v>
          </cell>
          <cell r="H13">
            <v>70225242</v>
          </cell>
        </row>
        <row r="14">
          <cell r="C14">
            <v>57451256</v>
          </cell>
          <cell r="D14">
            <v>34432616</v>
          </cell>
          <cell r="E14">
            <v>65041335</v>
          </cell>
          <cell r="F14">
            <v>61038124</v>
          </cell>
          <cell r="G14">
            <v>62743189</v>
          </cell>
          <cell r="H14">
            <v>66676302</v>
          </cell>
        </row>
        <row r="15">
          <cell r="C15">
            <v>57273556</v>
          </cell>
          <cell r="D15">
            <v>37867397</v>
          </cell>
          <cell r="E15">
            <v>52586785</v>
          </cell>
          <cell r="F15">
            <v>38009610</v>
          </cell>
          <cell r="G15">
            <v>49334556</v>
          </cell>
        </row>
        <row r="16">
          <cell r="C16">
            <v>58268954</v>
          </cell>
          <cell r="D16">
            <v>37332482</v>
          </cell>
          <cell r="E16">
            <v>45276226</v>
          </cell>
          <cell r="F16">
            <v>50990205</v>
          </cell>
          <cell r="G16">
            <v>52391020</v>
          </cell>
        </row>
        <row r="17">
          <cell r="C17">
            <v>32685626</v>
          </cell>
          <cell r="D17">
            <v>37323722</v>
          </cell>
          <cell r="E17">
            <v>73955914</v>
          </cell>
          <cell r="F17">
            <v>59083449</v>
          </cell>
          <cell r="G17">
            <v>57332460</v>
          </cell>
        </row>
        <row r="18">
          <cell r="C18">
            <v>60519283</v>
          </cell>
          <cell r="D18">
            <v>46674696</v>
          </cell>
          <cell r="E18">
            <v>96752867</v>
          </cell>
          <cell r="F18">
            <v>45351948</v>
          </cell>
          <cell r="G18">
            <v>59879213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2"/>
    </sheetNames>
    <sheetDataSet>
      <sheetData sheetId="0">
        <row r="7">
          <cell r="C7">
            <v>21336793</v>
          </cell>
          <cell r="D7">
            <v>31076635</v>
          </cell>
          <cell r="E7">
            <v>19253279</v>
          </cell>
          <cell r="F7">
            <v>28169531</v>
          </cell>
          <cell r="G7">
            <v>30163504</v>
          </cell>
          <cell r="H7">
            <v>31275531</v>
          </cell>
        </row>
        <row r="8">
          <cell r="C8">
            <v>20302807</v>
          </cell>
          <cell r="D8">
            <v>26102098</v>
          </cell>
          <cell r="E8">
            <v>31779671</v>
          </cell>
          <cell r="F8">
            <v>28962893</v>
          </cell>
          <cell r="G8">
            <v>37922594</v>
          </cell>
          <cell r="H8">
            <v>35024523</v>
          </cell>
        </row>
        <row r="9">
          <cell r="C9">
            <v>34709926</v>
          </cell>
          <cell r="D9">
            <v>29061143</v>
          </cell>
          <cell r="E9">
            <v>39865209</v>
          </cell>
          <cell r="F9">
            <v>47688529</v>
          </cell>
          <cell r="G9">
            <v>37699500</v>
          </cell>
          <cell r="H9">
            <v>34539493</v>
          </cell>
        </row>
        <row r="10">
          <cell r="C10">
            <v>32254681</v>
          </cell>
          <cell r="D10">
            <v>28993326</v>
          </cell>
          <cell r="E10">
            <v>39509805</v>
          </cell>
          <cell r="F10">
            <v>29888977</v>
          </cell>
          <cell r="G10">
            <v>30276879</v>
          </cell>
          <cell r="H10">
            <v>44662044</v>
          </cell>
        </row>
        <row r="11">
          <cell r="C11">
            <v>28008064</v>
          </cell>
          <cell r="D11">
            <v>28568130</v>
          </cell>
          <cell r="E11">
            <v>37921468</v>
          </cell>
          <cell r="F11">
            <v>34056234</v>
          </cell>
          <cell r="G11">
            <v>40940918</v>
          </cell>
          <cell r="H11">
            <v>46055914</v>
          </cell>
        </row>
        <row r="12">
          <cell r="C12">
            <v>39348723</v>
          </cell>
          <cell r="D12">
            <v>29806540</v>
          </cell>
          <cell r="E12">
            <v>36452156</v>
          </cell>
          <cell r="F12">
            <v>33662402</v>
          </cell>
          <cell r="G12">
            <v>34459883</v>
          </cell>
          <cell r="H12">
            <v>40190736</v>
          </cell>
        </row>
        <row r="13">
          <cell r="C13">
            <v>41953770</v>
          </cell>
          <cell r="D13">
            <v>27879865</v>
          </cell>
          <cell r="E13">
            <v>33313402</v>
          </cell>
          <cell r="F13">
            <v>28349252</v>
          </cell>
          <cell r="G13">
            <v>36874053</v>
          </cell>
          <cell r="H13">
            <v>43144635</v>
          </cell>
        </row>
        <row r="14">
          <cell r="C14">
            <v>38390971</v>
          </cell>
          <cell r="D14">
            <v>24017787</v>
          </cell>
          <cell r="E14">
            <v>35108321</v>
          </cell>
          <cell r="F14">
            <v>37620075</v>
          </cell>
          <cell r="G14">
            <v>37747173</v>
          </cell>
          <cell r="H14">
            <v>34065628</v>
          </cell>
        </row>
        <row r="15">
          <cell r="C15">
            <v>33883863</v>
          </cell>
          <cell r="D15">
            <v>29529740</v>
          </cell>
          <cell r="E15">
            <v>51125860</v>
          </cell>
          <cell r="F15">
            <v>32770450</v>
          </cell>
          <cell r="G15">
            <v>39349295</v>
          </cell>
        </row>
        <row r="16">
          <cell r="C16">
            <v>47688432</v>
          </cell>
          <cell r="D16">
            <v>30120318</v>
          </cell>
          <cell r="E16">
            <v>63215863</v>
          </cell>
          <cell r="F16">
            <v>35301969</v>
          </cell>
          <cell r="G16">
            <v>42291529</v>
          </cell>
        </row>
        <row r="17">
          <cell r="C17">
            <v>39529816</v>
          </cell>
          <cell r="D17">
            <v>30383335</v>
          </cell>
          <cell r="E17">
            <v>31991367</v>
          </cell>
          <cell r="F17">
            <v>36950732</v>
          </cell>
          <cell r="G17">
            <v>40915107</v>
          </cell>
        </row>
        <row r="18">
          <cell r="C18">
            <v>44139005</v>
          </cell>
          <cell r="D18">
            <v>31940797</v>
          </cell>
          <cell r="E18">
            <v>38501288</v>
          </cell>
          <cell r="F18">
            <v>38792062</v>
          </cell>
          <cell r="G18">
            <v>39189836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3"/>
    </sheetNames>
    <sheetDataSet>
      <sheetData sheetId="0">
        <row r="7">
          <cell r="C7">
            <v>92264146</v>
          </cell>
          <cell r="D7">
            <v>73281200</v>
          </cell>
          <cell r="E7">
            <v>21263334</v>
          </cell>
          <cell r="F7">
            <v>17914591</v>
          </cell>
          <cell r="G7">
            <v>25864613</v>
          </cell>
          <cell r="H7">
            <v>20166027</v>
          </cell>
        </row>
        <row r="8">
          <cell r="C8">
            <v>118603459</v>
          </cell>
          <cell r="D8">
            <v>94003272</v>
          </cell>
          <cell r="E8">
            <v>42855172</v>
          </cell>
          <cell r="F8">
            <v>24115260</v>
          </cell>
          <cell r="G8">
            <v>28481327</v>
          </cell>
          <cell r="H8">
            <v>21126945</v>
          </cell>
        </row>
        <row r="9">
          <cell r="C9">
            <v>85772117</v>
          </cell>
          <cell r="D9">
            <v>89293679</v>
          </cell>
          <cell r="E9">
            <v>44252466</v>
          </cell>
          <cell r="F9">
            <v>31915921</v>
          </cell>
          <cell r="G9">
            <v>38550900</v>
          </cell>
          <cell r="H9">
            <v>23420914</v>
          </cell>
        </row>
        <row r="10">
          <cell r="C10">
            <v>135540608</v>
          </cell>
          <cell r="D10">
            <v>58585980</v>
          </cell>
          <cell r="E10">
            <v>33238880</v>
          </cell>
          <cell r="F10">
            <v>27271481</v>
          </cell>
          <cell r="G10">
            <v>32681528</v>
          </cell>
          <cell r="H10">
            <v>23080812</v>
          </cell>
        </row>
        <row r="11">
          <cell r="C11">
            <v>121832396</v>
          </cell>
          <cell r="D11">
            <v>100592893</v>
          </cell>
          <cell r="E11">
            <v>40625332</v>
          </cell>
          <cell r="F11">
            <v>26349699</v>
          </cell>
          <cell r="G11">
            <v>39828446</v>
          </cell>
          <cell r="H11">
            <v>27646014</v>
          </cell>
        </row>
        <row r="12">
          <cell r="C12">
            <v>84867218</v>
          </cell>
          <cell r="D12">
            <v>87970349</v>
          </cell>
          <cell r="E12">
            <v>25824706</v>
          </cell>
          <cell r="F12">
            <v>27200521</v>
          </cell>
          <cell r="G12">
            <v>41545612</v>
          </cell>
          <cell r="H12">
            <v>23388381</v>
          </cell>
        </row>
        <row r="13">
          <cell r="C13">
            <v>108242307</v>
          </cell>
          <cell r="D13">
            <v>55251730</v>
          </cell>
          <cell r="E13">
            <v>23754418</v>
          </cell>
          <cell r="F13">
            <v>24992797</v>
          </cell>
          <cell r="G13">
            <v>43005644</v>
          </cell>
          <cell r="H13">
            <v>23366038</v>
          </cell>
        </row>
        <row r="14">
          <cell r="C14">
            <v>94340114</v>
          </cell>
          <cell r="D14">
            <v>52298253</v>
          </cell>
          <cell r="E14">
            <v>17919211</v>
          </cell>
          <cell r="F14">
            <v>30091861</v>
          </cell>
          <cell r="G14">
            <v>46047829</v>
          </cell>
          <cell r="H14">
            <v>25669690</v>
          </cell>
        </row>
        <row r="15">
          <cell r="C15">
            <v>86753705</v>
          </cell>
          <cell r="D15">
            <v>69132727</v>
          </cell>
          <cell r="E15">
            <v>23856263</v>
          </cell>
          <cell r="F15">
            <v>29099230</v>
          </cell>
          <cell r="G15">
            <v>40089564</v>
          </cell>
        </row>
        <row r="16">
          <cell r="C16">
            <v>156938472</v>
          </cell>
          <cell r="D16">
            <v>53012608</v>
          </cell>
          <cell r="E16">
            <v>22582157</v>
          </cell>
          <cell r="F16">
            <v>31811890</v>
          </cell>
          <cell r="G16">
            <v>41464420</v>
          </cell>
        </row>
        <row r="17">
          <cell r="C17">
            <v>121374878</v>
          </cell>
          <cell r="D17">
            <v>50678723</v>
          </cell>
          <cell r="E17">
            <v>20451154</v>
          </cell>
          <cell r="F17">
            <v>37852142</v>
          </cell>
          <cell r="G17">
            <v>35857539</v>
          </cell>
        </row>
        <row r="18">
          <cell r="C18">
            <v>121742200</v>
          </cell>
          <cell r="D18">
            <v>37412286</v>
          </cell>
          <cell r="E18">
            <v>28757568</v>
          </cell>
          <cell r="F18">
            <v>57371885</v>
          </cell>
          <cell r="G18">
            <v>30905302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4"/>
    </sheetNames>
    <sheetDataSet>
      <sheetData sheetId="0">
        <row r="7">
          <cell r="C7">
            <v>8342405</v>
          </cell>
          <cell r="D7">
            <v>11736157</v>
          </cell>
          <cell r="E7">
            <v>8077480</v>
          </cell>
          <cell r="F7">
            <v>10466155</v>
          </cell>
          <cell r="G7">
            <v>14644738</v>
          </cell>
          <cell r="H7">
            <v>10745070</v>
          </cell>
        </row>
        <row r="8">
          <cell r="C8">
            <v>8606670</v>
          </cell>
          <cell r="D8">
            <v>14210262</v>
          </cell>
          <cell r="E8">
            <v>11090766</v>
          </cell>
          <cell r="F8">
            <v>11467010</v>
          </cell>
          <cell r="G8">
            <v>22681899</v>
          </cell>
          <cell r="H8">
            <v>13259814</v>
          </cell>
        </row>
        <row r="9">
          <cell r="C9">
            <v>11225402</v>
          </cell>
          <cell r="D9">
            <v>15501887</v>
          </cell>
          <cell r="E9">
            <v>15380046</v>
          </cell>
          <cell r="F9">
            <v>14586164</v>
          </cell>
          <cell r="G9">
            <v>12107936</v>
          </cell>
          <cell r="H9">
            <v>13013688</v>
          </cell>
        </row>
        <row r="10">
          <cell r="C10">
            <v>8883890</v>
          </cell>
          <cell r="D10">
            <v>13557004</v>
          </cell>
          <cell r="E10">
            <v>11431915</v>
          </cell>
          <cell r="F10">
            <v>13553160</v>
          </cell>
          <cell r="G10">
            <v>11719319</v>
          </cell>
          <cell r="H10">
            <v>16577060</v>
          </cell>
        </row>
        <row r="11">
          <cell r="C11">
            <v>12747664</v>
          </cell>
          <cell r="D11">
            <v>10042947</v>
          </cell>
          <cell r="E11">
            <v>12473111</v>
          </cell>
          <cell r="F11">
            <v>11109699</v>
          </cell>
          <cell r="G11">
            <v>16358700</v>
          </cell>
          <cell r="H11">
            <v>17068255</v>
          </cell>
        </row>
        <row r="12">
          <cell r="C12">
            <v>17042643</v>
          </cell>
          <cell r="D12">
            <v>8933353</v>
          </cell>
          <cell r="E12">
            <v>16859815</v>
          </cell>
          <cell r="F12">
            <v>12944314</v>
          </cell>
          <cell r="G12">
            <v>14731786</v>
          </cell>
          <cell r="H12">
            <v>14797414</v>
          </cell>
        </row>
        <row r="13">
          <cell r="C13">
            <v>12808574</v>
          </cell>
          <cell r="D13">
            <v>11255584</v>
          </cell>
          <cell r="E13">
            <v>12906547</v>
          </cell>
          <cell r="F13">
            <v>14105468</v>
          </cell>
          <cell r="G13">
            <v>17658166</v>
          </cell>
          <cell r="H13">
            <v>17000984</v>
          </cell>
        </row>
        <row r="14">
          <cell r="C14">
            <v>8052494</v>
          </cell>
          <cell r="D14">
            <v>10300591</v>
          </cell>
          <cell r="E14">
            <v>10382061</v>
          </cell>
          <cell r="F14">
            <v>14068976</v>
          </cell>
          <cell r="G14">
            <v>12441539</v>
          </cell>
          <cell r="H14">
            <v>14011422</v>
          </cell>
        </row>
        <row r="15">
          <cell r="C15">
            <v>10830442</v>
          </cell>
          <cell r="D15">
            <v>15996441</v>
          </cell>
          <cell r="E15">
            <v>12737722</v>
          </cell>
          <cell r="F15">
            <v>13490101</v>
          </cell>
          <cell r="G15">
            <v>17142647</v>
          </cell>
        </row>
        <row r="16">
          <cell r="C16">
            <v>14236847</v>
          </cell>
          <cell r="D16">
            <v>18229084</v>
          </cell>
          <cell r="E16">
            <v>11152450</v>
          </cell>
          <cell r="F16">
            <v>17300744</v>
          </cell>
          <cell r="G16">
            <v>17954339</v>
          </cell>
        </row>
        <row r="17">
          <cell r="C17">
            <v>12102952</v>
          </cell>
          <cell r="D17">
            <v>10862661</v>
          </cell>
          <cell r="E17">
            <v>12443973</v>
          </cell>
          <cell r="F17">
            <v>46581459</v>
          </cell>
          <cell r="G17">
            <v>15759966</v>
          </cell>
        </row>
        <row r="18">
          <cell r="C18">
            <v>15657928</v>
          </cell>
          <cell r="D18">
            <v>17062716</v>
          </cell>
          <cell r="E18">
            <v>11282805</v>
          </cell>
          <cell r="F18">
            <v>52938628</v>
          </cell>
          <cell r="G18">
            <v>18438975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5"/>
    </sheetNames>
    <sheetDataSet>
      <sheetData sheetId="0">
        <row r="7">
          <cell r="C7">
            <v>3636688</v>
          </cell>
          <cell r="D7">
            <v>6007628</v>
          </cell>
          <cell r="E7">
            <v>9870317</v>
          </cell>
          <cell r="F7">
            <v>4388027</v>
          </cell>
          <cell r="G7">
            <v>8426559</v>
          </cell>
          <cell r="H7">
            <v>8152115</v>
          </cell>
        </row>
        <row r="8">
          <cell r="C8">
            <v>4612154</v>
          </cell>
          <cell r="D8">
            <v>6743759</v>
          </cell>
          <cell r="E8">
            <v>5808005</v>
          </cell>
          <cell r="F8">
            <v>8867558</v>
          </cell>
          <cell r="G8">
            <v>17505901</v>
          </cell>
          <cell r="H8">
            <v>9265991</v>
          </cell>
        </row>
        <row r="9">
          <cell r="C9">
            <v>5707020</v>
          </cell>
          <cell r="D9">
            <v>9232587</v>
          </cell>
          <cell r="E9">
            <v>8627857</v>
          </cell>
          <cell r="F9">
            <v>36973270</v>
          </cell>
          <cell r="G9">
            <v>13201875</v>
          </cell>
          <cell r="H9">
            <v>8330052</v>
          </cell>
        </row>
        <row r="10">
          <cell r="C10">
            <v>6330790</v>
          </cell>
          <cell r="D10">
            <v>5588823</v>
          </cell>
          <cell r="E10">
            <v>5946560</v>
          </cell>
          <cell r="F10">
            <v>16440020</v>
          </cell>
          <cell r="G10">
            <v>9726020</v>
          </cell>
          <cell r="H10">
            <v>16027781</v>
          </cell>
        </row>
        <row r="11">
          <cell r="C11">
            <v>5915311</v>
          </cell>
          <cell r="D11">
            <v>7938941</v>
          </cell>
          <cell r="E11">
            <v>6142923</v>
          </cell>
          <cell r="F11">
            <v>6914683</v>
          </cell>
          <cell r="G11">
            <v>12363204</v>
          </cell>
          <cell r="H11">
            <v>19020409</v>
          </cell>
        </row>
        <row r="12">
          <cell r="C12">
            <v>6166723</v>
          </cell>
          <cell r="D12">
            <v>5838137</v>
          </cell>
          <cell r="E12">
            <v>7294439</v>
          </cell>
          <cell r="F12">
            <v>19333287</v>
          </cell>
          <cell r="G12">
            <v>14884333</v>
          </cell>
          <cell r="H12">
            <v>18289309</v>
          </cell>
        </row>
        <row r="13">
          <cell r="C13">
            <v>7973268</v>
          </cell>
          <cell r="D13">
            <v>5473818</v>
          </cell>
          <cell r="E13">
            <v>8038446</v>
          </cell>
          <cell r="F13">
            <v>13900214</v>
          </cell>
          <cell r="G13">
            <v>17770245</v>
          </cell>
          <cell r="H13">
            <v>16064496</v>
          </cell>
        </row>
        <row r="14">
          <cell r="C14">
            <v>6670693</v>
          </cell>
          <cell r="D14">
            <v>5390775</v>
          </cell>
          <cell r="E14">
            <v>6883650</v>
          </cell>
          <cell r="F14">
            <v>20176177</v>
          </cell>
          <cell r="G14">
            <v>12200416</v>
          </cell>
          <cell r="H14">
            <v>15193678</v>
          </cell>
        </row>
        <row r="15">
          <cell r="C15">
            <v>8808932</v>
          </cell>
          <cell r="D15">
            <v>5838272</v>
          </cell>
          <cell r="E15">
            <v>6767972</v>
          </cell>
          <cell r="F15">
            <v>17140347</v>
          </cell>
          <cell r="G15">
            <v>13476181</v>
          </cell>
        </row>
        <row r="16">
          <cell r="C16">
            <v>17392385</v>
          </cell>
          <cell r="D16">
            <v>5263147</v>
          </cell>
          <cell r="E16">
            <v>5671997</v>
          </cell>
          <cell r="F16">
            <v>15749983</v>
          </cell>
          <cell r="G16">
            <v>15140528</v>
          </cell>
        </row>
        <row r="17">
          <cell r="C17">
            <v>5569104</v>
          </cell>
          <cell r="D17">
            <v>6856037</v>
          </cell>
          <cell r="E17">
            <v>7284282</v>
          </cell>
          <cell r="F17">
            <v>12603483</v>
          </cell>
          <cell r="G17">
            <v>8944412</v>
          </cell>
        </row>
        <row r="18">
          <cell r="C18">
            <v>7447204</v>
          </cell>
          <cell r="D18">
            <v>8444898</v>
          </cell>
          <cell r="E18">
            <v>7491240</v>
          </cell>
          <cell r="F18">
            <v>11920524</v>
          </cell>
          <cell r="G18">
            <v>9654162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ciiu"/>
    </sheetNames>
    <sheetDataSet>
      <sheetData sheetId="0">
        <row r="7">
          <cell r="C7">
            <v>5201268</v>
          </cell>
          <cell r="D7">
            <v>3451291</v>
          </cell>
          <cell r="E7">
            <v>19902960</v>
          </cell>
          <cell r="F7">
            <v>45216375</v>
          </cell>
          <cell r="G7">
            <v>76730673</v>
          </cell>
          <cell r="H7">
            <v>35102352</v>
          </cell>
        </row>
        <row r="8">
          <cell r="C8">
            <v>7415874</v>
          </cell>
          <cell r="D8">
            <v>5029262</v>
          </cell>
          <cell r="E8">
            <v>27320996</v>
          </cell>
          <cell r="F8">
            <v>52681283</v>
          </cell>
          <cell r="G8">
            <v>43304728</v>
          </cell>
          <cell r="H8">
            <v>34185169</v>
          </cell>
        </row>
        <row r="9">
          <cell r="C9">
            <v>7316987</v>
          </cell>
          <cell r="D9">
            <v>10044806</v>
          </cell>
          <cell r="E9">
            <v>40189205</v>
          </cell>
          <cell r="F9">
            <v>62854355</v>
          </cell>
          <cell r="G9">
            <v>100061448</v>
          </cell>
          <cell r="H9">
            <v>80300878</v>
          </cell>
        </row>
        <row r="10">
          <cell r="C10">
            <v>8264354</v>
          </cell>
          <cell r="D10">
            <v>9480835</v>
          </cell>
          <cell r="E10">
            <v>26175540</v>
          </cell>
          <cell r="F10">
            <v>68050775</v>
          </cell>
          <cell r="G10">
            <v>44356902</v>
          </cell>
          <cell r="H10">
            <v>95706977</v>
          </cell>
        </row>
        <row r="11">
          <cell r="C11">
            <v>8576849</v>
          </cell>
          <cell r="D11">
            <v>16189813</v>
          </cell>
          <cell r="E11">
            <v>71439451</v>
          </cell>
          <cell r="F11">
            <v>65665073</v>
          </cell>
          <cell r="G11">
            <v>61556361</v>
          </cell>
          <cell r="H11">
            <v>87077307</v>
          </cell>
        </row>
        <row r="12">
          <cell r="C12">
            <v>9969183</v>
          </cell>
          <cell r="D12">
            <v>8817393</v>
          </cell>
          <cell r="E12">
            <v>25778010</v>
          </cell>
          <cell r="F12">
            <v>71019531</v>
          </cell>
          <cell r="G12">
            <v>35664920</v>
          </cell>
          <cell r="H12">
            <v>69010167</v>
          </cell>
        </row>
        <row r="13">
          <cell r="C13">
            <v>19109221</v>
          </cell>
          <cell r="D13">
            <v>16810918</v>
          </cell>
          <cell r="E13">
            <v>17825308</v>
          </cell>
          <cell r="F13">
            <v>43343854</v>
          </cell>
          <cell r="G13">
            <v>81992009</v>
          </cell>
          <cell r="H13">
            <v>53539533</v>
          </cell>
        </row>
        <row r="14">
          <cell r="C14">
            <v>12345182</v>
          </cell>
          <cell r="D14">
            <v>12559161</v>
          </cell>
          <cell r="E14">
            <v>30136315</v>
          </cell>
          <cell r="F14">
            <v>47821608</v>
          </cell>
          <cell r="G14">
            <v>44838158</v>
          </cell>
          <cell r="H14">
            <v>46019093</v>
          </cell>
        </row>
        <row r="15">
          <cell r="C15">
            <v>3687919</v>
          </cell>
          <cell r="D15">
            <v>18967308</v>
          </cell>
          <cell r="E15">
            <v>32178053</v>
          </cell>
          <cell r="F15">
            <v>22691249</v>
          </cell>
          <cell r="G15">
            <v>34583922</v>
          </cell>
        </row>
        <row r="16">
          <cell r="C16">
            <v>4854311</v>
          </cell>
          <cell r="D16">
            <v>20790450</v>
          </cell>
          <cell r="E16">
            <v>27066264</v>
          </cell>
          <cell r="F16">
            <v>33369182</v>
          </cell>
          <cell r="G16">
            <v>32743784</v>
          </cell>
        </row>
        <row r="17">
          <cell r="C17">
            <v>3347938</v>
          </cell>
          <cell r="D17">
            <v>18894851</v>
          </cell>
          <cell r="E17">
            <v>45112054</v>
          </cell>
          <cell r="F17">
            <v>48940803</v>
          </cell>
          <cell r="G17">
            <v>47438928</v>
          </cell>
        </row>
        <row r="18">
          <cell r="C18">
            <v>4621842</v>
          </cell>
          <cell r="D18">
            <v>23187387</v>
          </cell>
          <cell r="E18">
            <v>78608447</v>
          </cell>
          <cell r="F18">
            <v>29996962</v>
          </cell>
          <cell r="G18">
            <v>30586736</v>
          </cell>
        </row>
        <row r="32">
          <cell r="C32">
            <v>29672389</v>
          </cell>
          <cell r="D32">
            <v>40311923</v>
          </cell>
          <cell r="E32">
            <v>27623922</v>
          </cell>
          <cell r="F32">
            <v>26479103</v>
          </cell>
          <cell r="G32">
            <v>30875301</v>
          </cell>
          <cell r="H32">
            <v>36375069</v>
          </cell>
        </row>
        <row r="33">
          <cell r="C33">
            <v>29225284</v>
          </cell>
          <cell r="D33">
            <v>51953068</v>
          </cell>
          <cell r="E33">
            <v>36528174</v>
          </cell>
          <cell r="F33">
            <v>41510218</v>
          </cell>
          <cell r="G33">
            <v>45402274</v>
          </cell>
          <cell r="H33">
            <v>36190229</v>
          </cell>
        </row>
        <row r="34">
          <cell r="C34">
            <v>44381026</v>
          </cell>
          <cell r="D34">
            <v>46204629</v>
          </cell>
          <cell r="E34">
            <v>48445467</v>
          </cell>
          <cell r="F34">
            <v>48684713</v>
          </cell>
          <cell r="G34">
            <v>45479310</v>
          </cell>
          <cell r="H34">
            <v>36637715</v>
          </cell>
        </row>
        <row r="35">
          <cell r="C35">
            <v>39669980</v>
          </cell>
          <cell r="D35">
            <v>39092593</v>
          </cell>
          <cell r="E35">
            <v>47543592</v>
          </cell>
          <cell r="F35">
            <v>40686581</v>
          </cell>
          <cell r="G35">
            <v>43685678</v>
          </cell>
          <cell r="H35">
            <v>49070176</v>
          </cell>
        </row>
        <row r="36">
          <cell r="C36">
            <v>41867422</v>
          </cell>
          <cell r="D36">
            <v>38036689</v>
          </cell>
          <cell r="E36">
            <v>52718933</v>
          </cell>
          <cell r="F36">
            <v>40230975</v>
          </cell>
          <cell r="G36">
            <v>57351744</v>
          </cell>
          <cell r="H36">
            <v>50864102</v>
          </cell>
        </row>
        <row r="37">
          <cell r="C37">
            <v>35942055</v>
          </cell>
          <cell r="D37">
            <v>39870817</v>
          </cell>
          <cell r="E37">
            <v>43653243</v>
          </cell>
          <cell r="F37">
            <v>39277796</v>
          </cell>
          <cell r="G37">
            <v>43137328</v>
          </cell>
          <cell r="H37">
            <v>44189807</v>
          </cell>
        </row>
        <row r="38">
          <cell r="C38">
            <v>49812008</v>
          </cell>
          <cell r="D38">
            <v>42439561</v>
          </cell>
          <cell r="E38">
            <v>34320559</v>
          </cell>
          <cell r="F38">
            <v>38165067</v>
          </cell>
          <cell r="G38">
            <v>45385085</v>
          </cell>
          <cell r="H38">
            <v>45503315</v>
          </cell>
        </row>
        <row r="39">
          <cell r="C39">
            <v>41293068</v>
          </cell>
          <cell r="D39">
            <v>39108427</v>
          </cell>
          <cell r="E39">
            <v>37471694</v>
          </cell>
          <cell r="F39">
            <v>46561659</v>
          </cell>
          <cell r="G39">
            <v>48358126</v>
          </cell>
          <cell r="H39">
            <v>44627687</v>
          </cell>
        </row>
        <row r="40">
          <cell r="C40">
            <v>29569059</v>
          </cell>
          <cell r="D40">
            <v>61286198</v>
          </cell>
          <cell r="E40">
            <v>38879189</v>
          </cell>
          <cell r="F40">
            <v>47862460</v>
          </cell>
          <cell r="G40">
            <v>40431747</v>
          </cell>
        </row>
        <row r="41">
          <cell r="C41">
            <v>67260820</v>
          </cell>
          <cell r="D41">
            <v>47120090</v>
          </cell>
          <cell r="E41">
            <v>38001062</v>
          </cell>
          <cell r="F41">
            <v>43566926</v>
          </cell>
          <cell r="G41">
            <v>49920347</v>
          </cell>
        </row>
        <row r="42">
          <cell r="C42">
            <v>44710367</v>
          </cell>
          <cell r="D42">
            <v>50283766</v>
          </cell>
          <cell r="E42">
            <v>37400294</v>
          </cell>
          <cell r="F42">
            <v>49644506</v>
          </cell>
          <cell r="G42">
            <v>45378283</v>
          </cell>
        </row>
        <row r="43">
          <cell r="C43">
            <v>53754289</v>
          </cell>
          <cell r="D43">
            <v>44462261</v>
          </cell>
          <cell r="E43">
            <v>42492615</v>
          </cell>
          <cell r="F43">
            <v>50994109</v>
          </cell>
          <cell r="G43">
            <v>45327332</v>
          </cell>
        </row>
        <row r="57">
          <cell r="C57">
            <v>13914702</v>
          </cell>
          <cell r="D57">
            <v>27354028</v>
          </cell>
          <cell r="E57">
            <v>17467524</v>
          </cell>
          <cell r="F57">
            <v>36891128</v>
          </cell>
          <cell r="G57">
            <v>27400804</v>
          </cell>
          <cell r="H57">
            <v>23039770</v>
          </cell>
        </row>
        <row r="58">
          <cell r="C58">
            <v>35410742</v>
          </cell>
          <cell r="D58">
            <v>25914360</v>
          </cell>
          <cell r="E58">
            <v>18251664</v>
          </cell>
          <cell r="F58">
            <v>38279127</v>
          </cell>
          <cell r="G58">
            <v>26830179</v>
          </cell>
          <cell r="H58">
            <v>32956829</v>
          </cell>
        </row>
        <row r="59">
          <cell r="C59">
            <v>37962695</v>
          </cell>
          <cell r="D59">
            <v>28671601</v>
          </cell>
          <cell r="E59">
            <v>25272324</v>
          </cell>
          <cell r="F59">
            <v>58185291</v>
          </cell>
          <cell r="G59">
            <v>27448428</v>
          </cell>
          <cell r="H59">
            <v>27385242</v>
          </cell>
        </row>
        <row r="60">
          <cell r="C60">
            <v>54209410</v>
          </cell>
          <cell r="D60">
            <v>17351477</v>
          </cell>
          <cell r="E60">
            <v>15238353</v>
          </cell>
          <cell r="F60">
            <v>48692866</v>
          </cell>
          <cell r="G60">
            <v>19849060</v>
          </cell>
          <cell r="H60">
            <v>30948010</v>
          </cell>
        </row>
        <row r="61">
          <cell r="C61">
            <v>34611819</v>
          </cell>
          <cell r="D61">
            <v>13740950</v>
          </cell>
          <cell r="E61">
            <v>24409408</v>
          </cell>
          <cell r="F61">
            <v>36752525</v>
          </cell>
          <cell r="G61">
            <v>26714074</v>
          </cell>
          <cell r="H61">
            <v>30322816</v>
          </cell>
        </row>
        <row r="62">
          <cell r="C62">
            <v>42208890</v>
          </cell>
          <cell r="D62">
            <v>21573507</v>
          </cell>
          <cell r="E62">
            <v>21830387</v>
          </cell>
          <cell r="F62">
            <v>29964284</v>
          </cell>
          <cell r="G62">
            <v>22956621</v>
          </cell>
          <cell r="H62">
            <v>29286198</v>
          </cell>
        </row>
        <row r="63">
          <cell r="C63">
            <v>28739377</v>
          </cell>
          <cell r="D63">
            <v>17765389</v>
          </cell>
          <cell r="E63">
            <v>16653056</v>
          </cell>
          <cell r="F63">
            <v>23724432</v>
          </cell>
          <cell r="G63">
            <v>27227118</v>
          </cell>
          <cell r="H63">
            <v>32383960</v>
          </cell>
        </row>
        <row r="64">
          <cell r="C64">
            <v>33777723</v>
          </cell>
          <cell r="D64">
            <v>15582930</v>
          </cell>
          <cell r="E64">
            <v>21271608</v>
          </cell>
          <cell r="F64">
            <v>24390764</v>
          </cell>
          <cell r="G64">
            <v>25482384</v>
          </cell>
          <cell r="H64">
            <v>34974826</v>
          </cell>
        </row>
        <row r="65">
          <cell r="C65">
            <v>15410209</v>
          </cell>
          <cell r="D65">
            <v>13392565</v>
          </cell>
          <cell r="E65">
            <v>19568880</v>
          </cell>
          <cell r="F65">
            <v>18934829</v>
          </cell>
          <cell r="G65">
            <v>23899423</v>
          </cell>
        </row>
        <row r="66">
          <cell r="C66">
            <v>29935989</v>
          </cell>
          <cell r="D66">
            <v>15190681</v>
          </cell>
          <cell r="E66">
            <v>21549043</v>
          </cell>
          <cell r="F66">
            <v>20463463</v>
          </cell>
          <cell r="G66">
            <v>23312325</v>
          </cell>
        </row>
        <row r="67">
          <cell r="C67">
            <v>19940559</v>
          </cell>
          <cell r="D67">
            <v>21608720</v>
          </cell>
          <cell r="E67">
            <v>32105548</v>
          </cell>
          <cell r="F67">
            <v>26108666</v>
          </cell>
          <cell r="G67">
            <v>25077890</v>
          </cell>
        </row>
        <row r="68">
          <cell r="C68">
            <v>23999007</v>
          </cell>
          <cell r="D68">
            <v>21033372</v>
          </cell>
          <cell r="E68">
            <v>29928041</v>
          </cell>
          <cell r="F68">
            <v>33489256</v>
          </cell>
          <cell r="G68">
            <v>23855925</v>
          </cell>
        </row>
        <row r="82">
          <cell r="C82">
            <v>13961199</v>
          </cell>
          <cell r="D82">
            <v>12725582</v>
          </cell>
          <cell r="E82">
            <v>10181610</v>
          </cell>
          <cell r="F82">
            <v>12190502</v>
          </cell>
          <cell r="G82">
            <v>15253858</v>
          </cell>
          <cell r="H82">
            <v>18255870</v>
          </cell>
        </row>
        <row r="83">
          <cell r="C83">
            <v>15596687</v>
          </cell>
          <cell r="D83">
            <v>18111133</v>
          </cell>
          <cell r="E83">
            <v>11240917</v>
          </cell>
          <cell r="F83">
            <v>12501366</v>
          </cell>
          <cell r="G83">
            <v>18820736</v>
          </cell>
          <cell r="H83">
            <v>20603062</v>
          </cell>
        </row>
        <row r="84">
          <cell r="C84">
            <v>15598489</v>
          </cell>
          <cell r="D84">
            <v>19912292</v>
          </cell>
          <cell r="E84">
            <v>17419454</v>
          </cell>
          <cell r="F84">
            <v>17543422</v>
          </cell>
          <cell r="G84">
            <v>19512194</v>
          </cell>
          <cell r="H84">
            <v>20957240</v>
          </cell>
        </row>
        <row r="85">
          <cell r="C85">
            <v>17521266</v>
          </cell>
          <cell r="D85">
            <v>12795105</v>
          </cell>
          <cell r="E85">
            <v>13767105</v>
          </cell>
          <cell r="F85">
            <v>18204371</v>
          </cell>
          <cell r="G85">
            <v>21115319</v>
          </cell>
          <cell r="H85">
            <v>22844056</v>
          </cell>
        </row>
        <row r="86">
          <cell r="C86">
            <v>16266593</v>
          </cell>
          <cell r="D86">
            <v>14414273</v>
          </cell>
          <cell r="E86">
            <v>13885705</v>
          </cell>
          <cell r="F86">
            <v>14776996</v>
          </cell>
          <cell r="G86">
            <v>23236144</v>
          </cell>
          <cell r="H86">
            <v>21541872</v>
          </cell>
        </row>
        <row r="87">
          <cell r="C87">
            <v>17578618</v>
          </cell>
          <cell r="D87">
            <v>13641430</v>
          </cell>
          <cell r="E87">
            <v>16617209</v>
          </cell>
          <cell r="F87">
            <v>18190571</v>
          </cell>
          <cell r="G87">
            <v>22555313</v>
          </cell>
          <cell r="H87">
            <v>19047506</v>
          </cell>
        </row>
        <row r="88">
          <cell r="C88">
            <v>16999282</v>
          </cell>
          <cell r="D88">
            <v>14464809</v>
          </cell>
          <cell r="E88">
            <v>14899445</v>
          </cell>
          <cell r="F88">
            <v>16577593</v>
          </cell>
          <cell r="G88">
            <v>22931015</v>
          </cell>
          <cell r="H88">
            <v>20577287</v>
          </cell>
        </row>
        <row r="89">
          <cell r="C89">
            <v>13993949</v>
          </cell>
          <cell r="D89">
            <v>12226705</v>
          </cell>
          <cell r="E89">
            <v>16688166</v>
          </cell>
          <cell r="F89">
            <v>17722173</v>
          </cell>
          <cell r="G89">
            <v>21659322</v>
          </cell>
          <cell r="H89">
            <v>18559162</v>
          </cell>
        </row>
        <row r="90">
          <cell r="C90">
            <v>15590707</v>
          </cell>
          <cell r="D90">
            <v>14999712</v>
          </cell>
          <cell r="E90">
            <v>16550736</v>
          </cell>
          <cell r="F90">
            <v>17604167</v>
          </cell>
          <cell r="G90">
            <v>20312873</v>
          </cell>
        </row>
        <row r="91">
          <cell r="C91">
            <v>19762782</v>
          </cell>
          <cell r="D91">
            <v>14010534</v>
          </cell>
          <cell r="E91">
            <v>14379423</v>
          </cell>
          <cell r="F91">
            <v>16245627</v>
          </cell>
          <cell r="G91">
            <v>24637494</v>
          </cell>
        </row>
        <row r="92">
          <cell r="C92">
            <v>15974064</v>
          </cell>
          <cell r="D92">
            <v>13458226</v>
          </cell>
          <cell r="E92">
            <v>14261283</v>
          </cell>
          <cell r="F92">
            <v>16029547</v>
          </cell>
          <cell r="G92">
            <v>22561231</v>
          </cell>
        </row>
        <row r="93">
          <cell r="C93">
            <v>19123712</v>
          </cell>
          <cell r="D93">
            <v>16012060</v>
          </cell>
          <cell r="E93">
            <v>12124348</v>
          </cell>
          <cell r="F93">
            <v>17521786</v>
          </cell>
          <cell r="G93">
            <v>21954544</v>
          </cell>
        </row>
        <row r="107">
          <cell r="C107">
            <v>34746639</v>
          </cell>
          <cell r="D107">
            <v>17464483</v>
          </cell>
          <cell r="E107">
            <v>7910066</v>
          </cell>
          <cell r="F107">
            <v>12456347</v>
          </cell>
          <cell r="G107">
            <v>12796280</v>
          </cell>
          <cell r="H107">
            <v>12550430</v>
          </cell>
        </row>
        <row r="108">
          <cell r="C108">
            <v>25488788</v>
          </cell>
          <cell r="D108">
            <v>24209057</v>
          </cell>
          <cell r="E108">
            <v>13327294</v>
          </cell>
          <cell r="F108">
            <v>15589356</v>
          </cell>
          <cell r="G108">
            <v>18152428</v>
          </cell>
          <cell r="H108">
            <v>17593273</v>
          </cell>
        </row>
        <row r="109">
          <cell r="C109">
            <v>24026856</v>
          </cell>
          <cell r="D109">
            <v>26166912</v>
          </cell>
          <cell r="E109">
            <v>16611671</v>
          </cell>
          <cell r="F109">
            <v>34775401</v>
          </cell>
          <cell r="G109">
            <v>20901909</v>
          </cell>
          <cell r="H109">
            <v>16900915</v>
          </cell>
        </row>
        <row r="110">
          <cell r="C110">
            <v>50986641</v>
          </cell>
          <cell r="D110">
            <v>19132869</v>
          </cell>
          <cell r="E110">
            <v>14443977</v>
          </cell>
          <cell r="F110">
            <v>16823799</v>
          </cell>
          <cell r="G110">
            <v>15325782</v>
          </cell>
          <cell r="H110">
            <v>17678448</v>
          </cell>
        </row>
        <row r="111">
          <cell r="C111">
            <v>36104660</v>
          </cell>
          <cell r="D111">
            <v>52389125</v>
          </cell>
          <cell r="E111">
            <v>14452806</v>
          </cell>
          <cell r="F111">
            <v>14996078</v>
          </cell>
          <cell r="G111">
            <v>23504877</v>
          </cell>
          <cell r="H111">
            <v>21063217</v>
          </cell>
        </row>
        <row r="112">
          <cell r="C112">
            <v>21294730</v>
          </cell>
          <cell r="D112">
            <v>43736389</v>
          </cell>
          <cell r="E112">
            <v>15640114</v>
          </cell>
          <cell r="F112">
            <v>21042603</v>
          </cell>
          <cell r="G112">
            <v>18733630</v>
          </cell>
          <cell r="H112">
            <v>15593538</v>
          </cell>
        </row>
        <row r="113">
          <cell r="C113">
            <v>28672234</v>
          </cell>
          <cell r="D113">
            <v>17542523</v>
          </cell>
          <cell r="E113">
            <v>14547666</v>
          </cell>
          <cell r="F113">
            <v>15073963</v>
          </cell>
          <cell r="G113">
            <v>22682412</v>
          </cell>
          <cell r="H113">
            <v>20986564</v>
          </cell>
        </row>
        <row r="114">
          <cell r="C114">
            <v>25745571</v>
          </cell>
          <cell r="D114">
            <v>14145575</v>
          </cell>
          <cell r="E114">
            <v>13106889</v>
          </cell>
          <cell r="F114">
            <v>19625030</v>
          </cell>
          <cell r="G114">
            <v>21460009</v>
          </cell>
          <cell r="H114">
            <v>16860285</v>
          </cell>
        </row>
        <row r="115">
          <cell r="C115">
            <v>22872177</v>
          </cell>
          <cell r="D115">
            <v>16195379</v>
          </cell>
          <cell r="E115">
            <v>19416859</v>
          </cell>
          <cell r="F115">
            <v>16880001</v>
          </cell>
          <cell r="G115">
            <v>24878034</v>
          </cell>
        </row>
        <row r="116">
          <cell r="C116">
            <v>52123729</v>
          </cell>
          <cell r="D116">
            <v>16995074</v>
          </cell>
          <cell r="E116">
            <v>16210316</v>
          </cell>
          <cell r="F116">
            <v>19527652</v>
          </cell>
          <cell r="G116">
            <v>24894863</v>
          </cell>
        </row>
        <row r="117">
          <cell r="C117">
            <v>40032169</v>
          </cell>
          <cell r="D117">
            <v>14968559</v>
          </cell>
          <cell r="E117">
            <v>16439160</v>
          </cell>
          <cell r="F117">
            <v>20412900</v>
          </cell>
          <cell r="G117">
            <v>18675023</v>
          </cell>
        </row>
        <row r="118">
          <cell r="C118">
            <v>32900228</v>
          </cell>
          <cell r="D118">
            <v>13770144</v>
          </cell>
          <cell r="E118">
            <v>16759986</v>
          </cell>
          <cell r="F118">
            <v>18480105</v>
          </cell>
          <cell r="G118">
            <v>17180014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14673143713.49</v>
          </cell>
          <cell r="C2">
            <v>14779998983.18</v>
          </cell>
          <cell r="D2">
            <v>1543427455.0599999</v>
          </cell>
          <cell r="E2">
            <v>2118132249.2299998</v>
          </cell>
        </row>
        <row r="3">
          <cell r="A3" t="str">
            <v>Antioquia</v>
          </cell>
          <cell r="B3">
            <v>4314786519.800024</v>
          </cell>
          <cell r="C3">
            <v>3664365480.0900922</v>
          </cell>
          <cell r="D3">
            <v>569199873.3099978</v>
          </cell>
          <cell r="E3">
            <v>336576996.06000191</v>
          </cell>
        </row>
        <row r="4">
          <cell r="A4" t="str">
            <v>Bolívar</v>
          </cell>
          <cell r="B4">
            <v>2360693445.9899921</v>
          </cell>
          <cell r="C4">
            <v>2465745255.640007</v>
          </cell>
          <cell r="D4">
            <v>364191747.41999996</v>
          </cell>
          <cell r="E4">
            <v>210945990.15000001</v>
          </cell>
        </row>
        <row r="5">
          <cell r="A5" t="str">
            <v>Cesar</v>
          </cell>
          <cell r="B5">
            <v>2838515710.5600009</v>
          </cell>
          <cell r="C5">
            <v>2207074999.2199984</v>
          </cell>
          <cell r="D5">
            <v>111956439.97000003</v>
          </cell>
          <cell r="E5">
            <v>423271164.21999997</v>
          </cell>
        </row>
        <row r="6">
          <cell r="A6" t="str">
            <v>Bogotá</v>
          </cell>
          <cell r="B6">
            <v>2237636156.7400231</v>
          </cell>
          <cell r="C6">
            <v>2173123924.6600361</v>
          </cell>
          <cell r="D6">
            <v>271304480.29999959</v>
          </cell>
          <cell r="E6">
            <v>245679866.02999902</v>
          </cell>
        </row>
        <row r="7">
          <cell r="A7" t="str">
            <v>Meta</v>
          </cell>
          <cell r="B7">
            <v>1932825796.2900002</v>
          </cell>
          <cell r="C7">
            <v>2056314113.3500001</v>
          </cell>
          <cell r="D7">
            <v>224003238.05999997</v>
          </cell>
          <cell r="E7">
            <v>136523159.04999998</v>
          </cell>
        </row>
        <row r="8">
          <cell r="A8" t="str">
            <v>Guajira</v>
          </cell>
          <cell r="B8">
            <v>2385994827.3299966</v>
          </cell>
          <cell r="C8">
            <v>1855887719.6699996</v>
          </cell>
          <cell r="D8">
            <v>261610837.53</v>
          </cell>
          <cell r="E8">
            <v>186337328.75999999</v>
          </cell>
        </row>
        <row r="9">
          <cell r="A9" t="str">
            <v>Casanare</v>
          </cell>
          <cell r="B9">
            <v>1407632900.8100002</v>
          </cell>
          <cell r="C9">
            <v>1579631764.9899993</v>
          </cell>
          <cell r="D9">
            <v>202621758.09999999</v>
          </cell>
          <cell r="E9">
            <v>322931908.0200001</v>
          </cell>
        </row>
        <row r="10">
          <cell r="A10" t="str">
            <v>Valle del Cauca</v>
          </cell>
          <cell r="B10">
            <v>1485638745.5100224</v>
          </cell>
          <cell r="C10">
            <v>1391950905.4499981</v>
          </cell>
          <cell r="D10">
            <v>206417006.89000037</v>
          </cell>
          <cell r="E10">
            <v>163998857.76999885</v>
          </cell>
        </row>
        <row r="11">
          <cell r="A11" t="str">
            <v>Cundinamarca</v>
          </cell>
          <cell r="B11">
            <v>1213775036.6000037</v>
          </cell>
          <cell r="C11">
            <v>1183093393.2499812</v>
          </cell>
          <cell r="D11">
            <v>153488444.06999978</v>
          </cell>
          <cell r="E11">
            <v>146961282.48000026</v>
          </cell>
        </row>
        <row r="12">
          <cell r="A12" t="str">
            <v>Atlántico</v>
          </cell>
          <cell r="B12">
            <v>797834312.23999524</v>
          </cell>
          <cell r="C12">
            <v>792013511.90000093</v>
          </cell>
          <cell r="D12">
            <v>112709874.98000018</v>
          </cell>
          <cell r="E12">
            <v>109922644.95000026</v>
          </cell>
        </row>
        <row r="13">
          <cell r="A13" t="str">
            <v>Santander</v>
          </cell>
          <cell r="B13">
            <v>480202395.69999886</v>
          </cell>
          <cell r="C13">
            <v>734017522.99000049</v>
          </cell>
          <cell r="D13">
            <v>55552244.869999975</v>
          </cell>
          <cell r="E13">
            <v>93336658.800000072</v>
          </cell>
        </row>
        <row r="14">
          <cell r="A14" t="str">
            <v>Aráuca</v>
          </cell>
          <cell r="B14">
            <v>429382230.88000005</v>
          </cell>
          <cell r="C14">
            <v>557292717.63</v>
          </cell>
          <cell r="D14">
            <v>44705896.649999991</v>
          </cell>
          <cell r="E14">
            <v>83279741.639999986</v>
          </cell>
        </row>
        <row r="15">
          <cell r="A15" t="str">
            <v>Córdoba</v>
          </cell>
          <cell r="B15">
            <v>668552595.48999953</v>
          </cell>
          <cell r="C15">
            <v>543923854.04999959</v>
          </cell>
          <cell r="D15">
            <v>84096581.560000017</v>
          </cell>
          <cell r="E15">
            <v>64822056.930000015</v>
          </cell>
        </row>
        <row r="16">
          <cell r="A16" t="str">
            <v>Caldas</v>
          </cell>
          <cell r="B16">
            <v>431847309.64999837</v>
          </cell>
          <cell r="C16">
            <v>447938380.54000026</v>
          </cell>
          <cell r="D16">
            <v>62465540.700000152</v>
          </cell>
          <cell r="E16">
            <v>62702070.100000083</v>
          </cell>
        </row>
        <row r="17">
          <cell r="A17" t="str">
            <v>Magdalena</v>
          </cell>
          <cell r="B17">
            <v>331527945.23000073</v>
          </cell>
          <cell r="C17">
            <v>394100184.19000101</v>
          </cell>
          <cell r="D17">
            <v>44102338.040000036</v>
          </cell>
          <cell r="E17">
            <v>40717039.670000009</v>
          </cell>
        </row>
        <row r="18">
          <cell r="A18" t="str">
            <v>Risaralda</v>
          </cell>
          <cell r="B18">
            <v>389825869.22999984</v>
          </cell>
          <cell r="C18">
            <v>301326437.27999967</v>
          </cell>
          <cell r="D18">
            <v>46438864.230000019</v>
          </cell>
          <cell r="E18">
            <v>33500386.159999993</v>
          </cell>
        </row>
        <row r="19">
          <cell r="A19" t="str">
            <v>Huila</v>
          </cell>
          <cell r="B19">
            <v>507197381.08999997</v>
          </cell>
          <cell r="C19">
            <v>299122436.08999974</v>
          </cell>
          <cell r="D19">
            <v>33832618.359999999</v>
          </cell>
          <cell r="E19">
            <v>35261359.999999985</v>
          </cell>
        </row>
        <row r="20">
          <cell r="A20" t="str">
            <v>Norte de Santander</v>
          </cell>
          <cell r="B20">
            <v>289517950.04999965</v>
          </cell>
          <cell r="C20">
            <v>292856119.01999915</v>
          </cell>
          <cell r="D20">
            <v>32240074.509999998</v>
          </cell>
          <cell r="E20">
            <v>34991238.690000027</v>
          </cell>
        </row>
        <row r="21">
          <cell r="A21" t="str">
            <v>Boyacá</v>
          </cell>
          <cell r="B21">
            <v>306988591.09000003</v>
          </cell>
          <cell r="C21">
            <v>247335324.46999991</v>
          </cell>
          <cell r="D21">
            <v>54872262.119999997</v>
          </cell>
          <cell r="E21">
            <v>28328616.769999992</v>
          </cell>
        </row>
        <row r="22">
          <cell r="A22" t="str">
            <v>Tolima</v>
          </cell>
          <cell r="B22">
            <v>337236024.80999994</v>
          </cell>
          <cell r="C22">
            <v>215377392.51000014</v>
          </cell>
          <cell r="D22">
            <v>31164034.339999989</v>
          </cell>
          <cell r="E22">
            <v>24329010.390000004</v>
          </cell>
        </row>
        <row r="23">
          <cell r="A23" t="str">
            <v>Cauca</v>
          </cell>
          <cell r="B23">
            <v>193100900.1999996</v>
          </cell>
          <cell r="C23">
            <v>168704146.16000068</v>
          </cell>
          <cell r="D23">
            <v>37366421.210000038</v>
          </cell>
          <cell r="E23">
            <v>27300319.540000003</v>
          </cell>
        </row>
        <row r="24">
          <cell r="A24" t="str">
            <v>Putumayo</v>
          </cell>
          <cell r="B24">
            <v>0</v>
          </cell>
          <cell r="C24">
            <v>157423541.28999999</v>
          </cell>
          <cell r="D24">
            <v>0</v>
          </cell>
          <cell r="E24">
            <v>16099970.41</v>
          </cell>
        </row>
        <row r="25">
          <cell r="A25" t="str">
            <v>Quindío</v>
          </cell>
          <cell r="B25">
            <v>113188825.20999989</v>
          </cell>
          <cell r="C25">
            <v>129672141.15000014</v>
          </cell>
          <cell r="D25">
            <v>15371279.220000004</v>
          </cell>
          <cell r="E25">
            <v>21212009.960000008</v>
          </cell>
        </row>
        <row r="26">
          <cell r="A26" t="str">
            <v>Nariño</v>
          </cell>
          <cell r="B26">
            <v>20114052.260000054</v>
          </cell>
          <cell r="C26">
            <v>24353405.979999989</v>
          </cell>
          <cell r="D26">
            <v>4615163.299999998</v>
          </cell>
          <cell r="E26">
            <v>9593000.6600000039</v>
          </cell>
        </row>
        <row r="27">
          <cell r="A27" t="str">
            <v>Sucre</v>
          </cell>
          <cell r="B27">
            <v>16091413.5</v>
          </cell>
          <cell r="C27">
            <v>16563501.169999998</v>
          </cell>
          <cell r="D27">
            <v>2884086.5</v>
          </cell>
          <cell r="E27">
            <v>1205560.0999999999</v>
          </cell>
        </row>
        <row r="28">
          <cell r="A28" t="str">
            <v>San Andrés</v>
          </cell>
          <cell r="B28">
            <v>1785595.8600000003</v>
          </cell>
          <cell r="C28">
            <v>2484669.5799999996</v>
          </cell>
          <cell r="D28">
            <v>38.299999999999997</v>
          </cell>
          <cell r="E28">
            <v>11203.9</v>
          </cell>
        </row>
        <row r="29">
          <cell r="A29" t="str">
            <v>Chocó</v>
          </cell>
          <cell r="B29">
            <v>1517519.9199999995</v>
          </cell>
          <cell r="C29">
            <v>1343577.72</v>
          </cell>
          <cell r="D29">
            <v>96729.5</v>
          </cell>
          <cell r="E29">
            <v>106017.24</v>
          </cell>
        </row>
        <row r="30">
          <cell r="A30" t="str">
            <v>Vichada</v>
          </cell>
          <cell r="B30">
            <v>1232395.74</v>
          </cell>
          <cell r="C30">
            <v>523328.87</v>
          </cell>
          <cell r="D30">
            <v>0</v>
          </cell>
          <cell r="E30">
            <v>0</v>
          </cell>
        </row>
        <row r="31">
          <cell r="A31" t="str">
            <v>Amazonas</v>
          </cell>
          <cell r="B31">
            <v>20775.400000000001</v>
          </cell>
          <cell r="C31">
            <v>170210.84000000003</v>
          </cell>
          <cell r="D31">
            <v>0</v>
          </cell>
          <cell r="E31">
            <v>0</v>
          </cell>
        </row>
        <row r="32">
          <cell r="A32" t="str">
            <v>Vaupés</v>
          </cell>
          <cell r="B32">
            <v>4413.57</v>
          </cell>
          <cell r="C32">
            <v>153037.84</v>
          </cell>
          <cell r="D32">
            <v>0</v>
          </cell>
          <cell r="E32">
            <v>113156.54000000001</v>
          </cell>
        </row>
        <row r="33">
          <cell r="A33" t="str">
            <v>Guaviare</v>
          </cell>
          <cell r="B33">
            <v>0</v>
          </cell>
          <cell r="C33">
            <v>109042.86</v>
          </cell>
          <cell r="D33">
            <v>0</v>
          </cell>
          <cell r="E33">
            <v>109042.86</v>
          </cell>
        </row>
        <row r="34">
          <cell r="A34" t="str">
            <v>Caquetá</v>
          </cell>
          <cell r="B34">
            <v>423020.96</v>
          </cell>
          <cell r="C34">
            <v>90367.239999999991</v>
          </cell>
          <cell r="D34">
            <v>44446.71</v>
          </cell>
          <cell r="E34">
            <v>0</v>
          </cell>
        </row>
        <row r="35">
          <cell r="A35" t="str">
            <v>Guainía</v>
          </cell>
          <cell r="B35">
            <v>426019.09</v>
          </cell>
          <cell r="C35">
            <v>31192.5</v>
          </cell>
          <cell r="D35">
            <v>0</v>
          </cell>
          <cell r="E35">
            <v>5716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14673143713.49</v>
          </cell>
          <cell r="C2">
            <v>1543427455.0599999</v>
          </cell>
          <cell r="E2">
            <v>14248378455.179998</v>
          </cell>
          <cell r="F2">
            <v>2118132249.2299998</v>
          </cell>
        </row>
        <row r="3">
          <cell r="A3" t="str">
            <v>Cesar</v>
          </cell>
          <cell r="B3">
            <v>2732443807.579998</v>
          </cell>
          <cell r="C3">
            <v>80314059.570000008</v>
          </cell>
          <cell r="E3">
            <v>2085296161.3499992</v>
          </cell>
          <cell r="F3">
            <v>409781722.23000002</v>
          </cell>
        </row>
        <row r="4">
          <cell r="A4" t="str">
            <v>Meta</v>
          </cell>
          <cell r="B4">
            <v>1931519184.4399998</v>
          </cell>
          <cell r="C4">
            <v>223930344.05999997</v>
          </cell>
          <cell r="E4">
            <v>2052426091.0899999</v>
          </cell>
          <cell r="F4">
            <v>136059559.90000001</v>
          </cell>
        </row>
        <row r="5">
          <cell r="A5" t="str">
            <v>Guajira</v>
          </cell>
          <cell r="B5">
            <v>2384520620.8199983</v>
          </cell>
          <cell r="C5">
            <v>261580511.13000005</v>
          </cell>
          <cell r="E5">
            <v>1847375457.749999</v>
          </cell>
          <cell r="F5">
            <v>185993469.61999995</v>
          </cell>
        </row>
        <row r="6">
          <cell r="A6" t="str">
            <v>Casanare</v>
          </cell>
          <cell r="B6">
            <v>1407575250.8100002</v>
          </cell>
          <cell r="C6">
            <v>202621758.09999999</v>
          </cell>
          <cell r="E6">
            <v>1579379467.3900003</v>
          </cell>
          <cell r="F6">
            <v>322929638.01000011</v>
          </cell>
        </row>
        <row r="7">
          <cell r="A7" t="str">
            <v>Bolívar</v>
          </cell>
          <cell r="B7">
            <v>1284098843.3099995</v>
          </cell>
          <cell r="C7">
            <v>205943970.41</v>
          </cell>
          <cell r="E7">
            <v>1438767724.5999997</v>
          </cell>
          <cell r="F7">
            <v>96408884.129999995</v>
          </cell>
        </row>
        <row r="8">
          <cell r="A8" t="str">
            <v>Santander</v>
          </cell>
          <cell r="B8">
            <v>398110571.9599998</v>
          </cell>
          <cell r="C8">
            <v>44974072.030000001</v>
          </cell>
          <cell r="E8">
            <v>570837063.95000041</v>
          </cell>
          <cell r="F8">
            <v>73792404.88000001</v>
          </cell>
        </row>
        <row r="9">
          <cell r="A9" t="str">
            <v>Aráuca</v>
          </cell>
          <cell r="B9">
            <v>413640709.81999999</v>
          </cell>
          <cell r="C9">
            <v>41314150.119999997</v>
          </cell>
          <cell r="E9">
            <v>556142926.07000005</v>
          </cell>
          <cell r="F9">
            <v>83260912.689999998</v>
          </cell>
        </row>
        <row r="10">
          <cell r="A10" t="str">
            <v>Huila</v>
          </cell>
          <cell r="B10">
            <v>493748674.67999977</v>
          </cell>
          <cell r="C10">
            <v>33429133.129999995</v>
          </cell>
          <cell r="E10">
            <v>286140340.94999999</v>
          </cell>
          <cell r="F10">
            <v>33482328.809999995</v>
          </cell>
        </row>
        <row r="11">
          <cell r="A11" t="str">
            <v>Cundinamarca</v>
          </cell>
          <cell r="B11">
            <v>306104746.53999943</v>
          </cell>
          <cell r="C11">
            <v>45437276.699999988</v>
          </cell>
          <cell r="E11">
            <v>246823786.97000003</v>
          </cell>
          <cell r="F11">
            <v>12318101.140000001</v>
          </cell>
        </row>
        <row r="12">
          <cell r="A12" t="str">
            <v>Caldas</v>
          </cell>
          <cell r="B12">
            <v>184623539.12999988</v>
          </cell>
          <cell r="C12">
            <v>32226039.250000015</v>
          </cell>
          <cell r="E12">
            <v>194584141.72</v>
          </cell>
          <cell r="F12">
            <v>21326662.950000007</v>
          </cell>
        </row>
        <row r="13">
          <cell r="A13" t="str">
            <v>Tolima</v>
          </cell>
          <cell r="B13">
            <v>317477326.94000047</v>
          </cell>
          <cell r="C13">
            <v>29536528.570000011</v>
          </cell>
          <cell r="E13">
            <v>185154025.64000005</v>
          </cell>
          <cell r="F13">
            <v>20701406.950000003</v>
          </cell>
        </row>
        <row r="14">
          <cell r="A14" t="str">
            <v>Risaralda</v>
          </cell>
          <cell r="B14">
            <v>249480648.07000008</v>
          </cell>
          <cell r="C14">
            <v>30192779.469999991</v>
          </cell>
          <cell r="E14">
            <v>183605551.76999998</v>
          </cell>
          <cell r="F14">
            <v>15954398.389999999</v>
          </cell>
        </row>
        <row r="15">
          <cell r="A15" t="str">
            <v>Bogotá</v>
          </cell>
          <cell r="B15">
            <v>186488247.79000005</v>
          </cell>
          <cell r="C15">
            <v>15897211.899999997</v>
          </cell>
          <cell r="E15">
            <v>161968891.11999971</v>
          </cell>
          <cell r="F15">
            <v>21486942.090000015</v>
          </cell>
        </row>
        <row r="16">
          <cell r="A16" t="str">
            <v>Putumayo</v>
          </cell>
          <cell r="B16">
            <v>0</v>
          </cell>
          <cell r="C16">
            <v>0</v>
          </cell>
          <cell r="E16">
            <v>157421594.28999999</v>
          </cell>
          <cell r="F16">
            <v>16099970.41</v>
          </cell>
        </row>
        <row r="17">
          <cell r="A17" t="str">
            <v>Boyacá</v>
          </cell>
          <cell r="B17">
            <v>215689197.90000004</v>
          </cell>
          <cell r="C17">
            <v>38814206.649999999</v>
          </cell>
          <cell r="E17">
            <v>155107355.80999997</v>
          </cell>
          <cell r="F17">
            <v>17610220.18</v>
          </cell>
        </row>
        <row r="18">
          <cell r="A18" t="str">
            <v>Norte de Santander</v>
          </cell>
          <cell r="B18">
            <v>140916120.47999987</v>
          </cell>
          <cell r="C18">
            <v>13015194.660000002</v>
          </cell>
          <cell r="E18">
            <v>151275534.59000003</v>
          </cell>
          <cell r="F18">
            <v>19776234.710000005</v>
          </cell>
        </row>
        <row r="19">
          <cell r="A19" t="str">
            <v>Antioquia</v>
          </cell>
          <cell r="B19">
            <v>174516709.32000017</v>
          </cell>
          <cell r="C19">
            <v>12305179.039999995</v>
          </cell>
          <cell r="E19">
            <v>151205567.92999989</v>
          </cell>
          <cell r="F19">
            <v>18643364.040000007</v>
          </cell>
        </row>
        <row r="20">
          <cell r="A20" t="str">
            <v>Quindío</v>
          </cell>
          <cell r="B20">
            <v>110104201.68000001</v>
          </cell>
          <cell r="C20">
            <v>15100778.330000002</v>
          </cell>
          <cell r="E20">
            <v>127398495.74000011</v>
          </cell>
          <cell r="F20">
            <v>20859382.190000005</v>
          </cell>
        </row>
        <row r="21">
          <cell r="A21" t="str">
            <v>Magdalena</v>
          </cell>
          <cell r="B21">
            <v>47880418.420000002</v>
          </cell>
          <cell r="C21">
            <v>465349.19999999995</v>
          </cell>
          <cell r="E21">
            <v>93882287.969999984</v>
          </cell>
          <cell r="F21">
            <v>12274620.640000001</v>
          </cell>
        </row>
        <row r="22">
          <cell r="A22" t="str">
            <v>Valle del Cauca</v>
          </cell>
          <cell r="B22">
            <v>40823577.829999998</v>
          </cell>
          <cell r="C22">
            <v>4899380.9399999995</v>
          </cell>
          <cell r="E22">
            <v>65727097.030000009</v>
          </cell>
          <cell r="F22">
            <v>9654306.209999999</v>
          </cell>
        </row>
        <row r="23">
          <cell r="A23" t="str">
            <v>Cauca</v>
          </cell>
          <cell r="B23">
            <v>42188029.600000016</v>
          </cell>
          <cell r="C23">
            <v>10270265.089999996</v>
          </cell>
          <cell r="E23">
            <v>53934515.830000021</v>
          </cell>
          <cell r="F23">
            <v>10497416.610000001</v>
          </cell>
        </row>
        <row r="24">
          <cell r="A24" t="str">
            <v>Atlántico</v>
          </cell>
          <cell r="B24">
            <v>40223058.93</v>
          </cell>
          <cell r="C24">
            <v>3010445.83</v>
          </cell>
          <cell r="E24">
            <v>41144214.040000014</v>
          </cell>
          <cell r="F24">
            <v>2764037.6</v>
          </cell>
        </row>
        <row r="25">
          <cell r="A25" t="str">
            <v>Nariño</v>
          </cell>
          <cell r="B25">
            <v>14052799.360000001</v>
          </cell>
          <cell r="C25">
            <v>3889350.83</v>
          </cell>
          <cell r="E25">
            <v>10940841.74</v>
          </cell>
          <cell r="F25">
            <v>5819894.7700000005</v>
          </cell>
        </row>
        <row r="26">
          <cell r="A26" t="str">
            <v>San Andrés</v>
          </cell>
          <cell r="B26">
            <v>104985.56</v>
          </cell>
          <cell r="C26">
            <v>0</v>
          </cell>
          <cell r="E26">
            <v>125184.25</v>
          </cell>
          <cell r="F26">
            <v>0</v>
          </cell>
        </row>
        <row r="27">
          <cell r="A27" t="str">
            <v>Sucre</v>
          </cell>
          <cell r="B27">
            <v>0</v>
          </cell>
          <cell r="C27">
            <v>0</v>
          </cell>
          <cell r="E27">
            <v>77886</v>
          </cell>
          <cell r="F27">
            <v>0</v>
          </cell>
        </row>
        <row r="28">
          <cell r="A28" t="str">
            <v>Córdoba</v>
          </cell>
          <cell r="B28">
            <v>0</v>
          </cell>
          <cell r="C28">
            <v>0</v>
          </cell>
          <cell r="E28">
            <v>4069</v>
          </cell>
          <cell r="F28">
            <v>0</v>
          </cell>
        </row>
        <row r="29">
          <cell r="A29" t="str">
            <v>Vichada</v>
          </cell>
          <cell r="B29">
            <v>91651.71</v>
          </cell>
          <cell r="C29">
            <v>0</v>
          </cell>
          <cell r="E29">
            <v>0</v>
          </cell>
          <cell r="F29">
            <v>0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Antioquia</v>
          </cell>
          <cell r="B2">
            <v>4140269810.4800377</v>
          </cell>
          <cell r="C2">
            <v>556894694.26999807</v>
          </cell>
          <cell r="E2">
            <v>3513159912.1600509</v>
          </cell>
          <cell r="F2">
            <v>317933632.02000183</v>
          </cell>
        </row>
        <row r="3">
          <cell r="A3" t="str">
            <v>Bogotá</v>
          </cell>
          <cell r="B3">
            <v>2051147908.9500389</v>
          </cell>
          <cell r="C3">
            <v>255407268.39999938</v>
          </cell>
          <cell r="E3">
            <v>2011155033.5400319</v>
          </cell>
          <cell r="F3">
            <v>224192923.93999904</v>
          </cell>
        </row>
        <row r="4">
          <cell r="A4" t="str">
            <v>Valle del Cauca</v>
          </cell>
          <cell r="B4">
            <v>1444815167.6800344</v>
          </cell>
          <cell r="C4">
            <v>201517625.95000094</v>
          </cell>
          <cell r="E4">
            <v>1326223808.4199824</v>
          </cell>
          <cell r="F4">
            <v>154344551.56000006</v>
          </cell>
        </row>
        <row r="5">
          <cell r="A5" t="str">
            <v>Bolívar</v>
          </cell>
          <cell r="B5">
            <v>1076594602.6799977</v>
          </cell>
          <cell r="C5">
            <v>158247777.00999966</v>
          </cell>
          <cell r="E5">
            <v>1026977531.0399983</v>
          </cell>
          <cell r="F5">
            <v>114537106.01999991</v>
          </cell>
        </row>
        <row r="6">
          <cell r="A6" t="str">
            <v>Cundinamarca</v>
          </cell>
          <cell r="B6">
            <v>907670290.0599848</v>
          </cell>
          <cell r="C6">
            <v>108051167.36999989</v>
          </cell>
          <cell r="E6">
            <v>936269606.27999604</v>
          </cell>
          <cell r="F6">
            <v>134643181.34000045</v>
          </cell>
        </row>
        <row r="7">
          <cell r="A7" t="str">
            <v>Atlántico</v>
          </cell>
          <cell r="B7">
            <v>757611253.30999553</v>
          </cell>
          <cell r="C7">
            <v>109699429.15000023</v>
          </cell>
          <cell r="E7">
            <v>750869297.85999918</v>
          </cell>
          <cell r="F7">
            <v>107158607.34999999</v>
          </cell>
        </row>
        <row r="8">
          <cell r="A8" t="str">
            <v>Córdoba</v>
          </cell>
          <cell r="B8">
            <v>668552595.48999989</v>
          </cell>
          <cell r="C8">
            <v>84096581.560000017</v>
          </cell>
          <cell r="E8">
            <v>543919785.04999959</v>
          </cell>
          <cell r="F8">
            <v>64822056.930000015</v>
          </cell>
        </row>
        <row r="9">
          <cell r="A9" t="str">
            <v>Sin definir</v>
          </cell>
          <cell r="B9">
            <v>0</v>
          </cell>
          <cell r="C9">
            <v>0</v>
          </cell>
          <cell r="E9">
            <v>531620528</v>
          </cell>
          <cell r="F9">
            <v>0</v>
          </cell>
        </row>
        <row r="10">
          <cell r="A10" t="str">
            <v>Magdalena</v>
          </cell>
          <cell r="B10">
            <v>283647526.81000042</v>
          </cell>
          <cell r="C10">
            <v>43636988.840000033</v>
          </cell>
          <cell r="E10">
            <v>300217896.22000027</v>
          </cell>
          <cell r="F10">
            <v>28442419.030000005</v>
          </cell>
        </row>
        <row r="11">
          <cell r="A11" t="str">
            <v>Caldas</v>
          </cell>
          <cell r="B11">
            <v>247223770.51999995</v>
          </cell>
          <cell r="C11">
            <v>30239501.449999973</v>
          </cell>
          <cell r="E11">
            <v>253354238.82000008</v>
          </cell>
          <cell r="F11">
            <v>41375407.149999999</v>
          </cell>
        </row>
        <row r="12">
          <cell r="A12" t="str">
            <v>Santander</v>
          </cell>
          <cell r="B12">
            <v>82091823.739999935</v>
          </cell>
          <cell r="C12">
            <v>10578172.84</v>
          </cell>
          <cell r="E12">
            <v>163180459.04000008</v>
          </cell>
          <cell r="F12">
            <v>19544253.920000017</v>
          </cell>
        </row>
        <row r="13">
          <cell r="A13" t="str">
            <v>Norte de Santander</v>
          </cell>
          <cell r="B13">
            <v>148601829.56999969</v>
          </cell>
          <cell r="C13">
            <v>19224879.850000013</v>
          </cell>
          <cell r="E13">
            <v>141580584.43000039</v>
          </cell>
          <cell r="F13">
            <v>15215003.979999987</v>
          </cell>
        </row>
        <row r="14">
          <cell r="A14" t="str">
            <v>Cesar</v>
          </cell>
          <cell r="B14">
            <v>106071902.98000002</v>
          </cell>
          <cell r="C14">
            <v>31642380.399999999</v>
          </cell>
          <cell r="E14">
            <v>121778837.86999999</v>
          </cell>
          <cell r="F14">
            <v>13489441.990000002</v>
          </cell>
        </row>
        <row r="15">
          <cell r="A15" t="str">
            <v>Risaralda</v>
          </cell>
          <cell r="B15">
            <v>140345221.15999991</v>
          </cell>
          <cell r="C15">
            <v>16246084.759999992</v>
          </cell>
          <cell r="E15">
            <v>117720885.50999969</v>
          </cell>
          <cell r="F15">
            <v>17545987.769999977</v>
          </cell>
        </row>
        <row r="16">
          <cell r="A16" t="str">
            <v>Cauca</v>
          </cell>
          <cell r="B16">
            <v>150912870.60000014</v>
          </cell>
          <cell r="C16">
            <v>27096156.120000012</v>
          </cell>
          <cell r="E16">
            <v>114769630.33000036</v>
          </cell>
          <cell r="F16">
            <v>16802902.930000003</v>
          </cell>
        </row>
        <row r="17">
          <cell r="A17" t="str">
            <v>Boyacá</v>
          </cell>
          <cell r="B17">
            <v>91299393.189999983</v>
          </cell>
          <cell r="C17">
            <v>16058055.469999999</v>
          </cell>
          <cell r="E17">
            <v>92227968.659999996</v>
          </cell>
          <cell r="F17">
            <v>10718396.590000002</v>
          </cell>
        </row>
        <row r="18">
          <cell r="A18" t="str">
            <v>Tolima</v>
          </cell>
          <cell r="B18">
            <v>19758697.870000001</v>
          </cell>
          <cell r="C18">
            <v>1627505.7699999998</v>
          </cell>
          <cell r="E18">
            <v>30223366.870000005</v>
          </cell>
          <cell r="F18">
            <v>3627603.4400000004</v>
          </cell>
        </row>
        <row r="19">
          <cell r="A19" t="str">
            <v>Sucre</v>
          </cell>
          <cell r="B19">
            <v>16091413.5</v>
          </cell>
          <cell r="C19">
            <v>2884086.5</v>
          </cell>
          <cell r="E19">
            <v>16485615.170000002</v>
          </cell>
          <cell r="F19">
            <v>1205560.0999999999</v>
          </cell>
        </row>
        <row r="20">
          <cell r="A20" t="str">
            <v>Nariño</v>
          </cell>
          <cell r="B20">
            <v>6061252.8999999873</v>
          </cell>
          <cell r="C20">
            <v>725812.47000000055</v>
          </cell>
          <cell r="E20">
            <v>13412564.24</v>
          </cell>
          <cell r="F20">
            <v>3773105.89</v>
          </cell>
        </row>
        <row r="21">
          <cell r="A21" t="str">
            <v>Huila</v>
          </cell>
          <cell r="B21">
            <v>13448706.409999998</v>
          </cell>
          <cell r="C21">
            <v>403485.23</v>
          </cell>
          <cell r="E21">
            <v>12982095.140000002</v>
          </cell>
          <cell r="F21">
            <v>1779031.1900000002</v>
          </cell>
        </row>
        <row r="22">
          <cell r="A22" t="str">
            <v>Guajira</v>
          </cell>
          <cell r="B22">
            <v>1474206.51</v>
          </cell>
          <cell r="C22">
            <v>30326.400000000001</v>
          </cell>
          <cell r="E22">
            <v>8512261.9199999999</v>
          </cell>
          <cell r="F22">
            <v>343859.14</v>
          </cell>
        </row>
        <row r="23">
          <cell r="A23" t="str">
            <v>Meta</v>
          </cell>
          <cell r="B23">
            <v>1306611.8499999999</v>
          </cell>
          <cell r="C23">
            <v>72894</v>
          </cell>
          <cell r="E23">
            <v>3888022.2600000007</v>
          </cell>
          <cell r="F23">
            <v>463599.15</v>
          </cell>
        </row>
        <row r="24">
          <cell r="A24" t="str">
            <v>San Andrés</v>
          </cell>
          <cell r="B24">
            <v>1680610.3</v>
          </cell>
          <cell r="C24">
            <v>38.299999999999997</v>
          </cell>
          <cell r="E24">
            <v>2359485.33</v>
          </cell>
          <cell r="F24">
            <v>11203.9</v>
          </cell>
        </row>
        <row r="25">
          <cell r="A25" t="str">
            <v>Quindío</v>
          </cell>
          <cell r="B25">
            <v>3084623.5300000007</v>
          </cell>
          <cell r="C25">
            <v>270500.88999999996</v>
          </cell>
          <cell r="E25">
            <v>2273645.4099999997</v>
          </cell>
          <cell r="F25">
            <v>352627.77</v>
          </cell>
        </row>
        <row r="26">
          <cell r="A26" t="str">
            <v>Chocó</v>
          </cell>
          <cell r="B26">
            <v>1517519.92</v>
          </cell>
          <cell r="C26">
            <v>96729.5</v>
          </cell>
          <cell r="E26">
            <v>1343577.72</v>
          </cell>
          <cell r="F26">
            <v>106017.24</v>
          </cell>
        </row>
        <row r="27">
          <cell r="A27" t="str">
            <v>Aráuca</v>
          </cell>
          <cell r="B27">
            <v>15741521.060000001</v>
          </cell>
          <cell r="C27">
            <v>3391746.53</v>
          </cell>
          <cell r="E27">
            <v>1149791.5600000003</v>
          </cell>
          <cell r="F27">
            <v>18828.95</v>
          </cell>
        </row>
        <row r="28">
          <cell r="A28" t="str">
            <v>Vichada</v>
          </cell>
          <cell r="B28">
            <v>1140744.03</v>
          </cell>
          <cell r="C28">
            <v>0</v>
          </cell>
          <cell r="E28">
            <v>523328.87</v>
          </cell>
          <cell r="F28">
            <v>0</v>
          </cell>
        </row>
        <row r="29">
          <cell r="A29" t="str">
            <v>Casanare</v>
          </cell>
          <cell r="B29">
            <v>57650</v>
          </cell>
          <cell r="C29">
            <v>0</v>
          </cell>
          <cell r="E29">
            <v>252297.60000000003</v>
          </cell>
          <cell r="F29">
            <v>2270.0100000000002</v>
          </cell>
        </row>
        <row r="30">
          <cell r="A30" t="str">
            <v>Amazonas</v>
          </cell>
          <cell r="B30">
            <v>20775.400000000001</v>
          </cell>
          <cell r="C30">
            <v>0</v>
          </cell>
          <cell r="E30">
            <v>170210.84000000003</v>
          </cell>
          <cell r="F30">
            <v>0</v>
          </cell>
        </row>
        <row r="31">
          <cell r="A31" t="str">
            <v>Vaupés</v>
          </cell>
          <cell r="B31">
            <v>4413.57</v>
          </cell>
          <cell r="C31">
            <v>0</v>
          </cell>
          <cell r="E31">
            <v>153037.84</v>
          </cell>
          <cell r="F31">
            <v>113156.54000000001</v>
          </cell>
        </row>
        <row r="32">
          <cell r="A32" t="str">
            <v>Guaviare</v>
          </cell>
          <cell r="B32">
            <v>0</v>
          </cell>
          <cell r="C32">
            <v>0</v>
          </cell>
          <cell r="E32">
            <v>109042.86</v>
          </cell>
          <cell r="F32">
            <v>109042.86</v>
          </cell>
        </row>
        <row r="33">
          <cell r="A33" t="str">
            <v>Caquetá</v>
          </cell>
          <cell r="B33">
            <v>423020.96</v>
          </cell>
          <cell r="C33">
            <v>44446.71</v>
          </cell>
          <cell r="E33">
            <v>90367.239999999991</v>
          </cell>
          <cell r="F33">
            <v>0</v>
          </cell>
        </row>
        <row r="34">
          <cell r="A34" t="str">
            <v>Guainía</v>
          </cell>
          <cell r="B34">
            <v>426019.09</v>
          </cell>
          <cell r="C34">
            <v>0</v>
          </cell>
          <cell r="E34">
            <v>31192.5</v>
          </cell>
          <cell r="F34">
            <v>5716</v>
          </cell>
        </row>
        <row r="35">
          <cell r="A35" t="str">
            <v>Putumayo</v>
          </cell>
          <cell r="B35">
            <v>0</v>
          </cell>
          <cell r="C35">
            <v>0</v>
          </cell>
          <cell r="E35">
            <v>1947</v>
          </cell>
          <cell r="F35">
            <v>0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13260763203.880001</v>
          </cell>
          <cell r="C2">
            <v>1418846916.0599999</v>
          </cell>
          <cell r="E2">
            <v>13052259065.179998</v>
          </cell>
          <cell r="F2">
            <v>1929291086.2299998</v>
          </cell>
        </row>
        <row r="3">
          <cell r="A3" t="str">
            <v>Cesar</v>
          </cell>
          <cell r="B3">
            <v>2835583182.2400012</v>
          </cell>
          <cell r="C3">
            <v>109393751.97</v>
          </cell>
          <cell r="E3">
            <v>2202082333.249999</v>
          </cell>
          <cell r="F3">
            <v>422216727.18000001</v>
          </cell>
        </row>
        <row r="4">
          <cell r="A4" t="str">
            <v>Meta</v>
          </cell>
          <cell r="B4">
            <v>1931650841.4400003</v>
          </cell>
          <cell r="C4">
            <v>223975844.06</v>
          </cell>
          <cell r="E4">
            <v>2053149068.4399998</v>
          </cell>
          <cell r="F4">
            <v>136339917.85000002</v>
          </cell>
        </row>
        <row r="5">
          <cell r="A5" t="str">
            <v>Guajira</v>
          </cell>
          <cell r="B5">
            <v>2384679165.9300003</v>
          </cell>
          <cell r="C5">
            <v>261580511.13</v>
          </cell>
          <cell r="E5">
            <v>1849204888.73</v>
          </cell>
          <cell r="F5">
            <v>186235489.22</v>
          </cell>
        </row>
        <row r="6">
          <cell r="A6" t="str">
            <v>Casanare</v>
          </cell>
          <cell r="B6">
            <v>1407575250.8100002</v>
          </cell>
          <cell r="C6">
            <v>202621758.09999999</v>
          </cell>
          <cell r="E6">
            <v>1575284300.3899992</v>
          </cell>
          <cell r="F6">
            <v>322929638.00999999</v>
          </cell>
        </row>
        <row r="7">
          <cell r="A7" t="str">
            <v>Antioquia</v>
          </cell>
          <cell r="B7">
            <v>859105623.80000079</v>
          </cell>
          <cell r="C7">
            <v>89335750.900000006</v>
          </cell>
          <cell r="E7">
            <v>707144198.49000371</v>
          </cell>
          <cell r="F7">
            <v>78135969.439999908</v>
          </cell>
        </row>
        <row r="8">
          <cell r="A8" t="str">
            <v>Bogotá</v>
          </cell>
          <cell r="B8">
            <v>655952078.6400032</v>
          </cell>
          <cell r="C8">
            <v>58422400.809999928</v>
          </cell>
          <cell r="E8">
            <v>679228082.82999754</v>
          </cell>
          <cell r="F8">
            <v>70101548.890000105</v>
          </cell>
        </row>
        <row r="9">
          <cell r="A9" t="str">
            <v>Aráuca</v>
          </cell>
          <cell r="B9">
            <v>429108440.78999996</v>
          </cell>
          <cell r="C9">
            <v>44572390.119999997</v>
          </cell>
          <cell r="E9">
            <v>557054807.07000005</v>
          </cell>
          <cell r="F9">
            <v>83260912.689999998</v>
          </cell>
        </row>
        <row r="10">
          <cell r="A10" t="str">
            <v>Cundinamarca</v>
          </cell>
          <cell r="B10">
            <v>526471451.77000153</v>
          </cell>
          <cell r="C10">
            <v>49677748.990000121</v>
          </cell>
          <cell r="E10">
            <v>482508111.36000001</v>
          </cell>
          <cell r="F10">
            <v>79405683.180000186</v>
          </cell>
        </row>
        <row r="11">
          <cell r="A11" t="str">
            <v>Bolívar</v>
          </cell>
          <cell r="B11">
            <v>109534306.27000007</v>
          </cell>
          <cell r="C11">
            <v>15108474.429999996</v>
          </cell>
          <cell r="E11">
            <v>350554317.62999994</v>
          </cell>
          <cell r="F11">
            <v>39140292.729999997</v>
          </cell>
        </row>
        <row r="12">
          <cell r="A12" t="str">
            <v>Santander</v>
          </cell>
          <cell r="B12">
            <v>73324355.470000029</v>
          </cell>
          <cell r="C12">
            <v>4827709.1900000023</v>
          </cell>
          <cell r="E12">
            <v>329587553.06999964</v>
          </cell>
          <cell r="F12">
            <v>49581495.270000003</v>
          </cell>
        </row>
        <row r="13">
          <cell r="A13" t="str">
            <v>Huila</v>
          </cell>
          <cell r="B13">
            <v>506991444.38000011</v>
          </cell>
          <cell r="C13">
            <v>33796955.839999989</v>
          </cell>
          <cell r="E13">
            <v>297435890.92000002</v>
          </cell>
          <cell r="F13">
            <v>34975146.130000003</v>
          </cell>
        </row>
        <row r="14">
          <cell r="A14" t="str">
            <v>Caldas</v>
          </cell>
          <cell r="B14">
            <v>271648218.80000007</v>
          </cell>
          <cell r="C14">
            <v>44700900.06000001</v>
          </cell>
          <cell r="E14">
            <v>294083099.84000003</v>
          </cell>
          <cell r="F14">
            <v>37531128.869999997</v>
          </cell>
        </row>
        <row r="15">
          <cell r="A15" t="str">
            <v>Magdalena</v>
          </cell>
          <cell r="B15">
            <v>188909441.02999988</v>
          </cell>
          <cell r="C15">
            <v>24895842.23</v>
          </cell>
          <cell r="E15">
            <v>234601233.19999963</v>
          </cell>
          <cell r="F15">
            <v>17988320.68</v>
          </cell>
        </row>
        <row r="16">
          <cell r="A16" t="str">
            <v>Tolima</v>
          </cell>
          <cell r="B16">
            <v>334690902.98000032</v>
          </cell>
          <cell r="C16">
            <v>30847611.550000012</v>
          </cell>
          <cell r="E16">
            <v>211529039.25000012</v>
          </cell>
          <cell r="F16">
            <v>23932424.949999996</v>
          </cell>
        </row>
        <row r="17">
          <cell r="A17" t="str">
            <v>Risaralda</v>
          </cell>
          <cell r="B17">
            <v>251855882.73999968</v>
          </cell>
          <cell r="C17">
            <v>30463163.929999996</v>
          </cell>
          <cell r="E17">
            <v>186275507.74999976</v>
          </cell>
          <cell r="F17">
            <v>16310422.979999999</v>
          </cell>
        </row>
        <row r="18">
          <cell r="A18" t="str">
            <v>Norte de Santander</v>
          </cell>
          <cell r="B18">
            <v>99960594.399999991</v>
          </cell>
          <cell r="C18">
            <v>10279418.840000002</v>
          </cell>
          <cell r="E18">
            <v>174238565.59999993</v>
          </cell>
          <cell r="F18">
            <v>17812841.120000001</v>
          </cell>
        </row>
        <row r="19">
          <cell r="A19" t="str">
            <v>Putumayo</v>
          </cell>
          <cell r="B19">
            <v>0</v>
          </cell>
          <cell r="C19">
            <v>0</v>
          </cell>
          <cell r="E19">
            <v>157421594.28999999</v>
          </cell>
          <cell r="F19">
            <v>16099970.41</v>
          </cell>
        </row>
        <row r="20">
          <cell r="A20" t="str">
            <v>Quindío</v>
          </cell>
          <cell r="B20">
            <v>110825150.80000001</v>
          </cell>
          <cell r="C20">
            <v>15263420.720000004</v>
          </cell>
          <cell r="E20">
            <v>127839519.31000012</v>
          </cell>
          <cell r="F20">
            <v>20861929.259999998</v>
          </cell>
        </row>
        <row r="21">
          <cell r="A21" t="str">
            <v>Valle del Cauca</v>
          </cell>
          <cell r="B21">
            <v>70350513.699999928</v>
          </cell>
          <cell r="C21">
            <v>10156750.589999998</v>
          </cell>
          <cell r="E21">
            <v>78829978.379999995</v>
          </cell>
          <cell r="F21">
            <v>11691031.649999995</v>
          </cell>
        </row>
        <row r="22">
          <cell r="A22" t="str">
            <v>Córdoba</v>
          </cell>
          <cell r="B22">
            <v>57389138.159999996</v>
          </cell>
          <cell r="C22">
            <v>5846120.879999999</v>
          </cell>
          <cell r="E22">
            <v>65658797.879999995</v>
          </cell>
          <cell r="F22">
            <v>3552636.28</v>
          </cell>
        </row>
        <row r="23">
          <cell r="A23" t="str">
            <v>Cauca</v>
          </cell>
          <cell r="B23">
            <v>43782385.720000058</v>
          </cell>
          <cell r="C23">
            <v>10437481.200000001</v>
          </cell>
          <cell r="E23">
            <v>54081431.909999974</v>
          </cell>
          <cell r="F23">
            <v>10497416.609999999</v>
          </cell>
        </row>
        <row r="24">
          <cell r="A24" t="str">
            <v>Atlántico</v>
          </cell>
          <cell r="B24">
            <v>52663339.359999985</v>
          </cell>
          <cell r="C24">
            <v>3387687.53</v>
          </cell>
          <cell r="E24">
            <v>53162227.959999993</v>
          </cell>
          <cell r="F24">
            <v>10067257.549999999</v>
          </cell>
        </row>
        <row r="25">
          <cell r="A25" t="str">
            <v>Boyacá</v>
          </cell>
          <cell r="B25">
            <v>32733633.670000002</v>
          </cell>
          <cell r="C25">
            <v>8744898.6400000006</v>
          </cell>
          <cell r="E25">
            <v>39133834.230000027</v>
          </cell>
          <cell r="F25">
            <v>1241430.1200000006</v>
          </cell>
        </row>
        <row r="26">
          <cell r="A26" t="str">
            <v>Nariño</v>
          </cell>
          <cell r="B26">
            <v>14856667.430000007</v>
          </cell>
          <cell r="C26">
            <v>3948888.33</v>
          </cell>
          <cell r="E26">
            <v>16600374.679999998</v>
          </cell>
          <cell r="F26">
            <v>6603426.6600000011</v>
          </cell>
        </row>
        <row r="27">
          <cell r="A27" t="str">
            <v>Sucre</v>
          </cell>
          <cell r="B27">
            <v>13859465.710000003</v>
          </cell>
          <cell r="C27">
            <v>2828661.6</v>
          </cell>
          <cell r="E27">
            <v>12263980.310000001</v>
          </cell>
          <cell r="F27">
            <v>9838.4</v>
          </cell>
        </row>
        <row r="28">
          <cell r="A28" t="str">
            <v>San Andrés</v>
          </cell>
          <cell r="B28">
            <v>1737237.56</v>
          </cell>
          <cell r="C28">
            <v>0</v>
          </cell>
          <cell r="E28">
            <v>2453710.12</v>
          </cell>
          <cell r="F28">
            <v>0</v>
          </cell>
        </row>
        <row r="29">
          <cell r="A29" t="str">
            <v>Vichada</v>
          </cell>
          <cell r="B29">
            <v>1231867.74</v>
          </cell>
          <cell r="C29">
            <v>0</v>
          </cell>
          <cell r="E29">
            <v>523328.87</v>
          </cell>
          <cell r="F29">
            <v>0</v>
          </cell>
        </row>
        <row r="30">
          <cell r="A30" t="str">
            <v>Guaviare</v>
          </cell>
          <cell r="B30">
            <v>0</v>
          </cell>
          <cell r="C30">
            <v>0</v>
          </cell>
          <cell r="E30">
            <v>109042.86</v>
          </cell>
          <cell r="F30">
            <v>109042.86</v>
          </cell>
        </row>
        <row r="31">
          <cell r="A31" t="str">
            <v>Chocó</v>
          </cell>
          <cell r="B31">
            <v>0</v>
          </cell>
          <cell r="C31">
            <v>0</v>
          </cell>
          <cell r="E31">
            <v>34530</v>
          </cell>
          <cell r="F31">
            <v>0</v>
          </cell>
        </row>
        <row r="32">
          <cell r="A32" t="str">
            <v>Amazonas</v>
          </cell>
          <cell r="B32">
            <v>0</v>
          </cell>
          <cell r="C32">
            <v>0</v>
          </cell>
          <cell r="E32">
            <v>29478.61</v>
          </cell>
          <cell r="F32">
            <v>0</v>
          </cell>
        </row>
        <row r="33">
          <cell r="A33" t="str">
            <v>Caquetá</v>
          </cell>
          <cell r="B33">
            <v>73704.960000000006</v>
          </cell>
          <cell r="C33">
            <v>0</v>
          </cell>
          <cell r="E33">
            <v>0</v>
          </cell>
          <cell r="F33">
            <v>0</v>
          </cell>
        </row>
        <row r="34">
          <cell r="A34" t="str">
            <v>Guainía</v>
          </cell>
          <cell r="B34">
            <v>426019.09</v>
          </cell>
          <cell r="C34">
            <v>0</v>
          </cell>
          <cell r="E34">
            <v>0</v>
          </cell>
          <cell r="F34">
            <v>0</v>
          </cell>
        </row>
      </sheetData>
    </sheetDataSet>
  </externalBook>
</externalLink>
</file>

<file path=xl/externalLinks/externalLink3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1412380509.6100001</v>
          </cell>
          <cell r="C2">
            <v>124580539</v>
          </cell>
          <cell r="E2">
            <v>1359747184</v>
          </cell>
          <cell r="F2">
            <v>188841163</v>
          </cell>
        </row>
        <row r="3">
          <cell r="A3" t="str">
            <v>Bolívar</v>
          </cell>
          <cell r="B3">
            <v>1359979742.4900026</v>
          </cell>
          <cell r="C3">
            <v>213982081.41</v>
          </cell>
          <cell r="E3">
            <v>1293241128.3299994</v>
          </cell>
          <cell r="F3">
            <v>83794081.98999995</v>
          </cell>
        </row>
        <row r="4">
          <cell r="A4" t="str">
            <v>Valle del Cauca</v>
          </cell>
          <cell r="B4">
            <v>672495343.19999754</v>
          </cell>
          <cell r="C4">
            <v>94806773.680000201</v>
          </cell>
          <cell r="E4">
            <v>579438777.91999733</v>
          </cell>
          <cell r="F4">
            <v>73292384.889999777</v>
          </cell>
        </row>
        <row r="5">
          <cell r="A5" t="str">
            <v>Santander</v>
          </cell>
          <cell r="B5">
            <v>357347879.03999984</v>
          </cell>
          <cell r="C5">
            <v>44389182.350000009</v>
          </cell>
          <cell r="E5">
            <v>361933047.76000023</v>
          </cell>
          <cell r="F5">
            <v>39734353.590000026</v>
          </cell>
        </row>
        <row r="6">
          <cell r="A6" t="str">
            <v>Bogotá</v>
          </cell>
          <cell r="B6">
            <v>303184868.83999914</v>
          </cell>
          <cell r="C6">
            <v>45721718.699999921</v>
          </cell>
          <cell r="E6">
            <v>286181829.91000003</v>
          </cell>
          <cell r="F6">
            <v>36834505.86999996</v>
          </cell>
        </row>
        <row r="7">
          <cell r="A7" t="str">
            <v>Atlántico</v>
          </cell>
          <cell r="B7">
            <v>293375470.31999874</v>
          </cell>
          <cell r="C7">
            <v>40501088.639999993</v>
          </cell>
          <cell r="E7">
            <v>283261592.07000095</v>
          </cell>
          <cell r="F7">
            <v>31756865.670000028</v>
          </cell>
        </row>
        <row r="8">
          <cell r="A8" t="str">
            <v>Boyacá</v>
          </cell>
          <cell r="B8">
            <v>271115729.57999998</v>
          </cell>
          <cell r="C8">
            <v>43449056.990000002</v>
          </cell>
          <cell r="E8">
            <v>207401489.65000001</v>
          </cell>
          <cell r="F8">
            <v>27004221.879999999</v>
          </cell>
        </row>
        <row r="9">
          <cell r="A9" t="str">
            <v>Cundinamarca</v>
          </cell>
          <cell r="B9">
            <v>207399639.65000135</v>
          </cell>
          <cell r="C9">
            <v>41108800.509999968</v>
          </cell>
          <cell r="E9">
            <v>197154075.63999948</v>
          </cell>
          <cell r="F9">
            <v>11678332.079999998</v>
          </cell>
        </row>
        <row r="10">
          <cell r="A10" t="str">
            <v>Antioquia</v>
          </cell>
          <cell r="B10">
            <v>230511167.8300007</v>
          </cell>
          <cell r="C10">
            <v>32605705.749999993</v>
          </cell>
          <cell r="E10">
            <v>174882840.50000054</v>
          </cell>
          <cell r="F10">
            <v>24273902.349999987</v>
          </cell>
        </row>
        <row r="11">
          <cell r="A11" t="str">
            <v>Magdalena</v>
          </cell>
          <cell r="B11">
            <v>138727973.31000003</v>
          </cell>
          <cell r="C11">
            <v>18982156.549999997</v>
          </cell>
          <cell r="E11">
            <v>146866508.33999991</v>
          </cell>
          <cell r="F11">
            <v>22225508.089999996</v>
          </cell>
        </row>
        <row r="12">
          <cell r="A12" t="str">
            <v>Norte de Santander</v>
          </cell>
          <cell r="B12">
            <v>164790394.10999966</v>
          </cell>
          <cell r="C12">
            <v>19055613.850000005</v>
          </cell>
          <cell r="E12">
            <v>103869742.81000024</v>
          </cell>
          <cell r="F12">
            <v>14578041.460000003</v>
          </cell>
        </row>
        <row r="13">
          <cell r="A13" t="str">
            <v>Caldas</v>
          </cell>
          <cell r="B13">
            <v>58431492.830000356</v>
          </cell>
          <cell r="C13">
            <v>7201277.7299999967</v>
          </cell>
          <cell r="E13">
            <v>57101083.729999922</v>
          </cell>
          <cell r="F13">
            <v>7299202.6699999981</v>
          </cell>
        </row>
        <row r="14">
          <cell r="A14" t="str">
            <v>Cauca</v>
          </cell>
          <cell r="B14">
            <v>80487182.780000106</v>
          </cell>
          <cell r="C14">
            <v>17969106.999999996</v>
          </cell>
          <cell r="E14">
            <v>55947970.589999981</v>
          </cell>
          <cell r="F14">
            <v>11271933.500000004</v>
          </cell>
        </row>
        <row r="15">
          <cell r="A15" t="str">
            <v>Risaralda</v>
          </cell>
          <cell r="B15">
            <v>56414731.709999993</v>
          </cell>
          <cell r="C15">
            <v>7242204.6499999985</v>
          </cell>
          <cell r="E15">
            <v>44390796.49000001</v>
          </cell>
          <cell r="F15">
            <v>5380917.54</v>
          </cell>
        </row>
        <row r="16">
          <cell r="A16" t="str">
            <v>Nariño</v>
          </cell>
          <cell r="B16">
            <v>2585767.4799999995</v>
          </cell>
          <cell r="C16">
            <v>46096.97</v>
          </cell>
          <cell r="E16">
            <v>4416466.0700000012</v>
          </cell>
          <cell r="F16">
            <v>2527918.23</v>
          </cell>
        </row>
        <row r="17">
          <cell r="A17" t="str">
            <v>Cesar</v>
          </cell>
          <cell r="B17">
            <v>64147</v>
          </cell>
          <cell r="C17">
            <v>0</v>
          </cell>
          <cell r="E17">
            <v>4210759.13</v>
          </cell>
          <cell r="F17">
            <v>752335.2</v>
          </cell>
        </row>
        <row r="18">
          <cell r="A18" t="str">
            <v>Sucre</v>
          </cell>
          <cell r="B18">
            <v>1944467.86</v>
          </cell>
          <cell r="C18">
            <v>7200</v>
          </cell>
          <cell r="E18">
            <v>4178631.96</v>
          </cell>
          <cell r="F18">
            <v>1186070.5</v>
          </cell>
        </row>
        <row r="19">
          <cell r="A19" t="str">
            <v>Casanare</v>
          </cell>
          <cell r="B19">
            <v>0</v>
          </cell>
          <cell r="C19">
            <v>0</v>
          </cell>
          <cell r="E19">
            <v>4133160.84</v>
          </cell>
          <cell r="F19">
            <v>0</v>
          </cell>
        </row>
        <row r="20">
          <cell r="A20" t="str">
            <v>Córdoba</v>
          </cell>
          <cell r="B20">
            <v>4305611.4300000034</v>
          </cell>
          <cell r="C20">
            <v>362949.06</v>
          </cell>
          <cell r="E20">
            <v>3187827.3099999996</v>
          </cell>
          <cell r="F20">
            <v>338318.98</v>
          </cell>
        </row>
        <row r="21">
          <cell r="A21" t="str">
            <v>Tolima</v>
          </cell>
          <cell r="B21">
            <v>964039.39</v>
          </cell>
          <cell r="C21">
            <v>106920</v>
          </cell>
          <cell r="E21">
            <v>1607070.41</v>
          </cell>
          <cell r="F21">
            <v>136662.91999999998</v>
          </cell>
        </row>
        <row r="22">
          <cell r="A22" t="str">
            <v>Chocó</v>
          </cell>
          <cell r="B22">
            <v>1382505.6199999999</v>
          </cell>
          <cell r="C22">
            <v>96729.5</v>
          </cell>
          <cell r="E22">
            <v>1309047.72</v>
          </cell>
          <cell r="F22">
            <v>106017.24</v>
          </cell>
        </row>
        <row r="23">
          <cell r="A23" t="str">
            <v>Guajira</v>
          </cell>
          <cell r="B23">
            <v>300107.77</v>
          </cell>
          <cell r="C23">
            <v>18326.400000000001</v>
          </cell>
          <cell r="E23">
            <v>139587.03999999998</v>
          </cell>
          <cell r="F23">
            <v>68381.539999999994</v>
          </cell>
        </row>
        <row r="24">
          <cell r="A24" t="str">
            <v>Huila</v>
          </cell>
          <cell r="B24">
            <v>58813.590000000004</v>
          </cell>
          <cell r="C24">
            <v>0</v>
          </cell>
          <cell r="E24">
            <v>108078.95</v>
          </cell>
          <cell r="F24">
            <v>32386.55</v>
          </cell>
        </row>
        <row r="25">
          <cell r="A25" t="str">
            <v>Caquetá</v>
          </cell>
          <cell r="B25">
            <v>338179.96</v>
          </cell>
          <cell r="C25">
            <v>44446.71</v>
          </cell>
          <cell r="E25">
            <v>90367.239999999991</v>
          </cell>
          <cell r="F25">
            <v>0</v>
          </cell>
        </row>
        <row r="26">
          <cell r="A26" t="str">
            <v>Quindío</v>
          </cell>
          <cell r="B26">
            <v>63799.78</v>
          </cell>
          <cell r="C26">
            <v>4557.76</v>
          </cell>
          <cell r="E26">
            <v>81041.12999999999</v>
          </cell>
          <cell r="F26">
            <v>0</v>
          </cell>
        </row>
        <row r="27">
          <cell r="A27" t="str">
            <v>San Andrés</v>
          </cell>
          <cell r="B27">
            <v>0</v>
          </cell>
          <cell r="C27">
            <v>0</v>
          </cell>
          <cell r="E27">
            <v>22733.74</v>
          </cell>
          <cell r="F27">
            <v>11203.9</v>
          </cell>
        </row>
        <row r="28">
          <cell r="A28" t="str">
            <v>Putumayo</v>
          </cell>
          <cell r="B28">
            <v>0</v>
          </cell>
          <cell r="C28">
            <v>0</v>
          </cell>
          <cell r="E28">
            <v>1947</v>
          </cell>
          <cell r="F28">
            <v>0</v>
          </cell>
        </row>
        <row r="29">
          <cell r="A29" t="str">
            <v>Vaupés</v>
          </cell>
          <cell r="B29">
            <v>0</v>
          </cell>
          <cell r="C29">
            <v>0</v>
          </cell>
          <cell r="E29">
            <v>1536</v>
          </cell>
          <cell r="F29">
            <v>0</v>
          </cell>
        </row>
        <row r="30">
          <cell r="A30" t="str">
            <v>Amazonas</v>
          </cell>
          <cell r="B30">
            <v>20775.400000000001</v>
          </cell>
          <cell r="C30">
            <v>0</v>
          </cell>
          <cell r="E30">
            <v>0</v>
          </cell>
          <cell r="F30">
            <v>0</v>
          </cell>
        </row>
        <row r="31">
          <cell r="A31" t="str">
            <v>Aráuca</v>
          </cell>
          <cell r="B31">
            <v>34289.520000000004</v>
          </cell>
          <cell r="C31">
            <v>0</v>
          </cell>
          <cell r="E31">
            <v>0</v>
          </cell>
          <cell r="F31">
            <v>0</v>
          </cell>
        </row>
        <row r="32">
          <cell r="A32" t="str">
            <v>Meta</v>
          </cell>
          <cell r="B32">
            <v>109981.04999999999</v>
          </cell>
          <cell r="C32">
            <v>0</v>
          </cell>
          <cell r="E32">
            <v>0</v>
          </cell>
          <cell r="F32">
            <v>0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Antioquia</v>
          </cell>
          <cell r="B2">
            <v>700783268.85001051</v>
          </cell>
          <cell r="C2">
            <v>89811701.389999971</v>
          </cell>
          <cell r="E2">
            <v>568270747.0999974</v>
          </cell>
          <cell r="F2">
            <v>69586611.509999901</v>
          </cell>
        </row>
        <row r="3">
          <cell r="A3" t="str">
            <v>Bogotá</v>
          </cell>
          <cell r="B3">
            <v>493099372.21999532</v>
          </cell>
          <cell r="C3">
            <v>65476478.730000168</v>
          </cell>
          <cell r="E3">
            <v>441057874.11999714</v>
          </cell>
          <cell r="F3">
            <v>51089905.89000006</v>
          </cell>
        </row>
        <row r="4">
          <cell r="A4" t="str">
            <v>Valle del Cauca</v>
          </cell>
          <cell r="B4">
            <v>215734145.11000085</v>
          </cell>
          <cell r="C4">
            <v>26067943.590000078</v>
          </cell>
          <cell r="E4">
            <v>214839103.94000012</v>
          </cell>
          <cell r="F4">
            <v>26766096.350000013</v>
          </cell>
        </row>
        <row r="5">
          <cell r="A5" t="str">
            <v>Atlántico</v>
          </cell>
          <cell r="B5">
            <v>192104822.77999988</v>
          </cell>
          <cell r="C5">
            <v>24286422.359999988</v>
          </cell>
          <cell r="E5">
            <v>174453116.96000028</v>
          </cell>
          <cell r="F5">
            <v>21676363.18999996</v>
          </cell>
        </row>
        <row r="6">
          <cell r="A6" t="str">
            <v>Cundinamarca</v>
          </cell>
          <cell r="B6">
            <v>158321008.60000101</v>
          </cell>
          <cell r="C6">
            <v>19888876.830000021</v>
          </cell>
          <cell r="E6">
            <v>135535509.48999947</v>
          </cell>
          <cell r="F6">
            <v>12162525.900000002</v>
          </cell>
        </row>
        <row r="7">
          <cell r="A7" t="str">
            <v>Sin definir</v>
          </cell>
          <cell r="B7">
            <v>0</v>
          </cell>
          <cell r="C7">
            <v>0</v>
          </cell>
          <cell r="E7">
            <v>107812010</v>
          </cell>
          <cell r="F7">
            <v>0</v>
          </cell>
        </row>
        <row r="8">
          <cell r="A8" t="str">
            <v>Bolívar</v>
          </cell>
          <cell r="B8">
            <v>130583919.87999992</v>
          </cell>
          <cell r="C8">
            <v>23911855.599999998</v>
          </cell>
          <cell r="E8">
            <v>67602700.249999955</v>
          </cell>
          <cell r="F8">
            <v>4426752.3800000008</v>
          </cell>
        </row>
        <row r="9">
          <cell r="A9" t="str">
            <v>Caldas</v>
          </cell>
          <cell r="B9">
            <v>35538610.420000046</v>
          </cell>
          <cell r="C9">
            <v>4776735.1899999995</v>
          </cell>
          <cell r="E9">
            <v>32219671.740000021</v>
          </cell>
          <cell r="F9">
            <v>5815900.5499999989</v>
          </cell>
        </row>
        <row r="10">
          <cell r="A10" t="str">
            <v>Risaralda</v>
          </cell>
          <cell r="B10">
            <v>44908586.770000048</v>
          </cell>
          <cell r="C10">
            <v>4604981.3100000042</v>
          </cell>
          <cell r="E10">
            <v>31746484.600000061</v>
          </cell>
          <cell r="F10">
            <v>3385406.3200000008</v>
          </cell>
        </row>
        <row r="11">
          <cell r="A11" t="str">
            <v>Santander</v>
          </cell>
          <cell r="B11">
            <v>26316321.479999967</v>
          </cell>
          <cell r="C11">
            <v>3275117.02</v>
          </cell>
          <cell r="E11">
            <v>22588946.660000023</v>
          </cell>
          <cell r="F11">
            <v>1884706.2100000002</v>
          </cell>
        </row>
        <row r="12">
          <cell r="A12" t="str">
            <v>Cauca</v>
          </cell>
          <cell r="B12">
            <v>11816262.049999999</v>
          </cell>
          <cell r="C12">
            <v>1366540.72</v>
          </cell>
          <cell r="E12">
            <v>14366203.439999999</v>
          </cell>
          <cell r="F12">
            <v>1675231.01</v>
          </cell>
        </row>
        <row r="13">
          <cell r="A13" t="str">
            <v>Norte de Santander</v>
          </cell>
          <cell r="B13">
            <v>19768984.43999999</v>
          </cell>
          <cell r="C13">
            <v>1717185.3399999999</v>
          </cell>
          <cell r="E13">
            <v>10750123.050000003</v>
          </cell>
          <cell r="F13">
            <v>1866742.9599999997</v>
          </cell>
        </row>
        <row r="14">
          <cell r="A14" t="str">
            <v>Magdalena</v>
          </cell>
          <cell r="B14">
            <v>73957.540000000008</v>
          </cell>
          <cell r="C14">
            <v>261.38</v>
          </cell>
          <cell r="E14">
            <v>5715106.5800000001</v>
          </cell>
          <cell r="F14">
            <v>9696.8999999999978</v>
          </cell>
        </row>
        <row r="15">
          <cell r="A15" t="str">
            <v>Meta</v>
          </cell>
          <cell r="B15">
            <v>738753.42</v>
          </cell>
          <cell r="C15">
            <v>0</v>
          </cell>
          <cell r="E15">
            <v>1917519.5399999998</v>
          </cell>
          <cell r="F15">
            <v>0</v>
          </cell>
        </row>
        <row r="16">
          <cell r="A16" t="str">
            <v>Guajira</v>
          </cell>
          <cell r="B16">
            <v>678443.39</v>
          </cell>
          <cell r="C16">
            <v>12000</v>
          </cell>
          <cell r="E16">
            <v>1776439.7</v>
          </cell>
          <cell r="F16">
            <v>31458</v>
          </cell>
        </row>
        <row r="17">
          <cell r="A17" t="str">
            <v>Quindío</v>
          </cell>
          <cell r="B17">
            <v>2234098.9900000007</v>
          </cell>
          <cell r="C17">
            <v>70586.5</v>
          </cell>
          <cell r="E17">
            <v>1508968.92</v>
          </cell>
          <cell r="F17">
            <v>210310.37</v>
          </cell>
        </row>
        <row r="18">
          <cell r="A18" t="str">
            <v>Nariño</v>
          </cell>
          <cell r="B18">
            <v>1136772.8099999994</v>
          </cell>
          <cell r="C18">
            <v>143715.53</v>
          </cell>
          <cell r="E18">
            <v>1487163.1400000001</v>
          </cell>
          <cell r="F18">
            <v>94647.09</v>
          </cell>
        </row>
        <row r="19">
          <cell r="A19" t="str">
            <v>Boyacá</v>
          </cell>
          <cell r="B19">
            <v>452742.14999999997</v>
          </cell>
          <cell r="C19">
            <v>50720</v>
          </cell>
          <cell r="E19">
            <v>651950.71</v>
          </cell>
          <cell r="F19">
            <v>68991.02</v>
          </cell>
        </row>
        <row r="20">
          <cell r="A20" t="str">
            <v>Tolima</v>
          </cell>
          <cell r="B20">
            <v>276680.34999999998</v>
          </cell>
          <cell r="C20">
            <v>96629.29</v>
          </cell>
          <cell r="E20">
            <v>221759.49</v>
          </cell>
          <cell r="F20">
            <v>38318.520000000004</v>
          </cell>
        </row>
        <row r="21">
          <cell r="A21" t="str">
            <v>Aráuca</v>
          </cell>
          <cell r="B21">
            <v>67460.25</v>
          </cell>
          <cell r="C21">
            <v>40736.01</v>
          </cell>
          <cell r="E21">
            <v>221702.45999999996</v>
          </cell>
          <cell r="F21">
            <v>18828.95</v>
          </cell>
        </row>
        <row r="22">
          <cell r="A22" t="str">
            <v>Amazonas</v>
          </cell>
          <cell r="B22">
            <v>0</v>
          </cell>
          <cell r="C22">
            <v>0</v>
          </cell>
          <cell r="E22">
            <v>119296.51000000001</v>
          </cell>
          <cell r="F22">
            <v>0</v>
          </cell>
        </row>
        <row r="23">
          <cell r="A23" t="str">
            <v>Huila</v>
          </cell>
          <cell r="B23">
            <v>56074</v>
          </cell>
          <cell r="C23">
            <v>0</v>
          </cell>
          <cell r="E23">
            <v>68082</v>
          </cell>
          <cell r="F23">
            <v>0</v>
          </cell>
        </row>
        <row r="24">
          <cell r="A24" t="str">
            <v>Casanare</v>
          </cell>
          <cell r="B24">
            <v>0</v>
          </cell>
          <cell r="C24">
            <v>0</v>
          </cell>
          <cell r="E24">
            <v>36764.18</v>
          </cell>
          <cell r="F24">
            <v>0</v>
          </cell>
        </row>
        <row r="25">
          <cell r="A25" t="str">
            <v>Cesar</v>
          </cell>
          <cell r="B25">
            <v>1814</v>
          </cell>
          <cell r="C25">
            <v>0</v>
          </cell>
          <cell r="E25">
            <v>30195</v>
          </cell>
          <cell r="F25">
            <v>0</v>
          </cell>
        </row>
        <row r="26">
          <cell r="A26" t="str">
            <v>Sucre</v>
          </cell>
          <cell r="B26">
            <v>53624.9</v>
          </cell>
          <cell r="C26">
            <v>33824.9</v>
          </cell>
          <cell r="E26">
            <v>20338</v>
          </cell>
          <cell r="F26">
            <v>0</v>
          </cell>
        </row>
        <row r="27">
          <cell r="A27" t="str">
            <v>Guainía</v>
          </cell>
          <cell r="B27">
            <v>0</v>
          </cell>
          <cell r="C27">
            <v>0</v>
          </cell>
          <cell r="E27">
            <v>4284</v>
          </cell>
          <cell r="F27">
            <v>0</v>
          </cell>
        </row>
        <row r="28">
          <cell r="A28" t="str">
            <v>San Andrés</v>
          </cell>
          <cell r="B28">
            <v>16062.64</v>
          </cell>
          <cell r="C28">
            <v>0</v>
          </cell>
          <cell r="E28">
            <v>3147.48</v>
          </cell>
          <cell r="F28">
            <v>0</v>
          </cell>
        </row>
        <row r="29">
          <cell r="A29" t="str">
            <v>Córdoba</v>
          </cell>
          <cell r="B29">
            <v>205778.66000000003</v>
          </cell>
          <cell r="C29">
            <v>904.92</v>
          </cell>
          <cell r="E29">
            <v>2024.64</v>
          </cell>
          <cell r="F29">
            <v>181.44</v>
          </cell>
        </row>
        <row r="30">
          <cell r="A30" t="str">
            <v>Vaupés</v>
          </cell>
          <cell r="B30">
            <v>0</v>
          </cell>
          <cell r="C30">
            <v>0</v>
          </cell>
          <cell r="E30">
            <v>1416.3</v>
          </cell>
          <cell r="F30">
            <v>0</v>
          </cell>
        </row>
        <row r="31">
          <cell r="A31" t="str">
            <v>Caquetá</v>
          </cell>
          <cell r="B31">
            <v>11136.04</v>
          </cell>
          <cell r="C31">
            <v>0</v>
          </cell>
          <cell r="E31">
            <v>0</v>
          </cell>
          <cell r="F31">
            <v>0</v>
          </cell>
        </row>
        <row r="32">
          <cell r="A32" t="str">
            <v>Vichada</v>
          </cell>
          <cell r="B32">
            <v>528</v>
          </cell>
          <cell r="C32">
            <v>0</v>
          </cell>
          <cell r="E32">
            <v>0</v>
          </cell>
          <cell r="F32">
            <v>0</v>
          </cell>
        </row>
      </sheetData>
    </sheetDataSet>
  </externalBook>
</externalLink>
</file>

<file path=xl/externalLinks/externalLink38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Bolívar</v>
          </cell>
          <cell r="B2">
            <v>757865386.16999769</v>
          </cell>
          <cell r="C2">
            <v>111009252.42000012</v>
          </cell>
          <cell r="E2">
            <v>751013766.85999727</v>
          </cell>
          <cell r="F2">
            <v>82991975.289999962</v>
          </cell>
        </row>
        <row r="3">
          <cell r="A3" t="str">
            <v>Antioquia</v>
          </cell>
          <cell r="B3">
            <v>405837216.09000063</v>
          </cell>
          <cell r="C3">
            <v>70317439.600000113</v>
          </cell>
          <cell r="E3">
            <v>707511429.54000008</v>
          </cell>
          <cell r="F3">
            <v>55690940.38000007</v>
          </cell>
        </row>
        <row r="4">
          <cell r="A4" t="str">
            <v>Córdoba</v>
          </cell>
          <cell r="B4">
            <v>606652067.24000013</v>
          </cell>
          <cell r="C4">
            <v>77886606.700000003</v>
          </cell>
          <cell r="E4">
            <v>475075204.21999997</v>
          </cell>
          <cell r="F4">
            <v>60930920.230000004</v>
          </cell>
        </row>
        <row r="5">
          <cell r="A5" t="str">
            <v>Bogotá</v>
          </cell>
          <cell r="B5">
            <v>491989044.79999888</v>
          </cell>
          <cell r="C5">
            <v>61538640.380000062</v>
          </cell>
          <cell r="E5">
            <v>432570434.26999849</v>
          </cell>
          <cell r="F5">
            <v>49251789.099999987</v>
          </cell>
        </row>
        <row r="6">
          <cell r="A6" t="str">
            <v>Cundinamarca</v>
          </cell>
          <cell r="B6">
            <v>307074229.5200001</v>
          </cell>
          <cell r="C6">
            <v>40698736.100000262</v>
          </cell>
          <cell r="E6">
            <v>313061463.90000135</v>
          </cell>
          <cell r="F6">
            <v>37354149.249999978</v>
          </cell>
        </row>
        <row r="7">
          <cell r="A7" t="str">
            <v>Valle del Cauca</v>
          </cell>
          <cell r="B7">
            <v>253877886.07999957</v>
          </cell>
          <cell r="C7">
            <v>34148749.840000033</v>
          </cell>
          <cell r="E7">
            <v>271568452.05999696</v>
          </cell>
          <cell r="F7">
            <v>32121089.000000011</v>
          </cell>
        </row>
        <row r="8">
          <cell r="A8" t="str">
            <v>Atlántico</v>
          </cell>
          <cell r="B8">
            <v>193486230.57999972</v>
          </cell>
          <cell r="C8">
            <v>34947415.290000021</v>
          </cell>
          <cell r="E8">
            <v>238049242.03000036</v>
          </cell>
          <cell r="F8">
            <v>42231759.940000027</v>
          </cell>
        </row>
        <row r="9">
          <cell r="A9" t="str">
            <v>Sin definir</v>
          </cell>
          <cell r="B9">
            <v>0</v>
          </cell>
          <cell r="C9">
            <v>0</v>
          </cell>
          <cell r="E9">
            <v>89176768</v>
          </cell>
          <cell r="F9">
            <v>0</v>
          </cell>
        </row>
        <row r="10">
          <cell r="A10" t="str">
            <v>Caldas</v>
          </cell>
          <cell r="B10">
            <v>64746894.439999908</v>
          </cell>
          <cell r="C10">
            <v>5782476.4000000004</v>
          </cell>
          <cell r="E10">
            <v>63358739.820000097</v>
          </cell>
          <cell r="F10">
            <v>11833998.689999998</v>
          </cell>
        </row>
        <row r="11">
          <cell r="A11" t="str">
            <v>Santander</v>
          </cell>
          <cell r="B11">
            <v>22985681.139999997</v>
          </cell>
          <cell r="C11">
            <v>3045577.9099999997</v>
          </cell>
          <cell r="E11">
            <v>19508647.320000004</v>
          </cell>
          <cell r="F11">
            <v>2126383.7299999995</v>
          </cell>
        </row>
        <row r="12">
          <cell r="A12" t="str">
            <v>Cauca</v>
          </cell>
          <cell r="B12">
            <v>24124586.419999961</v>
          </cell>
          <cell r="C12">
            <v>2461139.4099999997</v>
          </cell>
          <cell r="E12">
            <v>15352886.309999974</v>
          </cell>
          <cell r="F12">
            <v>2203246.79</v>
          </cell>
        </row>
        <row r="13">
          <cell r="A13" t="str">
            <v>Risaralda</v>
          </cell>
          <cell r="B13">
            <v>9291265.4500000086</v>
          </cell>
          <cell r="C13">
            <v>642496.14</v>
          </cell>
          <cell r="E13">
            <v>13830042.689999992</v>
          </cell>
          <cell r="F13">
            <v>2600307.4499999997</v>
          </cell>
        </row>
        <row r="14">
          <cell r="A14" t="str">
            <v>Magdalena</v>
          </cell>
          <cell r="B14">
            <v>3252380.5899999994</v>
          </cell>
          <cell r="C14">
            <v>202557.64</v>
          </cell>
          <cell r="E14">
            <v>6054206.0700000003</v>
          </cell>
          <cell r="F14">
            <v>489014</v>
          </cell>
        </row>
        <row r="15">
          <cell r="A15" t="str">
            <v>Guajira</v>
          </cell>
          <cell r="B15">
            <v>296633.23999999993</v>
          </cell>
          <cell r="C15">
            <v>0</v>
          </cell>
          <cell r="E15">
            <v>4764804.1999999993</v>
          </cell>
          <cell r="F15">
            <v>0</v>
          </cell>
        </row>
        <row r="16">
          <cell r="A16" t="str">
            <v>Norte de Santander</v>
          </cell>
          <cell r="B16">
            <v>4191859.15</v>
          </cell>
          <cell r="C16">
            <v>625120.82000000018</v>
          </cell>
          <cell r="E16">
            <v>3496716.6399999992</v>
          </cell>
          <cell r="F16">
            <v>568978.91000000015</v>
          </cell>
        </row>
        <row r="17">
          <cell r="A17" t="str">
            <v>Tolima</v>
          </cell>
          <cell r="B17">
            <v>1295700.01</v>
          </cell>
          <cell r="C17">
            <v>112873.5</v>
          </cell>
          <cell r="E17">
            <v>2014523.3599999999</v>
          </cell>
          <cell r="F17">
            <v>216604</v>
          </cell>
        </row>
        <row r="18">
          <cell r="A18" t="str">
            <v>Nariño</v>
          </cell>
          <cell r="B18">
            <v>1234175.0599999996</v>
          </cell>
          <cell r="C18">
            <v>307313.3</v>
          </cell>
          <cell r="E18">
            <v>1541364.5200000009</v>
          </cell>
          <cell r="F18">
            <v>345330.67</v>
          </cell>
        </row>
        <row r="19">
          <cell r="A19" t="str">
            <v>Huila</v>
          </cell>
          <cell r="B19">
            <v>91049.12</v>
          </cell>
          <cell r="C19">
            <v>35662.520000000004</v>
          </cell>
          <cell r="E19">
            <v>1348572.65</v>
          </cell>
          <cell r="F19">
            <v>253827.32</v>
          </cell>
        </row>
        <row r="20">
          <cell r="A20" t="str">
            <v>Meta</v>
          </cell>
          <cell r="B20">
            <v>186729.38</v>
          </cell>
          <cell r="C20">
            <v>21250</v>
          </cell>
          <cell r="E20">
            <v>958760.60000000009</v>
          </cell>
          <cell r="F20">
            <v>162930</v>
          </cell>
        </row>
        <row r="21">
          <cell r="A21" t="str">
            <v>Cesar</v>
          </cell>
          <cell r="B21">
            <v>2866567.3200000003</v>
          </cell>
          <cell r="C21">
            <v>2562688</v>
          </cell>
          <cell r="E21">
            <v>751711.84000000008</v>
          </cell>
          <cell r="F21">
            <v>302101.84000000003</v>
          </cell>
        </row>
        <row r="22">
          <cell r="A22" t="str">
            <v>Casanare</v>
          </cell>
          <cell r="B22">
            <v>57650</v>
          </cell>
          <cell r="C22">
            <v>0</v>
          </cell>
          <cell r="E22">
            <v>177539.58000000002</v>
          </cell>
          <cell r="F22">
            <v>2270.0100000000002</v>
          </cell>
        </row>
        <row r="23">
          <cell r="A23" t="str">
            <v>Vaupés</v>
          </cell>
          <cell r="B23">
            <v>0</v>
          </cell>
          <cell r="C23">
            <v>0</v>
          </cell>
          <cell r="E23">
            <v>150085.54</v>
          </cell>
          <cell r="F23">
            <v>113156.54000000001</v>
          </cell>
        </row>
        <row r="24">
          <cell r="A24" t="str">
            <v>Quindío</v>
          </cell>
          <cell r="B24">
            <v>43854.64</v>
          </cell>
          <cell r="C24">
            <v>32714.240000000002</v>
          </cell>
          <cell r="E24">
            <v>144230.27000000002</v>
          </cell>
          <cell r="F24">
            <v>113284.33</v>
          </cell>
        </row>
        <row r="25">
          <cell r="A25" t="str">
            <v>Boyacá</v>
          </cell>
          <cell r="B25">
            <v>2621067.2000000002</v>
          </cell>
          <cell r="C25">
            <v>2564667</v>
          </cell>
          <cell r="E25">
            <v>130818</v>
          </cell>
          <cell r="F25">
            <v>13707.75</v>
          </cell>
        </row>
        <row r="26">
          <cell r="A26" t="str">
            <v>Sucre</v>
          </cell>
          <cell r="B26">
            <v>233855.02999999997</v>
          </cell>
          <cell r="C26">
            <v>14400</v>
          </cell>
          <cell r="E26">
            <v>98028.139999999985</v>
          </cell>
          <cell r="F26">
            <v>9651.2000000000007</v>
          </cell>
        </row>
        <row r="27">
          <cell r="A27" t="str">
            <v>Guainía</v>
          </cell>
          <cell r="B27">
            <v>0</v>
          </cell>
          <cell r="C27">
            <v>0</v>
          </cell>
          <cell r="E27">
            <v>26908.5</v>
          </cell>
          <cell r="F27">
            <v>5716</v>
          </cell>
        </row>
        <row r="28">
          <cell r="A28" t="str">
            <v>Aráuca</v>
          </cell>
          <cell r="B28">
            <v>169270.32</v>
          </cell>
          <cell r="C28">
            <v>92770.51999999999</v>
          </cell>
          <cell r="E28">
            <v>16208.1</v>
          </cell>
          <cell r="F28">
            <v>0</v>
          </cell>
        </row>
        <row r="29">
          <cell r="A29" t="str">
            <v>Amazonas</v>
          </cell>
          <cell r="B29">
            <v>0</v>
          </cell>
          <cell r="C29">
            <v>0</v>
          </cell>
          <cell r="E29">
            <v>10256.11</v>
          </cell>
          <cell r="F29">
            <v>0</v>
          </cell>
        </row>
        <row r="30">
          <cell r="A30" t="str">
            <v>San Andrés</v>
          </cell>
          <cell r="B30">
            <v>13505.099999999999</v>
          </cell>
          <cell r="C30">
            <v>38.299999999999997</v>
          </cell>
          <cell r="E30">
            <v>5003.24</v>
          </cell>
          <cell r="F30">
            <v>0</v>
          </cell>
        </row>
        <row r="31">
          <cell r="A31" t="str">
            <v>Chocó</v>
          </cell>
          <cell r="B31">
            <v>135014.29999999999</v>
          </cell>
          <cell r="C31">
            <v>0</v>
          </cell>
          <cell r="E31">
            <v>0</v>
          </cell>
          <cell r="F31">
            <v>0</v>
          </cell>
        </row>
      </sheetData>
    </sheetDataSet>
  </externalBook>
</externalLink>
</file>

<file path=xl/externalLinks/externalLink39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Bogotá</v>
          </cell>
          <cell r="B2">
            <v>219192956.12000117</v>
          </cell>
          <cell r="C2">
            <v>29476665.809999999</v>
          </cell>
          <cell r="E2">
            <v>271074864.9800005</v>
          </cell>
          <cell r="F2">
            <v>32101884.780000005</v>
          </cell>
        </row>
        <row r="3">
          <cell r="A3" t="str">
            <v>Valle del Cauca</v>
          </cell>
          <cell r="B3">
            <v>121728381.73</v>
          </cell>
          <cell r="C3">
            <v>14414542.540000014</v>
          </cell>
          <cell r="E3">
            <v>124185924.16999994</v>
          </cell>
          <cell r="F3">
            <v>12206503.669999994</v>
          </cell>
        </row>
        <row r="4">
          <cell r="A4" t="str">
            <v>Cundinamarca</v>
          </cell>
          <cell r="B4">
            <v>5157307.4899999993</v>
          </cell>
          <cell r="C4">
            <v>732150.42999999993</v>
          </cell>
          <cell r="E4">
            <v>47573378.530000083</v>
          </cell>
          <cell r="F4">
            <v>5241013.7000000011</v>
          </cell>
        </row>
        <row r="5">
          <cell r="A5" t="str">
            <v>Atlántico</v>
          </cell>
          <cell r="B5">
            <v>65497379.96000009</v>
          </cell>
          <cell r="C5">
            <v>9534578.2499999963</v>
          </cell>
          <cell r="E5">
            <v>42418181.840000033</v>
          </cell>
          <cell r="F5">
            <v>4024032.060000001</v>
          </cell>
        </row>
        <row r="6">
          <cell r="A6" t="str">
            <v>Cauca</v>
          </cell>
          <cell r="B6">
            <v>32754362.320000127</v>
          </cell>
          <cell r="C6">
            <v>5071723.6899999958</v>
          </cell>
          <cell r="E6">
            <v>28918088.280000091</v>
          </cell>
          <cell r="F6">
            <v>1652491.63</v>
          </cell>
        </row>
        <row r="7">
          <cell r="A7" t="str">
            <v>Antioquia</v>
          </cell>
          <cell r="B7">
            <v>26408061.04000001</v>
          </cell>
          <cell r="C7">
            <v>3032956.9</v>
          </cell>
          <cell r="E7">
            <v>25930518.539999988</v>
          </cell>
          <cell r="F7">
            <v>3925534.6</v>
          </cell>
        </row>
        <row r="8">
          <cell r="A8" t="str">
            <v>Risaralda</v>
          </cell>
          <cell r="B8">
            <v>26808107.250000007</v>
          </cell>
          <cell r="C8">
            <v>3477582.8400000003</v>
          </cell>
          <cell r="E8">
            <v>24964359.309999999</v>
          </cell>
          <cell r="F8">
            <v>5822848.0099999998</v>
          </cell>
        </row>
        <row r="9">
          <cell r="A9" t="str">
            <v>Sin definir</v>
          </cell>
          <cell r="B9">
            <v>0</v>
          </cell>
          <cell r="C9">
            <v>0</v>
          </cell>
          <cell r="E9">
            <v>10445085</v>
          </cell>
          <cell r="F9">
            <v>0</v>
          </cell>
        </row>
        <row r="10">
          <cell r="A10" t="str">
            <v>Bolívar</v>
          </cell>
          <cell r="B10">
            <v>2396802.1899999995</v>
          </cell>
          <cell r="C10">
            <v>173737.56</v>
          </cell>
          <cell r="E10">
            <v>2797711.4100000011</v>
          </cell>
          <cell r="F10">
            <v>558737.22</v>
          </cell>
        </row>
        <row r="11">
          <cell r="A11" t="str">
            <v>Caldas</v>
          </cell>
          <cell r="B11">
            <v>1373939.24</v>
          </cell>
          <cell r="C11">
            <v>3689.34</v>
          </cell>
          <cell r="E11">
            <v>1102421.8600000003</v>
          </cell>
          <cell r="F11">
            <v>211391.32999999996</v>
          </cell>
        </row>
        <row r="12">
          <cell r="A12" t="str">
            <v>Magdalena</v>
          </cell>
          <cell r="B12">
            <v>557692.76000000013</v>
          </cell>
          <cell r="C12">
            <v>21520.239999999998</v>
          </cell>
          <cell r="E12">
            <v>854980.00000000035</v>
          </cell>
          <cell r="F12">
            <v>0</v>
          </cell>
        </row>
        <row r="13">
          <cell r="A13" t="str">
            <v>Norte de Santander</v>
          </cell>
          <cell r="B13">
            <v>746098.15</v>
          </cell>
          <cell r="C13">
            <v>554246.66</v>
          </cell>
          <cell r="E13">
            <v>409080.51</v>
          </cell>
          <cell r="F13">
            <v>164634.23999999999</v>
          </cell>
        </row>
        <row r="14">
          <cell r="A14" t="str">
            <v>Santander</v>
          </cell>
          <cell r="B14">
            <v>100057.53</v>
          </cell>
          <cell r="C14">
            <v>10110.9</v>
          </cell>
          <cell r="E14">
            <v>326869.40000000002</v>
          </cell>
          <cell r="F14">
            <v>4720</v>
          </cell>
        </row>
        <row r="15">
          <cell r="A15" t="str">
            <v>Meta</v>
          </cell>
          <cell r="B15">
            <v>139491</v>
          </cell>
          <cell r="C15">
            <v>6144</v>
          </cell>
          <cell r="E15">
            <v>285764.77</v>
          </cell>
          <cell r="F15">
            <v>20311.2</v>
          </cell>
        </row>
        <row r="16">
          <cell r="A16" t="str">
            <v>Nariño</v>
          </cell>
          <cell r="B16">
            <v>133642.70000000001</v>
          </cell>
          <cell r="C16">
            <v>46259.19</v>
          </cell>
          <cell r="E16">
            <v>261835.40000000005</v>
          </cell>
          <cell r="F16">
            <v>21678.01</v>
          </cell>
        </row>
        <row r="17">
          <cell r="A17" t="str">
            <v>Huila</v>
          </cell>
          <cell r="B17">
            <v>0</v>
          </cell>
          <cell r="C17">
            <v>0</v>
          </cell>
          <cell r="E17">
            <v>160811.57</v>
          </cell>
          <cell r="F17">
            <v>0</v>
          </cell>
        </row>
        <row r="18">
          <cell r="A18" t="str">
            <v>Quindío</v>
          </cell>
          <cell r="B18">
            <v>0</v>
          </cell>
          <cell r="C18">
            <v>0</v>
          </cell>
          <cell r="E18">
            <v>95566</v>
          </cell>
          <cell r="F18">
            <v>26031</v>
          </cell>
        </row>
        <row r="19">
          <cell r="A19" t="str">
            <v>Boyacá</v>
          </cell>
          <cell r="B19">
            <v>65408.49</v>
          </cell>
          <cell r="C19">
            <v>62919.49</v>
          </cell>
          <cell r="E19">
            <v>17231.88</v>
          </cell>
          <cell r="F19">
            <v>266</v>
          </cell>
        </row>
        <row r="20">
          <cell r="A20" t="str">
            <v>Amazonas</v>
          </cell>
          <cell r="B20">
            <v>0</v>
          </cell>
          <cell r="C20">
            <v>0</v>
          </cell>
          <cell r="E20">
            <v>11179.61</v>
          </cell>
          <cell r="F20">
            <v>0</v>
          </cell>
        </row>
        <row r="21">
          <cell r="A21" t="str">
            <v>San Andrés</v>
          </cell>
          <cell r="B21">
            <v>18790.559999999998</v>
          </cell>
          <cell r="C21">
            <v>0</v>
          </cell>
          <cell r="E21">
            <v>75</v>
          </cell>
          <cell r="F21">
            <v>0</v>
          </cell>
        </row>
        <row r="22">
          <cell r="A22" t="str">
            <v>Aráuca</v>
          </cell>
          <cell r="B22">
            <v>2770</v>
          </cell>
          <cell r="C22">
            <v>0</v>
          </cell>
          <cell r="E22">
            <v>0</v>
          </cell>
          <cell r="F22">
            <v>0</v>
          </cell>
        </row>
        <row r="23">
          <cell r="A23" t="str">
            <v>Guajira</v>
          </cell>
          <cell r="B23">
            <v>40477</v>
          </cell>
          <cell r="C23">
            <v>0</v>
          </cell>
          <cell r="E23">
            <v>0</v>
          </cell>
          <cell r="F23">
            <v>0</v>
          </cell>
        </row>
        <row r="24">
          <cell r="A24" t="str">
            <v>Tolima</v>
          </cell>
          <cell r="B24">
            <v>2605.91</v>
          </cell>
          <cell r="C24">
            <v>0</v>
          </cell>
          <cell r="E24">
            <v>0</v>
          </cell>
          <cell r="F24">
            <v>0</v>
          </cell>
        </row>
        <row r="25">
          <cell r="A25" t="str">
            <v>Vaupés</v>
          </cell>
          <cell r="B25">
            <v>4413.57</v>
          </cell>
          <cell r="C25">
            <v>0</v>
          </cell>
          <cell r="E25">
            <v>0</v>
          </cell>
          <cell r="F2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O35" sqref="O35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61" t="s">
        <v>0</v>
      </c>
      <c r="C10" s="161"/>
      <c r="D10" s="161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2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134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131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133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63"/>
      <c r="D7" s="163"/>
      <c r="E7" s="163"/>
      <c r="F7" s="163"/>
      <c r="G7" s="163"/>
      <c r="H7" s="163"/>
      <c r="I7" s="163"/>
      <c r="J7" s="106"/>
      <c r="K7" s="146"/>
      <c r="L7" s="146"/>
      <c r="M7" s="146"/>
    </row>
    <row r="8" spans="1:13">
      <c r="A8" s="104"/>
      <c r="B8" s="163" t="s">
        <v>29</v>
      </c>
      <c r="C8" s="163"/>
      <c r="D8" s="163"/>
      <c r="E8" s="163"/>
      <c r="F8" s="163"/>
      <c r="G8" s="163"/>
      <c r="H8" s="163"/>
      <c r="I8" s="119"/>
      <c r="J8" s="106"/>
      <c r="K8" s="146"/>
      <c r="L8" s="146"/>
      <c r="M8" s="146"/>
    </row>
    <row r="9" spans="1:13" ht="15.75" customHeight="1">
      <c r="A9" s="104"/>
      <c r="B9" s="163" t="s">
        <v>30</v>
      </c>
      <c r="C9" s="163"/>
      <c r="D9" s="163"/>
      <c r="E9" s="163"/>
      <c r="F9" s="163"/>
      <c r="G9" s="163"/>
      <c r="H9" s="163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138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139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140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>
      <c r="A34" s="104"/>
      <c r="B34" s="151" t="s">
        <v>141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>
      <c r="A35" s="107"/>
      <c r="B35" s="152" t="s">
        <v>142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8"/>
  <sheetViews>
    <sheetView zoomScaleNormal="100" zoomScaleSheetLayoutView="100" workbookViewId="0">
      <pane ySplit="11" topLeftCell="A19" activePane="bottomLeft" state="frozen"/>
      <selection sqref="A1:XFD1048576"/>
      <selection pane="bottomLeft" activeCell="H20" sqref="H20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59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5" t="s">
        <v>136</v>
      </c>
      <c r="D10" s="165"/>
      <c r="E10" s="164" t="s">
        <v>126</v>
      </c>
      <c r="F10" s="164" t="s">
        <v>127</v>
      </c>
      <c r="G10" s="165" t="s">
        <v>137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9">
        <v>2012</v>
      </c>
      <c r="D11" s="139">
        <v>2013</v>
      </c>
      <c r="E11" s="164"/>
      <c r="F11" s="164"/>
      <c r="G11" s="139">
        <f>+C11</f>
        <v>2012</v>
      </c>
      <c r="H11" s="139">
        <f>+D11</f>
        <v>2013</v>
      </c>
      <c r="I11" s="164"/>
      <c r="J11" s="164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f>+C14+C15</f>
        <v>2237.6361567400195</v>
      </c>
      <c r="D13" s="24">
        <f>+D14+D15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+G14+G15</f>
        <v>271.30448030000099</v>
      </c>
      <c r="H13" s="24">
        <f t="shared" ref="H13" si="0">+H14+H15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06"/>
    </row>
    <row r="14" spans="1:14">
      <c r="A14" s="104"/>
      <c r="B14" s="128" t="s">
        <v>22</v>
      </c>
      <c r="C14" s="21">
        <f>+[6]Tipo_exportacion!$C$2/1000000</f>
        <v>186.48824778999963</v>
      </c>
      <c r="D14" s="24">
        <f>+[6]Tipo_exportacion!$C$4/1000000</f>
        <v>161.96889111999994</v>
      </c>
      <c r="E14" s="21">
        <f t="shared" ref="E14:E21" si="1">IF(OR(OR(D14=0,C14=0),D14=""),"",(D14/C14-1)*100)</f>
        <v>-13.147936645107205</v>
      </c>
      <c r="F14" s="21">
        <f t="shared" ref="F14:F15" si="2">(D14/D$13)*100</f>
        <v>7.4532744903326398</v>
      </c>
      <c r="G14" s="21">
        <f>+[6]Tipo_exportacion!$D$2/1000000</f>
        <v>15.89721189999999</v>
      </c>
      <c r="H14" s="24">
        <f>+[6]Tipo_exportacion!$D$4/1000000</f>
        <v>21.486942090000014</v>
      </c>
      <c r="I14" s="21">
        <f t="shared" ref="I14:I20" si="3">IF(OR(OR(H14=0,G14=0),H14=""),"",(H14/G14-1)*100)</f>
        <v>35.16170146791606</v>
      </c>
      <c r="J14" s="21">
        <f>(H14/H$13)*100</f>
        <v>8.7459108624620896</v>
      </c>
      <c r="K14" s="106"/>
    </row>
    <row r="15" spans="1:14">
      <c r="A15" s="104"/>
      <c r="B15" s="128" t="s">
        <v>23</v>
      </c>
      <c r="C15" s="21">
        <f>+[6]Tipo_exportacion!$C$3/1000000</f>
        <v>2051.1479089500199</v>
      </c>
      <c r="D15" s="24">
        <f>+[6]Tipo_exportacion!$C$5/1000000</f>
        <v>2011.1550335400091</v>
      </c>
      <c r="E15" s="21">
        <f t="shared" si="1"/>
        <v>-1.949780180917482</v>
      </c>
      <c r="F15" s="21">
        <f t="shared" si="2"/>
        <v>92.546725509667354</v>
      </c>
      <c r="G15" s="21">
        <f>+[6]Tipo_exportacion!$D$3/1000000</f>
        <v>255.40726840000099</v>
      </c>
      <c r="H15" s="24">
        <f>+[6]Tipo_exportacion!$D$5/1000000</f>
        <v>224.19292393999922</v>
      </c>
      <c r="I15" s="21">
        <f t="shared" si="3"/>
        <v>-12.221400219165279</v>
      </c>
      <c r="J15" s="21">
        <f t="shared" ref="J15" si="4">(H15/H$13)*100</f>
        <v>91.254089137537903</v>
      </c>
      <c r="K15" s="106"/>
    </row>
    <row r="16" spans="1:14">
      <c r="A16" s="104" t="s">
        <v>66</v>
      </c>
      <c r="B16" s="85" t="str">
        <f>CONCATENATE(A16,[7]XX!E2)</f>
        <v xml:space="preserve">   Agricultura</v>
      </c>
      <c r="C16" s="21">
        <f>+[7]XX!C2/1000000</f>
        <v>488.5051983900002</v>
      </c>
      <c r="D16" s="24">
        <f>+[7]XX!G2/1000000</f>
        <v>500.94147612999916</v>
      </c>
      <c r="E16" s="21">
        <f t="shared" si="1"/>
        <v>2.5457820676189513</v>
      </c>
      <c r="F16" s="21">
        <f>(D16/D$15)*100</f>
        <v>24.908148192247936</v>
      </c>
      <c r="G16" s="21">
        <f>+[7]XX!D2/1000000</f>
        <v>44.838158179999965</v>
      </c>
      <c r="H16" s="24">
        <f>+[7]XX!H2/1000000</f>
        <v>46.01909321000003</v>
      </c>
      <c r="I16" s="21">
        <f t="shared" si="3"/>
        <v>2.6337723892655873</v>
      </c>
      <c r="J16" s="21">
        <f>(H16/H$15)*100</f>
        <v>20.526559180037335</v>
      </c>
      <c r="K16" s="106"/>
    </row>
    <row r="17" spans="1:13">
      <c r="A17" s="104" t="s">
        <v>66</v>
      </c>
      <c r="B17" s="85" t="str">
        <f>CONCATENATE(A17,[7]XX!E3)</f>
        <v xml:space="preserve">   Productos quimicos</v>
      </c>
      <c r="C17" s="21">
        <f>+[7]XX!C3/1000000</f>
        <v>359.67484552999997</v>
      </c>
      <c r="D17" s="24">
        <f>+[7]XX!G3/1000000</f>
        <v>343.45810191000032</v>
      </c>
      <c r="E17" s="21">
        <f t="shared" si="1"/>
        <v>-4.5087233153887745</v>
      </c>
      <c r="F17" s="21">
        <f t="shared" ref="F17:F21" si="5">(D17/D$15)*100</f>
        <v>17.077654192847071</v>
      </c>
      <c r="G17" s="21">
        <f>+[7]XX!D3/1000000</f>
        <v>48.358125690000108</v>
      </c>
      <c r="H17" s="24">
        <f>+[7]XX!H3/1000000</f>
        <v>44.627687389999942</v>
      </c>
      <c r="I17" s="21">
        <f t="shared" si="3"/>
        <v>-7.7141912486727637</v>
      </c>
      <c r="J17" s="21">
        <f>(H17/H$15)*100</f>
        <v>19.905930394994829</v>
      </c>
      <c r="K17" s="106"/>
    </row>
    <row r="18" spans="1:13" ht="15.75" customHeight="1">
      <c r="A18" s="104" t="s">
        <v>66</v>
      </c>
      <c r="B18" s="85" t="str">
        <f>CONCATENATE(A18,[7]XX!E4)</f>
        <v xml:space="preserve">   Alimentos y bebidas</v>
      </c>
      <c r="C18" s="21">
        <f>+[7]XX!C4/1000000</f>
        <v>203.9086676299998</v>
      </c>
      <c r="D18" s="24">
        <f>+[7]XX!G4/1000000</f>
        <v>241.29765062999954</v>
      </c>
      <c r="E18" s="21">
        <f t="shared" si="1"/>
        <v>18.336142075060536</v>
      </c>
      <c r="F18" s="21">
        <f t="shared" si="5"/>
        <v>11.997963687825226</v>
      </c>
      <c r="G18" s="21">
        <f>+[7]XX!D4/1000000</f>
        <v>25.482383819999999</v>
      </c>
      <c r="H18" s="24">
        <f>+[7]XX!H4/1000000</f>
        <v>34.974826109999967</v>
      </c>
      <c r="I18" s="21">
        <f t="shared" si="3"/>
        <v>37.25099801122127</v>
      </c>
      <c r="J18" s="21">
        <f>(H18/H$15)*100</f>
        <v>15.600325601427226</v>
      </c>
      <c r="K18" s="106"/>
    </row>
    <row r="19" spans="1:13">
      <c r="A19" s="104" t="s">
        <v>66</v>
      </c>
      <c r="B19" s="85" t="str">
        <f>CONCATENATE(A19,[7]XX!E5)</f>
        <v xml:space="preserve">   Caucho y de plastico</v>
      </c>
      <c r="C19" s="21">
        <f>+[7]XX!C5/1000000</f>
        <v>165.08390200000045</v>
      </c>
      <c r="D19" s="24">
        <f>+[7]XX!G5/1000000</f>
        <v>162.38605489999992</v>
      </c>
      <c r="E19" s="21">
        <f t="shared" si="1"/>
        <v>-1.634227848576375</v>
      </c>
      <c r="F19" s="21">
        <f t="shared" si="5"/>
        <v>8.0742683777177575</v>
      </c>
      <c r="G19" s="21">
        <f>+[7]XX!D5/1000000</f>
        <v>21.659321889999994</v>
      </c>
      <c r="H19" s="24">
        <f>+[7]XX!H5/1000000</f>
        <v>18.559161990000028</v>
      </c>
      <c r="I19" s="21">
        <f t="shared" si="3"/>
        <v>-14.313282362876256</v>
      </c>
      <c r="J19" s="21">
        <f>(H19/H$15)*100</f>
        <v>8.2782104197753448</v>
      </c>
      <c r="K19" s="106"/>
    </row>
    <row r="20" spans="1:13">
      <c r="A20" s="104" t="s">
        <v>66</v>
      </c>
      <c r="B20" s="85" t="str">
        <f>CONCATENATE(A20,[7]XX!E6)</f>
        <v xml:space="preserve">   Textiles</v>
      </c>
      <c r="C20" s="21">
        <f>+[7]XX!C6/1000000</f>
        <v>153.5573270900002</v>
      </c>
      <c r="D20" s="24">
        <f>+[7]XX!G6/1000000</f>
        <v>139.226668910001</v>
      </c>
      <c r="E20" s="21">
        <f t="shared" si="1"/>
        <v>-9.3324483120235442</v>
      </c>
      <c r="F20" s="21">
        <f t="shared" si="5"/>
        <v>6.9227218482970958</v>
      </c>
      <c r="G20" s="21">
        <f>+[7]XX!D6/1000000</f>
        <v>21.460008819999977</v>
      </c>
      <c r="H20" s="24">
        <f>+[7]XX!H6/1000000</f>
        <v>16.860284499999981</v>
      </c>
      <c r="I20" s="21">
        <f t="shared" si="3"/>
        <v>-21.433934899939157</v>
      </c>
      <c r="J20" s="21">
        <f t="shared" ref="J20:J21" si="6">(H20/H$15)*100</f>
        <v>7.5204356157611381</v>
      </c>
      <c r="K20" s="106"/>
    </row>
    <row r="21" spans="1:13">
      <c r="A21" s="104" t="s">
        <v>66</v>
      </c>
      <c r="B21" s="128" t="s">
        <v>67</v>
      </c>
      <c r="C21" s="21">
        <f>+C15-C16-C17-C18-C19-C20</f>
        <v>680.41796831001932</v>
      </c>
      <c r="D21" s="24">
        <f>+D15-D16-D17-D18-D19-D20</f>
        <v>623.84508106000897</v>
      </c>
      <c r="E21" s="21">
        <f t="shared" si="1"/>
        <v>-8.3144317000508732</v>
      </c>
      <c r="F21" s="21">
        <f t="shared" si="5"/>
        <v>31.019243701064902</v>
      </c>
      <c r="G21" s="21">
        <f t="shared" ref="G21" si="7">+G15-G16-G17-G18-G19-G20</f>
        <v>93.609270000000947</v>
      </c>
      <c r="H21" s="24">
        <f>+H15-H16-H17-H18-H19-H20</f>
        <v>63.151870739999282</v>
      </c>
      <c r="I21" s="21">
        <f t="shared" ref="I21" si="8">IF(OR(OR(H21=0,G21=0),H21=""),"",(H21/G21-1)*100)</f>
        <v>-32.536734086273036</v>
      </c>
      <c r="J21" s="21">
        <f t="shared" si="6"/>
        <v>28.168538788004131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tr">
        <f>IF(F22="","",1)</f>
        <v/>
      </c>
    </row>
    <row r="23" spans="1:13">
      <c r="A23" s="104"/>
      <c r="B23" s="129" t="s">
        <v>24</v>
      </c>
      <c r="C23" s="24">
        <f>+C13</f>
        <v>2237.6361567400195</v>
      </c>
      <c r="D23" s="24">
        <f>+D13</f>
        <v>2173.1239246600089</v>
      </c>
      <c r="E23" s="24">
        <f>IF(OR(OR(D23=0,C23=0),D23=""),"",(D23/C23-1)*100)</f>
        <v>-2.8830528093538477</v>
      </c>
      <c r="F23" s="22">
        <f>(D23/D$23)*100</f>
        <v>100</v>
      </c>
      <c r="G23" s="24">
        <f t="shared" ref="G23:H23" si="9">+G13</f>
        <v>271.30448030000099</v>
      </c>
      <c r="H23" s="24">
        <f t="shared" si="9"/>
        <v>245.67986602999923</v>
      </c>
      <c r="I23" s="24">
        <f>IF(OR(OR(H23=0,G23=0),H23=""),"",(H23/G23-1)*100)</f>
        <v>-9.4449653915286476</v>
      </c>
      <c r="J23" s="22">
        <f>(H23/H$23)*100</f>
        <v>100</v>
      </c>
      <c r="K23" s="106"/>
    </row>
    <row r="24" spans="1:13">
      <c r="A24" s="104"/>
      <c r="B24" s="128" t="s">
        <v>42</v>
      </c>
      <c r="C24" s="21">
        <f>+[6]Tek!D2/1000000</f>
        <v>655.95207863999747</v>
      </c>
      <c r="D24" s="24">
        <f>+[6]Tek!$D$9/1000000</f>
        <v>679.22808282999654</v>
      </c>
      <c r="E24" s="21">
        <f t="shared" ref="E24:E30" si="10">IF(OR(OR(D24=0,C24=0),D24=""),"",(D24/C24-1)*100)</f>
        <v>3.5484305863101806</v>
      </c>
      <c r="F24" s="21">
        <f>(D24/D$23)*100</f>
        <v>31.255837512177941</v>
      </c>
      <c r="G24" s="21">
        <f>+[6]Tek!E2/1000000</f>
        <v>58.422400809999907</v>
      </c>
      <c r="H24" s="24">
        <f>+[6]Tek!$E$9/1000000</f>
        <v>70.101548890000103</v>
      </c>
      <c r="I24" s="21">
        <f t="shared" ref="I24:I30" si="11">IF(OR(OR(H24=0,G24=0),H24=""),"",(H24/G24-1)*100)</f>
        <v>19.990873223411132</v>
      </c>
      <c r="J24" s="21">
        <f>(H24/H$23)*100</f>
        <v>28.533697133097675</v>
      </c>
      <c r="K24" s="106"/>
    </row>
    <row r="25" spans="1:13">
      <c r="A25" s="104"/>
      <c r="B25" s="128" t="s">
        <v>43</v>
      </c>
      <c r="C25" s="21">
        <f>SUM(C26:C29)</f>
        <v>1507.4662419799945</v>
      </c>
      <c r="D25" s="24">
        <f>SUM(D26:D29)</f>
        <v>1430.8850032799985</v>
      </c>
      <c r="E25" s="21">
        <f t="shared" si="10"/>
        <v>-5.0801295954335686</v>
      </c>
      <c r="F25" s="21">
        <f t="shared" ref="F25:F30" si="12">(D25/D$23)*100</f>
        <v>65.844611392968048</v>
      </c>
      <c r="G25" s="21">
        <f t="shared" ref="G25:H25" si="13">SUM(G26:G29)</f>
        <v>202.21350362000021</v>
      </c>
      <c r="H25" s="24">
        <f t="shared" si="13"/>
        <v>169.27808564000014</v>
      </c>
      <c r="I25" s="21">
        <f t="shared" si="11"/>
        <v>-16.2874473714141</v>
      </c>
      <c r="J25" s="21">
        <f>(H25/H$23)*100</f>
        <v>68.901895941008888</v>
      </c>
      <c r="K25" s="106"/>
    </row>
    <row r="26" spans="1:13">
      <c r="A26" s="104"/>
      <c r="B26" s="128" t="s">
        <v>62</v>
      </c>
      <c r="C26" s="21">
        <f>+[6]Tek!D3/1000000</f>
        <v>303.18486883999844</v>
      </c>
      <c r="D26" s="24">
        <f>+[6]Tek!D10/1000000</f>
        <v>286.1818299100014</v>
      </c>
      <c r="E26" s="21">
        <f t="shared" si="10"/>
        <v>-5.6081423176069345</v>
      </c>
      <c r="F26" s="21">
        <f t="shared" si="12"/>
        <v>13.169144504944667</v>
      </c>
      <c r="G26" s="21">
        <f>+[6]Tek!E3/1000000</f>
        <v>45.721718700000068</v>
      </c>
      <c r="H26" s="24">
        <f>+[6]Tek!E10/1000000</f>
        <v>36.834505869999944</v>
      </c>
      <c r="I26" s="21">
        <f t="shared" si="11"/>
        <v>-19.437617575824216</v>
      </c>
      <c r="J26" s="21">
        <f>(H26/H$23)*100</f>
        <v>14.992887478008555</v>
      </c>
      <c r="K26" s="106"/>
    </row>
    <row r="27" spans="1:13">
      <c r="A27" s="104"/>
      <c r="B27" s="128" t="s">
        <v>63</v>
      </c>
      <c r="C27" s="21">
        <f>+[6]Tek!D4/1000000</f>
        <v>493.09937221999814</v>
      </c>
      <c r="D27" s="24">
        <f>+[6]Tek!D11/1000000</f>
        <v>441.05787411999745</v>
      </c>
      <c r="E27" s="21">
        <f t="shared" si="10"/>
        <v>-10.553957484411924</v>
      </c>
      <c r="F27" s="21">
        <f t="shared" si="12"/>
        <v>20.296029559796143</v>
      </c>
      <c r="G27" s="21">
        <f>+[6]Tek!E4/1000000</f>
        <v>65.476478730000025</v>
      </c>
      <c r="H27" s="24">
        <f>+[6]Tek!E11/1000000</f>
        <v>51.089905890000161</v>
      </c>
      <c r="I27" s="21">
        <f t="shared" si="11"/>
        <v>-21.972123606897974</v>
      </c>
      <c r="J27" s="21">
        <f t="shared" ref="J27:J30" si="14">(H27/H$23)*100</f>
        <v>20.79531657012615</v>
      </c>
      <c r="K27" s="106"/>
    </row>
    <row r="28" spans="1:13">
      <c r="A28" s="104"/>
      <c r="B28" s="128" t="s">
        <v>64</v>
      </c>
      <c r="C28" s="21">
        <f>+[6]Tek!D5/1000000</f>
        <v>491.98904479999771</v>
      </c>
      <c r="D28" s="24">
        <f>+[6]Tek!D12/1000000</f>
        <v>432.57043426999837</v>
      </c>
      <c r="E28" s="21">
        <f t="shared" si="10"/>
        <v>-12.077222279238775</v>
      </c>
      <c r="F28" s="21">
        <f t="shared" si="12"/>
        <v>19.905465554049119</v>
      </c>
      <c r="G28" s="21">
        <f>+[6]Tek!E5/1000000</f>
        <v>61.538640380000096</v>
      </c>
      <c r="H28" s="24">
        <f>+[6]Tek!E12/1000000</f>
        <v>49.251789100000046</v>
      </c>
      <c r="I28" s="21">
        <f t="shared" si="11"/>
        <v>-19.966075305091145</v>
      </c>
      <c r="J28" s="21">
        <f t="shared" si="14"/>
        <v>20.047140978978739</v>
      </c>
      <c r="K28" s="106"/>
    </row>
    <row r="29" spans="1:13">
      <c r="A29" s="104"/>
      <c r="B29" s="128" t="s">
        <v>65</v>
      </c>
      <c r="C29" s="21">
        <f>+[6]Tek!D6/1000000</f>
        <v>219.19295612000016</v>
      </c>
      <c r="D29" s="24">
        <f>+[6]Tek!D13/1000000</f>
        <v>271.07486498000145</v>
      </c>
      <c r="E29" s="21">
        <f t="shared" si="10"/>
        <v>23.669514649730729</v>
      </c>
      <c r="F29" s="21">
        <f t="shared" si="12"/>
        <v>12.473971774178127</v>
      </c>
      <c r="G29" s="21">
        <f>+[6]Tek!E6/1000000</f>
        <v>29.476665810000004</v>
      </c>
      <c r="H29" s="24">
        <f>+[6]Tek!E13/1000000</f>
        <v>32.101884779999978</v>
      </c>
      <c r="I29" s="21">
        <f t="shared" si="11"/>
        <v>8.9060919810997277</v>
      </c>
      <c r="J29" s="21">
        <f t="shared" si="14"/>
        <v>13.066550913895448</v>
      </c>
      <c r="K29" s="106"/>
    </row>
    <row r="30" spans="1:13">
      <c r="A30" s="104"/>
      <c r="B30" s="128" t="s">
        <v>97</v>
      </c>
      <c r="C30" s="21">
        <f>+[6]Tek!D7/1000000</f>
        <v>74.217836120000115</v>
      </c>
      <c r="D30" s="24">
        <f>+[6]Tek!D14/1000000</f>
        <v>63.007943549999808</v>
      </c>
      <c r="E30" s="21">
        <f t="shared" si="10"/>
        <v>-15.104041233262899</v>
      </c>
      <c r="F30" s="21">
        <f t="shared" si="12"/>
        <v>2.8994178764958178</v>
      </c>
      <c r="G30" s="21">
        <f>+[6]Tek!E7/1000000</f>
        <v>10.668575869999998</v>
      </c>
      <c r="H30" s="24">
        <f>+[6]Tek!E14/1000000</f>
        <v>6.2973365000000046</v>
      </c>
      <c r="I30" s="21">
        <f t="shared" si="11"/>
        <v>-40.973035419768678</v>
      </c>
      <c r="J30" s="21">
        <f t="shared" si="14"/>
        <v>2.5632285631542375</v>
      </c>
      <c r="K30" s="106"/>
    </row>
    <row r="31" spans="1:13" s="147" customFormat="1">
      <c r="A31" s="104"/>
      <c r="B31" s="128" t="s">
        <v>143</v>
      </c>
      <c r="C31" s="21">
        <f>+[6]Tek!D8/1000000</f>
        <v>2.895E-3</v>
      </c>
      <c r="D31" s="24">
        <f>+[6]Tek!D15/1000000</f>
        <v>0</v>
      </c>
      <c r="E31" s="21" t="str">
        <f t="shared" ref="E31" si="15">IF(OR(OR(D31=0,C31=0),D31=""),"",(D31/C31-1)*100)</f>
        <v/>
      </c>
      <c r="F31" s="21">
        <f t="shared" ref="F31" si="16">(D31/D$23)*100</f>
        <v>0</v>
      </c>
      <c r="G31" s="21">
        <f>+[6]Tek!E8/1000000</f>
        <v>2.895E-3</v>
      </c>
      <c r="H31" s="24">
        <f>+[6]Tek!E15/1000000</f>
        <v>0</v>
      </c>
      <c r="I31" s="21" t="str">
        <f t="shared" ref="I31" si="17">IF(OR(OR(H31=0,G31=0),H31=""),"",(H31/G31-1)*100)</f>
        <v/>
      </c>
      <c r="J31" s="21">
        <f t="shared" ref="J31" si="18">(H31/H$23)*100</f>
        <v>0</v>
      </c>
      <c r="K31" s="106"/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  <c r="M32" s="7" t="str">
        <f>IF(F32="","",1)</f>
        <v/>
      </c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28"/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>
      <c r="A43" s="104"/>
      <c r="B43" s="133" t="s">
        <v>107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 s="98" customFormat="1">
      <c r="A44" s="104"/>
      <c r="B44" s="133" t="s">
        <v>123</v>
      </c>
      <c r="C44" s="125"/>
      <c r="D44" s="125"/>
      <c r="E44" s="125"/>
      <c r="F44" s="126"/>
      <c r="G44" s="126"/>
      <c r="H44" s="126"/>
      <c r="I44" s="127"/>
      <c r="J44" s="127"/>
      <c r="K44" s="106"/>
    </row>
    <row r="45" spans="1:11">
      <c r="A45" s="107"/>
      <c r="B45" s="122" t="s">
        <v>124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 t="s">
        <v>44</v>
      </c>
      <c r="D46" s="82">
        <f>D24</f>
        <v>679.22808282999654</v>
      </c>
      <c r="E46" s="20"/>
      <c r="G46" s="20" t="str">
        <f>+B14</f>
        <v>Tradicionales</v>
      </c>
      <c r="H46" s="82">
        <f>+D14</f>
        <v>161.96889111999994</v>
      </c>
    </row>
    <row r="47" spans="1:11">
      <c r="B47" s="20"/>
      <c r="C47" s="20" t="s">
        <v>45</v>
      </c>
      <c r="D47" s="82">
        <f>D25</f>
        <v>1430.8850032799985</v>
      </c>
      <c r="E47" s="20"/>
      <c r="G47" s="20" t="str">
        <f>+B15</f>
        <v>No tradicionales</v>
      </c>
      <c r="H47" s="82">
        <f>+D15</f>
        <v>2011.1550335400091</v>
      </c>
    </row>
    <row r="48" spans="1:11">
      <c r="C48" s="20" t="s">
        <v>46</v>
      </c>
      <c r="D48" s="82">
        <f>D30</f>
        <v>63.007943549999808</v>
      </c>
      <c r="G48" s="20"/>
      <c r="H48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108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6" t="str">
        <f>+'Resumen exportaciones totales'!$E$10:$E$11</f>
        <v>% Cambio   '13/'12</v>
      </c>
      <c r="F10" s="166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6" t="str">
        <f>+E10</f>
        <v>% Cambio   '13/'12</v>
      </c>
      <c r="J10" s="166" t="str">
        <f>+F10</f>
        <v>% del total '13</v>
      </c>
      <c r="K10" s="106"/>
    </row>
    <row r="11" spans="1:14">
      <c r="A11" s="104"/>
      <c r="B11" s="128"/>
      <c r="C11" s="137">
        <f>+'Resumen exportaciones totales'!$C$11</f>
        <v>2012</v>
      </c>
      <c r="D11" s="137">
        <f>+'Resumen exportaciones totales'!$D$11</f>
        <v>2013</v>
      </c>
      <c r="E11" s="166"/>
      <c r="F11" s="166"/>
      <c r="G11" s="137">
        <f>+C11</f>
        <v>2012</v>
      </c>
      <c r="H11" s="137">
        <f>+D11</f>
        <v>2013</v>
      </c>
      <c r="I11" s="166"/>
      <c r="J11" s="166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06"/>
    </row>
    <row r="14" spans="1:14">
      <c r="A14" s="104"/>
      <c r="B14" s="128" t="str">
        <f>+[8]Principales_paises!B2</f>
        <v>Estados Unidos</v>
      </c>
      <c r="C14" s="21">
        <f>+[8]Principales_paises!D2</f>
        <v>595.80915367999796</v>
      </c>
      <c r="D14" s="24">
        <f>+[8]Principales_paises!F2</f>
        <v>641.94223883000518</v>
      </c>
      <c r="E14" s="21">
        <f t="shared" ref="E14:E44" si="0">IF(OR(OR(D14=0,C14=0),D14=""),"",(D14/C14-1)*100)</f>
        <v>7.7429299071804403</v>
      </c>
      <c r="F14" s="21">
        <f t="shared" ref="F14:F44" si="1">(D14/D$13)*100</f>
        <v>29.540065872241446</v>
      </c>
      <c r="G14" s="21">
        <f>+[8]Principales_paises!E2</f>
        <v>62.743188860000046</v>
      </c>
      <c r="H14" s="24">
        <f>+[8]Principales_paises!G2</f>
        <v>66.676301970000083</v>
      </c>
      <c r="I14" s="21">
        <f t="shared" ref="I14:I44" si="2">IF(OR(OR(H14=0,G14=0),H14=""),"",(H14/G14-1)*100)</f>
        <v>6.268589756851628</v>
      </c>
      <c r="J14" s="21">
        <f>(H14/H$13)*100</f>
        <v>27.13950599511416</v>
      </c>
      <c r="K14" s="106"/>
    </row>
    <row r="15" spans="1:14">
      <c r="A15" s="104"/>
      <c r="B15" s="128" t="str">
        <f>+[8]Principales_paises!B3</f>
        <v>Ecuador</v>
      </c>
      <c r="C15" s="21">
        <f>+[8]Principales_paises!D3</f>
        <v>286.08450398000019</v>
      </c>
      <c r="D15" s="24">
        <f>+[8]Principales_paises!F3</f>
        <v>308.95850393999888</v>
      </c>
      <c r="E15" s="21">
        <f t="shared" si="0"/>
        <v>7.9955396541148582</v>
      </c>
      <c r="F15" s="21">
        <f>(D15/D$13)*100</f>
        <v>14.217251967732869</v>
      </c>
      <c r="G15" s="21">
        <f>+[8]Principales_paises!E3</f>
        <v>37.747173339999989</v>
      </c>
      <c r="H15" s="24">
        <f>+[8]Principales_paises!G3</f>
        <v>34.065628050000036</v>
      </c>
      <c r="I15" s="21">
        <f t="shared" si="2"/>
        <v>-9.7531681560343095</v>
      </c>
      <c r="J15" s="21">
        <f t="shared" ref="J15:J44" si="3">(H15/H$13)*100</f>
        <v>13.865860723743795</v>
      </c>
      <c r="K15" s="106"/>
    </row>
    <row r="16" spans="1:14">
      <c r="A16" s="104" t="s">
        <v>66</v>
      </c>
      <c r="B16" s="128" t="str">
        <f>+[8]Principales_paises!B4</f>
        <v>Venezuela</v>
      </c>
      <c r="C16" s="21">
        <f>+[8]Principales_paises!D4</f>
        <v>296.00589862999902</v>
      </c>
      <c r="D16" s="24">
        <f>+[8]Principales_paises!F4</f>
        <v>187.8648223800009</v>
      </c>
      <c r="E16" s="21">
        <f t="shared" si="0"/>
        <v>-36.533419350933997</v>
      </c>
      <c r="F16" s="21">
        <f t="shared" si="1"/>
        <v>8.6449198892047932</v>
      </c>
      <c r="G16" s="21">
        <f>+[8]Principales_paises!E4</f>
        <v>46.047828680000151</v>
      </c>
      <c r="H16" s="24">
        <f>+[8]Principales_paises!G4</f>
        <v>25.66969035</v>
      </c>
      <c r="I16" s="21">
        <f t="shared" si="2"/>
        <v>-44.254287149159197</v>
      </c>
      <c r="J16" s="21">
        <f t="shared" si="3"/>
        <v>10.448430620222478</v>
      </c>
      <c r="K16" s="106"/>
    </row>
    <row r="17" spans="1:11">
      <c r="A17" s="104" t="s">
        <v>66</v>
      </c>
      <c r="B17" s="128" t="str">
        <f>+[8]Principales_paises!B5</f>
        <v>Perú</v>
      </c>
      <c r="C17" s="21">
        <f>+[8]Principales_paises!D5</f>
        <v>122.34408386000064</v>
      </c>
      <c r="D17" s="24">
        <f>+[8]Principales_paises!F5</f>
        <v>116.47370649000059</v>
      </c>
      <c r="E17" s="21">
        <f t="shared" si="0"/>
        <v>-4.7982519340433072</v>
      </c>
      <c r="F17" s="21">
        <f t="shared" si="1"/>
        <v>5.359736054087354</v>
      </c>
      <c r="G17" s="21">
        <f>+[8]Principales_paises!E5</f>
        <v>12.441538820000014</v>
      </c>
      <c r="H17" s="24">
        <f>+[8]Principales_paises!G5</f>
        <v>14.011422270000013</v>
      </c>
      <c r="I17" s="21">
        <f t="shared" si="2"/>
        <v>12.618081032519711</v>
      </c>
      <c r="J17" s="21">
        <f t="shared" si="3"/>
        <v>5.7031219108077496</v>
      </c>
      <c r="K17" s="106"/>
    </row>
    <row r="18" spans="1:11">
      <c r="A18" s="104" t="s">
        <v>66</v>
      </c>
      <c r="B18" s="128" t="str">
        <f>+[8]Principales_paises!B6</f>
        <v>Panamá</v>
      </c>
      <c r="C18" s="21">
        <f>+[8]Principales_paises!D6</f>
        <v>106.07855451000034</v>
      </c>
      <c r="D18" s="24">
        <f>+[8]Principales_paises!F6</f>
        <v>110.34383043000064</v>
      </c>
      <c r="E18" s="21">
        <f t="shared" si="0"/>
        <v>4.0208654234614283</v>
      </c>
      <c r="F18" s="21">
        <f t="shared" si="1"/>
        <v>5.0776593629957958</v>
      </c>
      <c r="G18" s="21">
        <f>+[8]Principales_paises!E6</f>
        <v>12.200416359999998</v>
      </c>
      <c r="H18" s="24">
        <f>+[8]Principales_paises!G6</f>
        <v>15.193677709999992</v>
      </c>
      <c r="I18" s="21">
        <f t="shared" si="2"/>
        <v>24.534091802093183</v>
      </c>
      <c r="J18" s="21">
        <f t="shared" si="3"/>
        <v>6.1843397896288081</v>
      </c>
      <c r="K18" s="106"/>
    </row>
    <row r="19" spans="1:11">
      <c r="A19" s="104"/>
      <c r="B19" s="128" t="str">
        <f>+[8]Principales_paises!B7</f>
        <v>México</v>
      </c>
      <c r="C19" s="21">
        <f>+[8]Principales_paises!D7</f>
        <v>91.852578950000506</v>
      </c>
      <c r="D19" s="24">
        <f>+[8]Principales_paises!F7</f>
        <v>104.9233637999999</v>
      </c>
      <c r="E19" s="21">
        <f t="shared" si="0"/>
        <v>14.230177311749092</v>
      </c>
      <c r="F19" s="21">
        <f t="shared" si="1"/>
        <v>4.8282273555299176</v>
      </c>
      <c r="G19" s="21">
        <f>+[8]Principales_paises!E7</f>
        <v>11.588105839999995</v>
      </c>
      <c r="H19" s="24">
        <f>+[8]Principales_paises!G7</f>
        <v>12.308471859999997</v>
      </c>
      <c r="I19" s="21">
        <f t="shared" si="2"/>
        <v>6.21642596250227</v>
      </c>
      <c r="J19" s="21">
        <f t="shared" si="3"/>
        <v>5.0099635997428651</v>
      </c>
      <c r="K19" s="106"/>
    </row>
    <row r="20" spans="1:11">
      <c r="A20" s="104" t="s">
        <v>66</v>
      </c>
      <c r="B20" s="128" t="str">
        <f>+[8]Principales_paises!B8</f>
        <v>China</v>
      </c>
      <c r="C20" s="21">
        <f>+[8]Principales_paises!D8</f>
        <v>35.417788810000005</v>
      </c>
      <c r="D20" s="24">
        <f>+[8]Principales_paises!F8</f>
        <v>58.181000539999992</v>
      </c>
      <c r="E20" s="21">
        <f t="shared" si="0"/>
        <v>64.27056147438806</v>
      </c>
      <c r="F20" s="21">
        <f t="shared" si="1"/>
        <v>2.6772978696602663</v>
      </c>
      <c r="G20" s="21">
        <f>+[8]Principales_paises!E8</f>
        <v>7.3422810599999995</v>
      </c>
      <c r="H20" s="24">
        <f>+[8]Principales_paises!G8</f>
        <v>6.9070600600000001</v>
      </c>
      <c r="I20" s="21">
        <f t="shared" si="2"/>
        <v>-5.927599290240182</v>
      </c>
      <c r="J20" s="21">
        <f t="shared" si="3"/>
        <v>2.8114066372685991</v>
      </c>
      <c r="K20" s="106"/>
    </row>
    <row r="21" spans="1:11">
      <c r="A21" s="104" t="s">
        <v>66</v>
      </c>
      <c r="B21" s="128" t="str">
        <f>+[8]Principales_paises!B9</f>
        <v>Chile</v>
      </c>
      <c r="C21" s="21">
        <f>+[8]Principales_paises!D9</f>
        <v>53.340316209999827</v>
      </c>
      <c r="D21" s="24">
        <f>+[8]Principales_paises!F9</f>
        <v>55.309268359999898</v>
      </c>
      <c r="E21" s="21">
        <f t="shared" si="0"/>
        <v>3.6913019830035143</v>
      </c>
      <c r="F21" s="21">
        <f t="shared" si="1"/>
        <v>2.545150220489758</v>
      </c>
      <c r="G21" s="21">
        <f>+[8]Principales_paises!E9</f>
        <v>7.5823678799999996</v>
      </c>
      <c r="H21" s="24">
        <f>+[8]Principales_paises!G9</f>
        <v>7.3585153600000002</v>
      </c>
      <c r="I21" s="21">
        <f t="shared" si="2"/>
        <v>-2.9522772245126117</v>
      </c>
      <c r="J21" s="21">
        <f t="shared" si="3"/>
        <v>2.9951641861858858</v>
      </c>
      <c r="K21" s="106"/>
    </row>
    <row r="22" spans="1:11">
      <c r="A22" s="104" t="s">
        <v>66</v>
      </c>
      <c r="B22" s="128" t="str">
        <f>+[8]Principales_paises!B10</f>
        <v>Brasil</v>
      </c>
      <c r="C22" s="21">
        <f>+[8]Principales_paises!D10</f>
        <v>61.354700580000255</v>
      </c>
      <c r="D22" s="24">
        <f>+[8]Principales_paises!F10</f>
        <v>37.951437810000094</v>
      </c>
      <c r="E22" s="21">
        <f t="shared" si="0"/>
        <v>-38.144205005914259</v>
      </c>
      <c r="F22" s="21">
        <f t="shared" si="1"/>
        <v>1.7464000731544886</v>
      </c>
      <c r="G22" s="21">
        <f>+[8]Principales_paises!E10</f>
        <v>5.5218765899999989</v>
      </c>
      <c r="H22" s="24">
        <f>+[8]Principales_paises!G10</f>
        <v>4.5451947399999959</v>
      </c>
      <c r="I22" s="21">
        <f t="shared" si="2"/>
        <v>-17.687498698698789</v>
      </c>
      <c r="J22" s="21">
        <f t="shared" si="3"/>
        <v>1.8500477118645922</v>
      </c>
      <c r="K22" s="106"/>
    </row>
    <row r="23" spans="1:11">
      <c r="A23" s="104" t="s">
        <v>66</v>
      </c>
      <c r="B23" s="128" t="str">
        <f>+[8]Principales_paises!B11</f>
        <v>Costa Rica</v>
      </c>
      <c r="C23" s="21">
        <f>+[8]Principales_paises!D11</f>
        <v>33.129723450000085</v>
      </c>
      <c r="D23" s="24">
        <f>+[8]Principales_paises!F11</f>
        <v>31.198238350000089</v>
      </c>
      <c r="E23" s="21">
        <f t="shared" si="0"/>
        <v>-5.8300670783292929</v>
      </c>
      <c r="F23" s="21">
        <f t="shared" si="1"/>
        <v>1.4356400937825549</v>
      </c>
      <c r="G23" s="21">
        <f>+[8]Principales_paises!E11</f>
        <v>4.0357067199999994</v>
      </c>
      <c r="H23" s="24">
        <f>+[8]Principales_paises!G11</f>
        <v>3.2299763900000036</v>
      </c>
      <c r="I23" s="21">
        <f t="shared" si="2"/>
        <v>-19.965036755693589</v>
      </c>
      <c r="J23" s="21">
        <f t="shared" si="3"/>
        <v>1.3147094396435404</v>
      </c>
      <c r="K23" s="106"/>
    </row>
    <row r="24" spans="1:11">
      <c r="A24" s="104" t="s">
        <v>66</v>
      </c>
      <c r="B24" s="128" t="str">
        <f>+[8]Principales_paises!B12</f>
        <v>Rusia</v>
      </c>
      <c r="C24" s="21">
        <f>+[8]Principales_paises!D12</f>
        <v>30.749407670000046</v>
      </c>
      <c r="D24" s="24">
        <f>+[8]Principales_paises!F12</f>
        <v>30.437098740000014</v>
      </c>
      <c r="E24" s="21">
        <f t="shared" si="0"/>
        <v>-1.0156583611356185</v>
      </c>
      <c r="F24" s="21">
        <f t="shared" si="1"/>
        <v>1.4006149577853448</v>
      </c>
      <c r="G24" s="21">
        <f>+[8]Principales_paises!E12</f>
        <v>3.3840490100000005</v>
      </c>
      <c r="H24" s="24">
        <f>+[8]Principales_paises!G12</f>
        <v>3.265541229999998</v>
      </c>
      <c r="I24" s="21">
        <f t="shared" si="2"/>
        <v>-3.5019522367970235</v>
      </c>
      <c r="J24" s="21">
        <f t="shared" si="3"/>
        <v>1.3291855302466067</v>
      </c>
      <c r="K24" s="106"/>
    </row>
    <row r="25" spans="1:11">
      <c r="A25" s="104" t="s">
        <v>66</v>
      </c>
      <c r="B25" s="128" t="str">
        <f>+[8]Principales_paises!B13</f>
        <v>Guatemala</v>
      </c>
      <c r="C25" s="21">
        <f>+[8]Principales_paises!D13</f>
        <v>31.930954500000031</v>
      </c>
      <c r="D25" s="24">
        <f>+[8]Principales_paises!F13</f>
        <v>29.166605040000039</v>
      </c>
      <c r="E25" s="21">
        <f t="shared" si="0"/>
        <v>-8.65727161397567</v>
      </c>
      <c r="F25" s="21">
        <f t="shared" si="1"/>
        <v>1.3421510254903311</v>
      </c>
      <c r="G25" s="21">
        <f>+[8]Principales_paises!E13</f>
        <v>4.3465244899999984</v>
      </c>
      <c r="H25" s="24">
        <f>+[8]Principales_paises!G13</f>
        <v>3.0242321299999961</v>
      </c>
      <c r="I25" s="21">
        <f t="shared" si="2"/>
        <v>-30.421831581581692</v>
      </c>
      <c r="J25" s="21">
        <f t="shared" si="3"/>
        <v>1.2309645795845217</v>
      </c>
      <c r="K25" s="106"/>
    </row>
    <row r="26" spans="1:11">
      <c r="A26" s="104" t="s">
        <v>66</v>
      </c>
      <c r="B26" s="128" t="str">
        <f>+[8]Principales_paises!B14</f>
        <v>Bolivia</v>
      </c>
      <c r="C26" s="21">
        <f>+[8]Principales_paises!D14</f>
        <v>12.83537793</v>
      </c>
      <c r="D26" s="24">
        <f>+[8]Principales_paises!F14</f>
        <v>27.624200940000019</v>
      </c>
      <c r="E26" s="21">
        <f t="shared" si="0"/>
        <v>115.21922525891699</v>
      </c>
      <c r="F26" s="21">
        <f t="shared" si="1"/>
        <v>1.2711746728535926</v>
      </c>
      <c r="G26" s="21">
        <f>+[8]Principales_paises!E14</f>
        <v>1.9794262800000011</v>
      </c>
      <c r="H26" s="24">
        <f>+[8]Principales_paises!G14</f>
        <v>1.9924216000000001</v>
      </c>
      <c r="I26" s="21">
        <f t="shared" si="2"/>
        <v>0.6565195244350841</v>
      </c>
      <c r="J26" s="21">
        <f t="shared" si="3"/>
        <v>0.81098285838234352</v>
      </c>
      <c r="K26" s="106"/>
    </row>
    <row r="27" spans="1:11">
      <c r="A27" s="104" t="s">
        <v>66</v>
      </c>
      <c r="B27" s="128" t="str">
        <f>+[8]Principales_paises!B15</f>
        <v>Alemania</v>
      </c>
      <c r="C27" s="21">
        <f>+[8]Principales_paises!D15</f>
        <v>19.053712829999977</v>
      </c>
      <c r="D27" s="24">
        <f>+[8]Principales_paises!F15</f>
        <v>27.564672879999989</v>
      </c>
      <c r="E27" s="21">
        <f t="shared" si="0"/>
        <v>44.66824983632349</v>
      </c>
      <c r="F27" s="21">
        <f>(D27/D$13)*100</f>
        <v>1.2684353877477355</v>
      </c>
      <c r="G27" s="21">
        <f>+[8]Principales_paises!E15</f>
        <v>2.6709838099999992</v>
      </c>
      <c r="H27" s="24">
        <f>+[8]Principales_paises!G15</f>
        <v>3.9020483599999989</v>
      </c>
      <c r="I27" s="21">
        <f t="shared" si="2"/>
        <v>46.090303707232124</v>
      </c>
      <c r="J27" s="21">
        <f t="shared" si="3"/>
        <v>1.5882654216050132</v>
      </c>
      <c r="K27" s="106"/>
    </row>
    <row r="28" spans="1:11">
      <c r="A28" s="104" t="s">
        <v>66</v>
      </c>
      <c r="B28" s="128" t="str">
        <f>+[8]Principales_paises!B16</f>
        <v>Paises Bajos</v>
      </c>
      <c r="C28" s="21">
        <f>+[8]Principales_paises!D16</f>
        <v>27.57007462</v>
      </c>
      <c r="D28" s="24">
        <f>+[8]Principales_paises!F16</f>
        <v>27.110561009999977</v>
      </c>
      <c r="E28" s="21">
        <f t="shared" si="0"/>
        <v>-1.6667115208555905</v>
      </c>
      <c r="F28" s="21">
        <f>(D28/D$13)*100</f>
        <v>1.2475386563258926</v>
      </c>
      <c r="G28" s="21">
        <f>+[8]Principales_paises!E16</f>
        <v>2.8013927600000028</v>
      </c>
      <c r="H28" s="24">
        <f>+[8]Principales_paises!G16</f>
        <v>2.6162511799999999</v>
      </c>
      <c r="I28" s="21">
        <f t="shared" si="2"/>
        <v>-6.6089119185130834</v>
      </c>
      <c r="J28" s="21">
        <f t="shared" si="3"/>
        <v>1.0649025588773877</v>
      </c>
      <c r="K28" s="106"/>
    </row>
    <row r="29" spans="1:11">
      <c r="A29" s="104" t="s">
        <v>66</v>
      </c>
      <c r="B29" s="128" t="str">
        <f>+[8]Principales_paises!B17</f>
        <v>República Dominicana</v>
      </c>
      <c r="C29" s="21">
        <f>+[8]Principales_paises!D17</f>
        <v>29.922940759999957</v>
      </c>
      <c r="D29" s="24">
        <f>+[8]Principales_paises!F17</f>
        <v>26.447288319999991</v>
      </c>
      <c r="E29" s="21">
        <f t="shared" si="0"/>
        <v>-11.615343785481503</v>
      </c>
      <c r="F29" s="21">
        <f t="shared" si="1"/>
        <v>1.2170170333998664</v>
      </c>
      <c r="G29" s="21">
        <f>+[8]Principales_paises!E17</f>
        <v>2.8909930500000014</v>
      </c>
      <c r="H29" s="24">
        <f>+[8]Principales_paises!G17</f>
        <v>2.8404848899999986</v>
      </c>
      <c r="I29" s="21">
        <f t="shared" si="2"/>
        <v>-1.7470868703749698</v>
      </c>
      <c r="J29" s="21">
        <f t="shared" si="3"/>
        <v>1.156173249318345</v>
      </c>
      <c r="K29" s="106"/>
    </row>
    <row r="30" spans="1:11">
      <c r="A30" s="104" t="s">
        <v>66</v>
      </c>
      <c r="B30" s="128" t="str">
        <f>+[8]Principales_paises!B18</f>
        <v>Reino Unido</v>
      </c>
      <c r="C30" s="21">
        <f>+[8]Principales_paises!D18</f>
        <v>21.704087849999979</v>
      </c>
      <c r="D30" s="24">
        <f>+[8]Principales_paises!F18</f>
        <v>23.49195473999999</v>
      </c>
      <c r="E30" s="21">
        <f t="shared" si="0"/>
        <v>8.2374661508754166</v>
      </c>
      <c r="F30" s="21">
        <f t="shared" si="1"/>
        <v>1.0810223233668264</v>
      </c>
      <c r="G30" s="21">
        <f>+[8]Principales_paises!E18</f>
        <v>2.7948632999999985</v>
      </c>
      <c r="H30" s="24">
        <f>+[8]Principales_paises!G18</f>
        <v>2.77295874</v>
      </c>
      <c r="I30" s="21">
        <f t="shared" si="2"/>
        <v>-0.78374351976351342</v>
      </c>
      <c r="J30" s="21">
        <f t="shared" si="3"/>
        <v>1.1286878264828597</v>
      </c>
      <c r="K30" s="106"/>
    </row>
    <row r="31" spans="1:11">
      <c r="A31" s="104"/>
      <c r="B31" s="128" t="str">
        <f>+[8]Principales_paises!B19</f>
        <v>Japón</v>
      </c>
      <c r="C31" s="21">
        <f>+[8]Principales_paises!D19</f>
        <v>28.566240780000026</v>
      </c>
      <c r="D31" s="24">
        <f>+[8]Principales_paises!F19</f>
        <v>22.908450310000024</v>
      </c>
      <c r="E31" s="21">
        <f t="shared" si="0"/>
        <v>-19.805862848993307</v>
      </c>
      <c r="F31" s="21">
        <f t="shared" si="1"/>
        <v>1.054171372835266</v>
      </c>
      <c r="G31" s="21">
        <f>+[8]Principales_paises!E19</f>
        <v>4.3805766800000008</v>
      </c>
      <c r="H31" s="24">
        <f>+[8]Principales_paises!G19</f>
        <v>2.6376745700000015</v>
      </c>
      <c r="I31" s="21">
        <f t="shared" si="2"/>
        <v>-39.787047170236931</v>
      </c>
      <c r="J31" s="21">
        <f t="shared" si="3"/>
        <v>1.0736226018936053</v>
      </c>
      <c r="K31" s="106"/>
    </row>
    <row r="32" spans="1:11">
      <c r="A32" s="104" t="s">
        <v>66</v>
      </c>
      <c r="B32" s="128" t="str">
        <f>+[8]Principales_paises!B20</f>
        <v>Bélgica</v>
      </c>
      <c r="C32" s="21">
        <f>+[8]Principales_paises!D20</f>
        <v>9.2661767799999861</v>
      </c>
      <c r="D32" s="24">
        <f>+[8]Principales_paises!F20</f>
        <v>22.622802749999988</v>
      </c>
      <c r="E32" s="21">
        <f t="shared" si="0"/>
        <v>144.14387170800364</v>
      </c>
      <c r="F32" s="21">
        <f t="shared" si="1"/>
        <v>1.0410268136705267</v>
      </c>
      <c r="G32" s="21">
        <f>+[8]Principales_paises!E20</f>
        <v>1.5211795799999999</v>
      </c>
      <c r="H32" s="24">
        <f>+[8]Principales_paises!G20</f>
        <v>2.7027768599999993</v>
      </c>
      <c r="I32" s="21">
        <f t="shared" si="2"/>
        <v>77.676383218344242</v>
      </c>
      <c r="J32" s="21">
        <f t="shared" si="3"/>
        <v>1.1001214318758914</v>
      </c>
      <c r="K32" s="106"/>
    </row>
    <row r="33" spans="1:11">
      <c r="A33" s="104" t="s">
        <v>66</v>
      </c>
      <c r="B33" s="128" t="str">
        <f>+[8]Principales_paises!B21</f>
        <v>Canadá</v>
      </c>
      <c r="C33" s="21">
        <f>+[8]Principales_paises!D21</f>
        <v>32.115799079999995</v>
      </c>
      <c r="D33" s="24">
        <f>+[8]Principales_paises!F21</f>
        <v>22.605539520000001</v>
      </c>
      <c r="E33" s="21">
        <f t="shared" si="0"/>
        <v>-29.612402096270664</v>
      </c>
      <c r="F33" s="21">
        <f t="shared" si="1"/>
        <v>1.0402324167286823</v>
      </c>
      <c r="G33" s="21">
        <f>+[8]Principales_paises!E21</f>
        <v>3.9515524000000011</v>
      </c>
      <c r="H33" s="24">
        <f>+[8]Principales_paises!G21</f>
        <v>3.3201513600000001</v>
      </c>
      <c r="I33" s="21">
        <f t="shared" si="2"/>
        <v>-15.978556680660516</v>
      </c>
      <c r="J33" s="21">
        <f t="shared" si="3"/>
        <v>1.3514136968776214</v>
      </c>
      <c r="K33" s="106"/>
    </row>
    <row r="34" spans="1:11">
      <c r="A34" s="104" t="s">
        <v>66</v>
      </c>
      <c r="B34" s="128" t="str">
        <f>+[8]Principales_paises!B22</f>
        <v>Francia</v>
      </c>
      <c r="C34" s="21">
        <f>+[8]Principales_paises!D22</f>
        <v>26.376071450000005</v>
      </c>
      <c r="D34" s="24">
        <f>+[8]Principales_paises!F22</f>
        <v>21.881876640000037</v>
      </c>
      <c r="E34" s="21">
        <f t="shared" si="0"/>
        <v>-17.038908991884639</v>
      </c>
      <c r="F34" s="21">
        <f t="shared" si="1"/>
        <v>1.0069318363159392</v>
      </c>
      <c r="G34" s="21">
        <f>+[8]Principales_paises!E22</f>
        <v>2.2452560200000011</v>
      </c>
      <c r="H34" s="24">
        <f>+[8]Principales_paises!G22</f>
        <v>2.5328128599999999</v>
      </c>
      <c r="I34" s="21">
        <f t="shared" si="2"/>
        <v>12.807307382255617</v>
      </c>
      <c r="J34" s="21">
        <f t="shared" si="3"/>
        <v>1.0309403456328514</v>
      </c>
      <c r="K34" s="106"/>
    </row>
    <row r="35" spans="1:11">
      <c r="A35" s="104" t="s">
        <v>66</v>
      </c>
      <c r="B35" s="128" t="str">
        <f>+[8]Principales_paises!B23</f>
        <v>España</v>
      </c>
      <c r="C35" s="21">
        <f>+[8]Principales_paises!D23</f>
        <v>26.632090189999946</v>
      </c>
      <c r="D35" s="24">
        <f>+[8]Principales_paises!F23</f>
        <v>21.712840379999967</v>
      </c>
      <c r="E35" s="21">
        <f t="shared" si="0"/>
        <v>-18.471136793638156</v>
      </c>
      <c r="F35" s="21">
        <f t="shared" si="1"/>
        <v>0.99915334480508278</v>
      </c>
      <c r="G35" s="21">
        <f>+[8]Principales_paises!E23</f>
        <v>3.9810752199999992</v>
      </c>
      <c r="H35" s="24">
        <f>+[8]Principales_paises!G23</f>
        <v>1.9865222899999995</v>
      </c>
      <c r="I35" s="21">
        <f t="shared" si="2"/>
        <v>-50.100860189222949</v>
      </c>
      <c r="J35" s="21">
        <f t="shared" si="3"/>
        <v>0.80858164004266897</v>
      </c>
      <c r="K35" s="106"/>
    </row>
    <row r="36" spans="1:11">
      <c r="A36" s="104" t="s">
        <v>66</v>
      </c>
      <c r="B36" s="128" t="str">
        <f>+[8]Principales_paises!B24</f>
        <v>Argentina</v>
      </c>
      <c r="C36" s="21">
        <f>+[8]Principales_paises!D24</f>
        <v>13.253070310000009</v>
      </c>
      <c r="D36" s="24">
        <f>+[8]Principales_paises!F24</f>
        <v>21.247755309999977</v>
      </c>
      <c r="E36" s="21">
        <f t="shared" si="0"/>
        <v>60.323267084515784</v>
      </c>
      <c r="F36" s="21">
        <f t="shared" si="1"/>
        <v>0.97775166288890991</v>
      </c>
      <c r="G36" s="21">
        <f>+[8]Principales_paises!E24</f>
        <v>1.5883003</v>
      </c>
      <c r="H36" s="24">
        <f>+[8]Principales_paises!G24</f>
        <v>1.9320935799999999</v>
      </c>
      <c r="I36" s="21">
        <f t="shared" si="2"/>
        <v>21.645357619084994</v>
      </c>
      <c r="J36" s="21">
        <f t="shared" si="3"/>
        <v>0.78642731747667005</v>
      </c>
      <c r="K36" s="106"/>
    </row>
    <row r="37" spans="1:11">
      <c r="A37" s="104" t="s">
        <v>66</v>
      </c>
      <c r="B37" s="128" t="str">
        <f>+[8]Principales_paises!B25</f>
        <v>Puerto Rico</v>
      </c>
      <c r="C37" s="21">
        <f>+[8]Principales_paises!D25</f>
        <v>18.204506100000025</v>
      </c>
      <c r="D37" s="24">
        <f>+[8]Principales_paises!F25</f>
        <v>16.249871729999999</v>
      </c>
      <c r="E37" s="21">
        <f t="shared" si="0"/>
        <v>-10.737090911793668</v>
      </c>
      <c r="F37" s="21">
        <f t="shared" si="1"/>
        <v>0.74776553447325078</v>
      </c>
      <c r="G37" s="21">
        <f>+[8]Principales_paises!E25</f>
        <v>2.20890064</v>
      </c>
      <c r="H37" s="24">
        <f>+[8]Principales_paises!G25</f>
        <v>1.6549316700000003</v>
      </c>
      <c r="I37" s="21">
        <f t="shared" si="2"/>
        <v>-25.078944700744877</v>
      </c>
      <c r="J37" s="21">
        <f t="shared" si="3"/>
        <v>0.67361306269921262</v>
      </c>
      <c r="K37" s="106"/>
    </row>
    <row r="38" spans="1:11">
      <c r="A38" s="104" t="s">
        <v>66</v>
      </c>
      <c r="B38" s="98" t="str">
        <f>+[8]Principales_paises!B26</f>
        <v>Italia</v>
      </c>
      <c r="C38" s="21">
        <f>+[8]Principales_paises!D26</f>
        <v>61.599533080000036</v>
      </c>
      <c r="D38" s="24">
        <f>+[8]Principales_paises!F26</f>
        <v>14.280885400000003</v>
      </c>
      <c r="E38" s="21">
        <f t="shared" si="0"/>
        <v>-76.816568753121473</v>
      </c>
      <c r="F38" s="21">
        <f t="shared" si="1"/>
        <v>0.65715927370475591</v>
      </c>
      <c r="G38" s="21">
        <f>+[8]Principales_paises!E26</f>
        <v>4.9960640200000022</v>
      </c>
      <c r="H38" s="24">
        <f>+[8]Principales_paises!G26</f>
        <v>0.95517125999999974</v>
      </c>
      <c r="I38" s="21">
        <f t="shared" si="2"/>
        <v>-80.881524812806546</v>
      </c>
      <c r="J38" s="21">
        <f t="shared" si="3"/>
        <v>0.38878695085390785</v>
      </c>
      <c r="K38" s="106"/>
    </row>
    <row r="39" spans="1:11">
      <c r="A39" s="104" t="s">
        <v>66</v>
      </c>
      <c r="B39" s="98" t="str">
        <f>+[8]Principales_paises!B27</f>
        <v>Hong Kong</v>
      </c>
      <c r="C39" s="21">
        <f>+[8]Principales_paises!D27</f>
        <v>11.448949080000013</v>
      </c>
      <c r="D39" s="24">
        <f>+[8]Principales_paises!F27</f>
        <v>11.161391030000001</v>
      </c>
      <c r="E39" s="21">
        <f t="shared" si="0"/>
        <v>-2.5116545456765338</v>
      </c>
      <c r="F39" s="21">
        <f t="shared" si="1"/>
        <v>0.51361042521982403</v>
      </c>
      <c r="G39" s="21">
        <f>+[8]Principales_paises!E27</f>
        <v>0.78604441999999997</v>
      </c>
      <c r="H39" s="24">
        <f>+[8]Principales_paises!G27</f>
        <v>1.4736856600000003</v>
      </c>
      <c r="I39" s="21">
        <f t="shared" si="2"/>
        <v>87.481218936711031</v>
      </c>
      <c r="J39" s="21">
        <f t="shared" si="3"/>
        <v>0.59983981748836224</v>
      </c>
      <c r="K39" s="106"/>
    </row>
    <row r="40" spans="1:11">
      <c r="A40" s="104" t="s">
        <v>66</v>
      </c>
      <c r="B40" s="98" t="str">
        <f>+[8]Principales_paises!B28</f>
        <v>Honduras</v>
      </c>
      <c r="C40" s="21">
        <f>+[8]Principales_paises!D28</f>
        <v>13.454594239999993</v>
      </c>
      <c r="D40" s="24">
        <f>+[8]Principales_paises!F28</f>
        <v>10.303371120000014</v>
      </c>
      <c r="E40" s="21">
        <f t="shared" si="0"/>
        <v>-23.421167995029634</v>
      </c>
      <c r="F40" s="21">
        <f t="shared" si="1"/>
        <v>0.47412717715175878</v>
      </c>
      <c r="G40" s="21">
        <f>+[8]Principales_paises!E28</f>
        <v>1.4146548699999992</v>
      </c>
      <c r="H40" s="24">
        <f>+[8]Principales_paises!G28</f>
        <v>1.5178032700000006</v>
      </c>
      <c r="I40" s="21">
        <f t="shared" si="2"/>
        <v>7.2914180120838612</v>
      </c>
      <c r="J40" s="21">
        <f t="shared" si="3"/>
        <v>0.61779717423594904</v>
      </c>
      <c r="K40" s="106"/>
    </row>
    <row r="41" spans="1:11">
      <c r="A41" s="104" t="s">
        <v>66</v>
      </c>
      <c r="B41" s="128" t="str">
        <f>+[8]Principales_paises!B29</f>
        <v>El Salvador</v>
      </c>
      <c r="C41" s="21">
        <f>+[8]Principales_paises!D29</f>
        <v>7.1727435799999952</v>
      </c>
      <c r="D41" s="24">
        <f>+[8]Principales_paises!F29</f>
        <v>9.3181658500000015</v>
      </c>
      <c r="E41" s="21">
        <f t="shared" si="0"/>
        <v>29.910762124302902</v>
      </c>
      <c r="F41" s="21">
        <f t="shared" si="1"/>
        <v>0.42879127804263872</v>
      </c>
      <c r="G41" s="21">
        <f>+[8]Principales_paises!E29</f>
        <v>0.91098862999999963</v>
      </c>
      <c r="H41" s="24">
        <f>+[8]Principales_paises!G29</f>
        <v>0.73967935999999967</v>
      </c>
      <c r="I41" s="21">
        <f t="shared" si="2"/>
        <v>-18.804764884936056</v>
      </c>
      <c r="J41" s="21">
        <f t="shared" si="3"/>
        <v>0.30107447221974615</v>
      </c>
      <c r="K41" s="106"/>
    </row>
    <row r="42" spans="1:11">
      <c r="A42" s="104" t="s">
        <v>66</v>
      </c>
      <c r="B42" s="128" t="str">
        <f>+[8]Principales_paises!B30</f>
        <v>Indonesia</v>
      </c>
      <c r="C42" s="21">
        <f>+[8]Principales_paises!D30</f>
        <v>1.7560322300000013</v>
      </c>
      <c r="D42" s="24">
        <f>+[8]Principales_paises!F30</f>
        <v>6.2912623300000012</v>
      </c>
      <c r="E42" s="21">
        <f t="shared" si="0"/>
        <v>258.26576656853251</v>
      </c>
      <c r="F42" s="21">
        <f t="shared" si="1"/>
        <v>0.28950315527837583</v>
      </c>
      <c r="G42" s="21">
        <f>+[8]Principales_paises!E30</f>
        <v>0</v>
      </c>
      <c r="H42" s="24">
        <f>+[8]Principales_paises!G30</f>
        <v>2.7631039999999999E-2</v>
      </c>
      <c r="I42" s="21" t="str">
        <f t="shared" si="2"/>
        <v/>
      </c>
      <c r="J42" s="21">
        <f t="shared" si="3"/>
        <v>1.1246766145918548E-2</v>
      </c>
      <c r="K42" s="106"/>
    </row>
    <row r="43" spans="1:11">
      <c r="A43" s="104"/>
      <c r="B43" s="128" t="str">
        <f>+[8]Principales_paises!B31</f>
        <v>Turquia</v>
      </c>
      <c r="C43" s="21">
        <f>+[8]Principales_paises!D31</f>
        <v>1.8375639600000004</v>
      </c>
      <c r="D43" s="24">
        <f>+[8]Principales_paises!F31</f>
        <v>6.2484023900000034</v>
      </c>
      <c r="E43" s="21">
        <f t="shared" si="0"/>
        <v>240.03727358692876</v>
      </c>
      <c r="F43" s="21">
        <f t="shared" si="1"/>
        <v>0.28753088211375627</v>
      </c>
      <c r="G43" s="21">
        <f>+[8]Principales_paises!E31</f>
        <v>0.39770591999999999</v>
      </c>
      <c r="H43" s="24">
        <f>+[8]Principales_paises!G31</f>
        <v>5.0819999999999997E-3</v>
      </c>
      <c r="I43" s="21">
        <f t="shared" si="2"/>
        <v>-98.722171397398355</v>
      </c>
      <c r="J43" s="21">
        <f t="shared" si="3"/>
        <v>2.0685455760462894E-3</v>
      </c>
      <c r="K43" s="106"/>
    </row>
    <row r="44" spans="1:11">
      <c r="A44" s="104"/>
      <c r="B44" s="128" t="s">
        <v>2</v>
      </c>
      <c r="C44" s="21">
        <f>+C13-SUM(C14:C43)</f>
        <v>130.76892706002036</v>
      </c>
      <c r="D44" s="24">
        <f>+D13-SUM(D14:D43)</f>
        <v>121.30251730000236</v>
      </c>
      <c r="E44" s="21">
        <f t="shared" si="0"/>
        <v>-7.2390360407813876</v>
      </c>
      <c r="F44" s="21">
        <f t="shared" si="1"/>
        <v>5.5819420109223854</v>
      </c>
      <c r="G44" s="21">
        <f t="shared" ref="G44:H44" si="4">+G13-SUM(G14:G43)</f>
        <v>14.803464750000785</v>
      </c>
      <c r="H44" s="24">
        <f t="shared" si="4"/>
        <v>13.813973359999096</v>
      </c>
      <c r="I44" s="21">
        <f t="shared" si="2"/>
        <v>-6.6841878351595829</v>
      </c>
      <c r="J44" s="21">
        <f t="shared" si="3"/>
        <v>5.6227535382619891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4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4">
        <f>(H13/H$13)*100</f>
        <v>100</v>
      </c>
      <c r="K13" s="16"/>
    </row>
    <row r="14" spans="1:14">
      <c r="A14" s="14"/>
      <c r="B14" s="9" t="s">
        <v>25</v>
      </c>
      <c r="C14" s="21">
        <f>+C13-[9]resumen_venezuela1!B8/1000000</f>
        <v>1941.6302577400195</v>
      </c>
      <c r="D14" s="24">
        <f>+D13-[9]resumen_venezuela1!C8/1000000</f>
        <v>1985.2591026600089</v>
      </c>
      <c r="E14" s="21">
        <f t="shared" ref="E14:E44" si="0">IF(OR(OR(D14=0,C14=0),D14=""),"",(D14/C14-1)*100)</f>
        <v>2.2470212722566218</v>
      </c>
      <c r="F14" s="21">
        <f t="shared" ref="F14:F27" si="1">(D14/D$13)*100</f>
        <v>91.3550801282816</v>
      </c>
      <c r="G14" s="21">
        <f>+G13-[9]resumen_venezuela1!D8/1000000</f>
        <v>225.25665130000098</v>
      </c>
      <c r="H14" s="24">
        <f>+H13-[9]resumen_venezuela1!E8/1000000</f>
        <v>220.01017602999923</v>
      </c>
      <c r="I14" s="21">
        <f t="shared" ref="I14:I44" si="2">IF(OR(OR(H14=0,G14=0),H14=""),"",(H14/G14-1)*100)</f>
        <v>-2.3291100350304017</v>
      </c>
      <c r="J14" s="21">
        <f t="shared" ref="J14:J17" si="3">(H14/H$13)*100</f>
        <v>89.551569522239333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tr">
        <f>+[10]XX!A2</f>
        <v>Venezuela</v>
      </c>
      <c r="C17" s="21">
        <f>[10]XX!B2/1000000</f>
        <v>296.00589863000033</v>
      </c>
      <c r="D17" s="24">
        <f>[10]XX!D2/1000000</f>
        <v>187.86482237999991</v>
      </c>
      <c r="E17" s="21">
        <f t="shared" si="0"/>
        <v>-36.533419350934601</v>
      </c>
      <c r="F17" s="21">
        <f t="shared" si="1"/>
        <v>8.6449198892047487</v>
      </c>
      <c r="G17" s="21">
        <f>[10]XX!C2/1000000</f>
        <v>46.04782868000003</v>
      </c>
      <c r="H17" s="24">
        <f>[10]XX!E2/1000000</f>
        <v>25.669690349999975</v>
      </c>
      <c r="I17" s="21">
        <f t="shared" si="2"/>
        <v>-44.254287149159111</v>
      </c>
      <c r="J17" s="21">
        <f t="shared" si="3"/>
        <v>10.448430620222467</v>
      </c>
      <c r="K17" s="16"/>
    </row>
    <row r="18" spans="1:11">
      <c r="A18" s="14"/>
      <c r="B18" s="9" t="str">
        <f>+[10]XX!A3</f>
        <v>Italia</v>
      </c>
      <c r="C18" s="21">
        <f>[10]XX!B3/1000000</f>
        <v>61.599533080000015</v>
      </c>
      <c r="D18" s="24">
        <f>[10]XX!D3/1000000</f>
        <v>14.280885400000008</v>
      </c>
      <c r="E18" s="21">
        <f t="shared" si="0"/>
        <v>-76.816568753121459</v>
      </c>
      <c r="F18" s="21">
        <f t="shared" si="1"/>
        <v>0.65715927370475624</v>
      </c>
      <c r="G18" s="21">
        <f>[10]XX!C3/1000000</f>
        <v>4.9960640200000004</v>
      </c>
      <c r="H18" s="24">
        <f>[10]XX!E3/1000000</f>
        <v>0.95517125999999997</v>
      </c>
      <c r="I18" s="21">
        <f t="shared" ref="I18:I27" si="4">IF(OR(OR(H18=0,G18=0),H18=""),"",(H18/G18-1)*100)</f>
        <v>-80.881524812806546</v>
      </c>
      <c r="J18" s="21">
        <f t="shared" ref="J18:J27" si="5">(H18/H$13)*100</f>
        <v>0.38878695085390791</v>
      </c>
      <c r="K18" s="16"/>
    </row>
    <row r="19" spans="1:11">
      <c r="A19" s="14"/>
      <c r="B19" s="9" t="str">
        <f>+[10]XX!A4</f>
        <v>Brasil</v>
      </c>
      <c r="C19" s="21">
        <f>[10]XX!B4/1000000</f>
        <v>61.354700579999992</v>
      </c>
      <c r="D19" s="24">
        <f>[10]XX!D4/1000000</f>
        <v>37.95143780999998</v>
      </c>
      <c r="E19" s="21">
        <f t="shared" si="0"/>
        <v>-38.144205005914181</v>
      </c>
      <c r="F19" s="21">
        <f t="shared" si="1"/>
        <v>1.7464000731544835</v>
      </c>
      <c r="G19" s="21">
        <f>[10]XX!C4/1000000</f>
        <v>5.5218765900000015</v>
      </c>
      <c r="H19" s="24">
        <f>[10]XX!E4/1000000</f>
        <v>4.5451947399999977</v>
      </c>
      <c r="I19" s="21">
        <f t="shared" si="4"/>
        <v>-17.6874986986988</v>
      </c>
      <c r="J19" s="21">
        <f t="shared" si="5"/>
        <v>1.8500477118645928</v>
      </c>
      <c r="K19" s="16"/>
    </row>
    <row r="20" spans="1:11">
      <c r="A20" s="14"/>
      <c r="B20" s="9" t="str">
        <f>+[10]XX!A5</f>
        <v>Canadá</v>
      </c>
      <c r="C20" s="21">
        <f>[10]XX!B5/1000000</f>
        <v>32.115799079999995</v>
      </c>
      <c r="D20" s="24">
        <f>[10]XX!D5/1000000</f>
        <v>22.605539519999979</v>
      </c>
      <c r="E20" s="21">
        <f t="shared" si="0"/>
        <v>-29.612402096270728</v>
      </c>
      <c r="F20" s="21">
        <f t="shared" si="1"/>
        <v>1.0402324167286814</v>
      </c>
      <c r="G20" s="21">
        <f>[10]XX!C5/1000000</f>
        <v>3.9515524000000015</v>
      </c>
      <c r="H20" s="24">
        <f>[10]XX!E5/1000000</f>
        <v>3.3201513600000014</v>
      </c>
      <c r="I20" s="21">
        <f t="shared" si="4"/>
        <v>-15.978556680660482</v>
      </c>
      <c r="J20" s="21">
        <f t="shared" si="5"/>
        <v>1.3514136968776218</v>
      </c>
      <c r="K20" s="16"/>
    </row>
    <row r="21" spans="1:11">
      <c r="A21" s="14"/>
      <c r="B21" s="9" t="str">
        <f>+[10]XX!A6</f>
        <v>Perú</v>
      </c>
      <c r="C21" s="21">
        <f>[10]XX!B6/1000000</f>
        <v>122.34408386000077</v>
      </c>
      <c r="D21" s="24">
        <f>[10]XX!D6/1000000</f>
        <v>116.47370648999994</v>
      </c>
      <c r="E21" s="21">
        <f t="shared" si="0"/>
        <v>-4.7982519340439396</v>
      </c>
      <c r="F21" s="21">
        <f t="shared" si="1"/>
        <v>5.3597360540873229</v>
      </c>
      <c r="G21" s="21">
        <f>[10]XX!C6/1000000</f>
        <v>12.441538819999977</v>
      </c>
      <c r="H21" s="24">
        <f>[10]XX!E6/1000000</f>
        <v>14.011422270000002</v>
      </c>
      <c r="I21" s="21">
        <f t="shared" si="4"/>
        <v>12.618081032519957</v>
      </c>
      <c r="J21" s="21">
        <f t="shared" si="5"/>
        <v>5.703121910807746</v>
      </c>
      <c r="K21" s="16"/>
    </row>
    <row r="22" spans="1:11">
      <c r="A22" s="14"/>
      <c r="B22" s="9" t="str">
        <f>+[10]XX!A7</f>
        <v>Japón</v>
      </c>
      <c r="C22" s="21">
        <f>[10]XX!B7/1000000</f>
        <v>28.566240780000005</v>
      </c>
      <c r="D22" s="24">
        <f>[10]XX!D7/1000000</f>
        <v>22.908450310000021</v>
      </c>
      <c r="E22" s="21">
        <f t="shared" si="0"/>
        <v>-19.805862848993261</v>
      </c>
      <c r="F22" s="21">
        <f t="shared" si="1"/>
        <v>1.0541713728352657</v>
      </c>
      <c r="G22" s="21">
        <f>[10]XX!C7/1000000</f>
        <v>4.380576679999999</v>
      </c>
      <c r="H22" s="24">
        <f>[10]XX!E7/1000000</f>
        <v>2.6376745699999988</v>
      </c>
      <c r="I22" s="21">
        <f t="shared" si="4"/>
        <v>-39.787047170236967</v>
      </c>
      <c r="J22" s="21">
        <f t="shared" si="5"/>
        <v>1.0736226018936041</v>
      </c>
      <c r="K22" s="16"/>
    </row>
    <row r="23" spans="1:11">
      <c r="A23" s="14"/>
      <c r="B23" s="9" t="str">
        <f>+[10]XX!A8</f>
        <v>España</v>
      </c>
      <c r="C23" s="21">
        <f>[10]XX!B8/1000000</f>
        <v>26.632090189999982</v>
      </c>
      <c r="D23" s="24">
        <f>[10]XX!D8/1000000</f>
        <v>21.712840379999992</v>
      </c>
      <c r="E23" s="21">
        <f t="shared" si="0"/>
        <v>-18.471136793638177</v>
      </c>
      <c r="F23" s="21">
        <f t="shared" si="1"/>
        <v>0.999153344805084</v>
      </c>
      <c r="G23" s="21">
        <f>[10]XX!C8/1000000</f>
        <v>3.9810752199999997</v>
      </c>
      <c r="H23" s="24">
        <f>[10]XX!E8/1000000</f>
        <v>1.9865222899999988</v>
      </c>
      <c r="I23" s="21">
        <f t="shared" si="4"/>
        <v>-50.100860189222971</v>
      </c>
      <c r="J23" s="21">
        <f t="shared" si="5"/>
        <v>0.80858164004266853</v>
      </c>
      <c r="K23" s="16"/>
    </row>
    <row r="24" spans="1:11">
      <c r="A24" s="14"/>
      <c r="B24" s="9" t="str">
        <f>+[10]XX!A9</f>
        <v>Francia</v>
      </c>
      <c r="C24" s="21">
        <f>[10]XX!B9/1000000</f>
        <v>26.376071450000012</v>
      </c>
      <c r="D24" s="24">
        <f>[10]XX!D9/1000000</f>
        <v>21.881876640000002</v>
      </c>
      <c r="E24" s="21">
        <f t="shared" si="0"/>
        <v>-17.038908991884792</v>
      </c>
      <c r="F24" s="21">
        <f t="shared" si="1"/>
        <v>1.0069318363159376</v>
      </c>
      <c r="G24" s="21">
        <f>[10]XX!C9/1000000</f>
        <v>2.2452560199999998</v>
      </c>
      <c r="H24" s="24">
        <f>[10]XX!E9/1000000</f>
        <v>2.5328128599999999</v>
      </c>
      <c r="I24" s="21">
        <f t="shared" si="4"/>
        <v>12.807307382255683</v>
      </c>
      <c r="J24" s="21">
        <f t="shared" si="5"/>
        <v>1.0309403456328514</v>
      </c>
      <c r="K24" s="16"/>
    </row>
    <row r="25" spans="1:11">
      <c r="A25" s="14"/>
      <c r="B25" s="9" t="str">
        <f>+[10]XX!A10</f>
        <v>República Dominicana</v>
      </c>
      <c r="C25" s="21">
        <f>[10]XX!B10/1000000</f>
        <v>29.922940759999964</v>
      </c>
      <c r="D25" s="24">
        <f>[10]XX!D10/1000000</f>
        <v>26.447288319999952</v>
      </c>
      <c r="E25" s="21">
        <f t="shared" si="0"/>
        <v>-11.615343785481647</v>
      </c>
      <c r="F25" s="21">
        <f t="shared" si="1"/>
        <v>1.2170170333998647</v>
      </c>
      <c r="G25" s="21">
        <f>[10]XX!C10/1000000</f>
        <v>2.8909930499999987</v>
      </c>
      <c r="H25" s="24">
        <f>[10]XX!E10/1000000</f>
        <v>2.840484889999999</v>
      </c>
      <c r="I25" s="21">
        <f t="shared" si="4"/>
        <v>-1.7470868703748588</v>
      </c>
      <c r="J25" s="21">
        <f t="shared" si="5"/>
        <v>1.156173249318345</v>
      </c>
      <c r="K25" s="16"/>
    </row>
    <row r="26" spans="1:11">
      <c r="A26" s="14"/>
      <c r="B26" s="9" t="str">
        <f>+[10]XX!A11</f>
        <v>Puerto Rico</v>
      </c>
      <c r="C26" s="21">
        <f>[10]XX!B11/1000000</f>
        <v>18.204506099999996</v>
      </c>
      <c r="D26" s="24">
        <f>[10]XX!D11/1000000</f>
        <v>16.249871729999992</v>
      </c>
      <c r="E26" s="21">
        <f t="shared" si="0"/>
        <v>-10.737090911793567</v>
      </c>
      <c r="F26" s="21">
        <f t="shared" si="1"/>
        <v>0.74776553447325045</v>
      </c>
      <c r="G26" s="21">
        <f>[10]XX!C11/1000000</f>
        <v>2.2089006400000004</v>
      </c>
      <c r="H26" s="24">
        <f>[10]XX!E11/1000000</f>
        <v>1.654931669999999</v>
      </c>
      <c r="I26" s="21">
        <f t="shared" si="4"/>
        <v>-25.078944700744955</v>
      </c>
      <c r="J26" s="21">
        <f t="shared" si="5"/>
        <v>0.67361306269921206</v>
      </c>
      <c r="K26" s="16"/>
    </row>
    <row r="27" spans="1:11">
      <c r="A27" s="14"/>
      <c r="B27" s="9" t="str">
        <f>+[10]XX!A12</f>
        <v>Costa Rica</v>
      </c>
      <c r="C27" s="21">
        <f>[10]XX!B12/1000000</f>
        <v>33.129723449999993</v>
      </c>
      <c r="D27" s="24">
        <f>[10]XX!D12/1000000</f>
        <v>31.198238349999944</v>
      </c>
      <c r="E27" s="21">
        <f t="shared" si="0"/>
        <v>-5.8300670783294706</v>
      </c>
      <c r="F27" s="21">
        <f t="shared" si="1"/>
        <v>1.4356400937825482</v>
      </c>
      <c r="G27" s="21">
        <f>[10]XX!C12/1000000</f>
        <v>4.0357067200000012</v>
      </c>
      <c r="H27" s="24">
        <f>[10]XX!E12/1000000</f>
        <v>3.2299763899999974</v>
      </c>
      <c r="I27" s="21">
        <f t="shared" si="4"/>
        <v>-19.965036755693777</v>
      </c>
      <c r="J27" s="21">
        <f t="shared" si="5"/>
        <v>1.3147094396435379</v>
      </c>
      <c r="K27" s="16"/>
    </row>
    <row r="28" spans="1:11" s="98" customFormat="1">
      <c r="A28" s="104"/>
      <c r="B28" s="128" t="str">
        <f>+[10]XX!A13</f>
        <v>Grecia</v>
      </c>
      <c r="C28" s="21">
        <f>[10]XX!B13/1000000</f>
        <v>3.4973427400000001</v>
      </c>
      <c r="D28" s="24">
        <f>[10]XX!D13/1000000</f>
        <v>1.5751554100000003</v>
      </c>
      <c r="E28" s="21">
        <f t="shared" ref="E28:E31" si="6">IF(OR(OR(D28=0,C28=0),D28=""),"",(D28/C28-1)*100)</f>
        <v>-54.961365610966674</v>
      </c>
      <c r="F28" s="21">
        <f t="shared" ref="F28:F31" si="7">(D28/D$13)*100</f>
        <v>7.2483459968645705E-2</v>
      </c>
      <c r="G28" s="21">
        <f>[10]XX!C13/1000000</f>
        <v>0.14727804</v>
      </c>
      <c r="H28" s="24">
        <f>[10]XX!E13/1000000</f>
        <v>7.3383600000000007E-2</v>
      </c>
      <c r="I28" s="21">
        <f t="shared" ref="I28:I31" si="8">IF(OR(OR(H28=0,G28=0),H28=""),"",(H28/G28-1)*100)</f>
        <v>-50.173427077112095</v>
      </c>
      <c r="J28" s="21">
        <f t="shared" ref="J28:J31" si="9">(H28/H$13)*100</f>
        <v>2.9869602741902895E-2</v>
      </c>
      <c r="K28" s="106"/>
    </row>
    <row r="29" spans="1:11" s="98" customFormat="1">
      <c r="A29" s="104"/>
      <c r="B29" s="128" t="str">
        <f>+[10]XX!A14</f>
        <v>Países Bajos</v>
      </c>
      <c r="C29" s="21">
        <f>[10]XX!B14/1000000</f>
        <v>27.570074620000028</v>
      </c>
      <c r="D29" s="24">
        <f>[10]XX!D14/1000000</f>
        <v>27.110561009999991</v>
      </c>
      <c r="E29" s="21">
        <f t="shared" si="6"/>
        <v>-1.666711520855646</v>
      </c>
      <c r="F29" s="21">
        <f t="shared" si="7"/>
        <v>1.2475386563258932</v>
      </c>
      <c r="G29" s="21">
        <f>[10]XX!C14/1000000</f>
        <v>2.8013927599999988</v>
      </c>
      <c r="H29" s="24">
        <f>[10]XX!E14/1000000</f>
        <v>2.6162511799999981</v>
      </c>
      <c r="I29" s="21">
        <f t="shared" si="8"/>
        <v>-6.6089119185130158</v>
      </c>
      <c r="J29" s="21">
        <f t="shared" si="9"/>
        <v>1.0649025588773871</v>
      </c>
      <c r="K29" s="106"/>
    </row>
    <row r="30" spans="1:11" s="98" customFormat="1">
      <c r="A30" s="104"/>
      <c r="B30" s="128" t="str">
        <f>+[10]XX!A15</f>
        <v>Lituania</v>
      </c>
      <c r="C30" s="21">
        <f>[10]XX!B15/1000000</f>
        <v>0.59006899999999995</v>
      </c>
      <c r="D30" s="24">
        <f>[10]XX!D15/1000000</f>
        <v>0.23240625000000001</v>
      </c>
      <c r="E30" s="21">
        <f t="shared" si="6"/>
        <v>-60.613716361984785</v>
      </c>
      <c r="F30" s="21">
        <f t="shared" si="7"/>
        <v>1.0694569571606949E-2</v>
      </c>
      <c r="G30" s="21">
        <f>[10]XX!C15/1000000</f>
        <v>0.19017000000000001</v>
      </c>
      <c r="H30" s="24">
        <f>[10]XX!E15/1000000</f>
        <v>1.0019999999999999E-2</v>
      </c>
      <c r="I30" s="21">
        <f t="shared" si="8"/>
        <v>-94.73103013093548</v>
      </c>
      <c r="J30" s="21">
        <f t="shared" si="9"/>
        <v>4.0784782904336519E-3</v>
      </c>
      <c r="K30" s="106"/>
    </row>
    <row r="31" spans="1:11" s="98" customFormat="1">
      <c r="A31" s="104"/>
      <c r="B31" s="128" t="str">
        <f>+[10]XX!A16</f>
        <v>Bulgaria</v>
      </c>
      <c r="C31" s="21">
        <f>[10]XX!B16/1000000</f>
        <v>0.31553923</v>
      </c>
      <c r="D31" s="24">
        <f>[10]XX!D16/1000000</f>
        <v>3.0560000000000001E-3</v>
      </c>
      <c r="E31" s="21">
        <f t="shared" si="6"/>
        <v>-99.031499189498561</v>
      </c>
      <c r="F31" s="21">
        <f t="shared" si="7"/>
        <v>1.4062704686655731E-4</v>
      </c>
      <c r="G31" s="21">
        <f>[10]XX!C16/1000000</f>
        <v>0.15601866</v>
      </c>
      <c r="H31" s="24">
        <f>[10]XX!E16/1000000</f>
        <v>0</v>
      </c>
      <c r="I31" s="21" t="str">
        <f t="shared" si="8"/>
        <v/>
      </c>
      <c r="J31" s="21">
        <f t="shared" si="9"/>
        <v>0</v>
      </c>
      <c r="K31" s="106"/>
    </row>
    <row r="32" spans="1:11" s="98" customFormat="1">
      <c r="A32" s="104"/>
      <c r="B32" s="128" t="str">
        <f>+[10]XX!A17</f>
        <v>Portugal</v>
      </c>
      <c r="C32" s="21">
        <f>[10]XX!B17/1000000</f>
        <v>1.2902000799999997</v>
      </c>
      <c r="D32" s="24">
        <f>[10]XX!D17/1000000</f>
        <v>0.98823359000000011</v>
      </c>
      <c r="E32" s="21">
        <f t="shared" ref="E32" si="10">IF(OR(OR(D32=0,C32=0),D32=""),"",(D32/C32-1)*100)</f>
        <v>-23.404624963284736</v>
      </c>
      <c r="F32" s="21">
        <f t="shared" ref="F32" si="11">(D32/D$13)*100</f>
        <v>4.5475252413624406E-2</v>
      </c>
      <c r="G32" s="21">
        <f>[10]XX!C17/1000000</f>
        <v>0.28719138999999999</v>
      </c>
      <c r="H32" s="24">
        <f>[10]XX!E17/1000000</f>
        <v>0.21967022</v>
      </c>
      <c r="I32" s="21">
        <f t="shared" ref="I32" si="12">IF(OR(OR(H32=0,G32=0),H32=""),"",(H32/G32-1)*100)</f>
        <v>-23.510861519908378</v>
      </c>
      <c r="J32" s="21">
        <f t="shared" ref="J32" si="13">(H32/H$13)*100</f>
        <v>8.941319594059724E-2</v>
      </c>
      <c r="K32" s="106"/>
    </row>
    <row r="33" spans="1:13" s="98" customFormat="1">
      <c r="A33" s="104"/>
      <c r="B33" s="128" t="str">
        <f>+[10]XX!A18</f>
        <v>Cuba</v>
      </c>
      <c r="C33" s="21">
        <f>[10]XX!B18/1000000</f>
        <v>5.0910599899999935</v>
      </c>
      <c r="D33" s="24">
        <f>[10]XX!D18/1000000</f>
        <v>4.8104917000000027</v>
      </c>
      <c r="E33" s="21">
        <f t="shared" ref="E33" si="14">IF(OR(OR(D33=0,C33=0),D33=""),"",(D33/C33-1)*100)</f>
        <v>-5.5109994883401736</v>
      </c>
      <c r="F33" s="21">
        <f t="shared" ref="F33" si="15">(D33/D$13)*100</f>
        <v>0.22136297177587869</v>
      </c>
      <c r="G33" s="21">
        <f>[10]XX!C18/1000000</f>
        <v>1.0060040099999998</v>
      </c>
      <c r="H33" s="24">
        <f>[10]XX!E18/1000000</f>
        <v>0.30203499999999994</v>
      </c>
      <c r="I33" s="21">
        <f t="shared" ref="I33" si="16">IF(OR(OR(H33=0,G33=0),H33=""),"",(H33/G33-1)*100)</f>
        <v>-69.976759834187945</v>
      </c>
      <c r="J33" s="21">
        <f t="shared" ref="J33" si="17">(H33/H$13)*100</f>
        <v>0.12293844216079121</v>
      </c>
      <c r="K33" s="106"/>
    </row>
    <row r="34" spans="1:13" s="98" customFormat="1">
      <c r="A34" s="104"/>
      <c r="B34" s="128" t="str">
        <f>+[10]XX!A19</f>
        <v>República Checa</v>
      </c>
      <c r="C34" s="21">
        <f>[10]XX!B19/1000000</f>
        <v>1.1662010300000003</v>
      </c>
      <c r="D34" s="24">
        <f>[10]XX!D19/1000000</f>
        <v>0.89175625000000003</v>
      </c>
      <c r="E34" s="21">
        <f t="shared" ref="E34:E36" si="18">IF(OR(OR(D34=0,C34=0),D34=""),"",(D34/C34-1)*100)</f>
        <v>-23.533230801554016</v>
      </c>
      <c r="F34" s="21">
        <f t="shared" ref="F34:F36" si="19">(D34/D$13)*100</f>
        <v>4.1035683233735402E-2</v>
      </c>
      <c r="G34" s="21">
        <f>[10]XX!C19/1000000</f>
        <v>0.1029815</v>
      </c>
      <c r="H34" s="24">
        <f>[10]XX!E19/1000000</f>
        <v>0.18465724999999994</v>
      </c>
      <c r="I34" s="21">
        <f t="shared" ref="I34:I36" si="20">IF(OR(OR(H34=0,G34=0),H34=""),"",(H34/G34-1)*100)</f>
        <v>79.311089855944928</v>
      </c>
      <c r="J34" s="21">
        <f t="shared" ref="J34:J36" si="21">(H34/H$13)*100</f>
        <v>7.5161735059498941E-2</v>
      </c>
      <c r="K34" s="106"/>
    </row>
    <row r="35" spans="1:13" s="98" customFormat="1">
      <c r="A35" s="104"/>
      <c r="B35" s="128" t="str">
        <f>+[10]XX!A20</f>
        <v>Eslovaquia</v>
      </c>
      <c r="C35" s="21">
        <f>[10]XX!B20/1000000</f>
        <v>0.33163538000000004</v>
      </c>
      <c r="D35" s="24">
        <f>[10]XX!D20/1000000</f>
        <v>0.16264234000000002</v>
      </c>
      <c r="E35" s="21">
        <f t="shared" si="18"/>
        <v>-50.957482280690314</v>
      </c>
      <c r="F35" s="21">
        <f t="shared" si="19"/>
        <v>7.4842643879798922E-3</v>
      </c>
      <c r="G35" s="21">
        <f>[10]XX!C20/1000000</f>
        <v>3.8900000000000002E-4</v>
      </c>
      <c r="H35" s="24">
        <f>[10]XX!E20/1000000</f>
        <v>3.7550000000000002E-4</v>
      </c>
      <c r="I35" s="21">
        <f t="shared" si="20"/>
        <v>-3.470437017994854</v>
      </c>
      <c r="J35" s="21">
        <f t="shared" si="21"/>
        <v>1.5284117745088189E-4</v>
      </c>
      <c r="K35" s="106"/>
    </row>
    <row r="36" spans="1:13" s="98" customFormat="1">
      <c r="A36" s="104"/>
      <c r="B36" s="128" t="str">
        <f>+[10]XX!A21</f>
        <v>Polonia</v>
      </c>
      <c r="C36" s="21">
        <f>[10]XX!B21/1000000</f>
        <v>1.3923317000000002</v>
      </c>
      <c r="D36" s="24">
        <f>[10]XX!D21/1000000</f>
        <v>1.2702735699999999</v>
      </c>
      <c r="E36" s="21">
        <f t="shared" si="18"/>
        <v>-8.7664548612949247</v>
      </c>
      <c r="F36" s="21">
        <f t="shared" si="19"/>
        <v>5.8453802638003607E-2</v>
      </c>
      <c r="G36" s="21">
        <f>[10]XX!C21/1000000</f>
        <v>0.13139796000000001</v>
      </c>
      <c r="H36" s="24">
        <f>[10]XX!E21/1000000</f>
        <v>0.14641179000000001</v>
      </c>
      <c r="I36" s="21">
        <f t="shared" si="20"/>
        <v>11.426227621798702</v>
      </c>
      <c r="J36" s="21">
        <f t="shared" si="21"/>
        <v>5.9594541614623853E-2</v>
      </c>
      <c r="K36" s="106"/>
    </row>
    <row r="37" spans="1:13" s="98" customFormat="1">
      <c r="A37" s="104"/>
      <c r="B37" s="128" t="str">
        <f>+[10]XX!A22</f>
        <v>Hungría</v>
      </c>
      <c r="C37" s="21">
        <f>[10]XX!B22/1000000</f>
        <v>0.33832125000000002</v>
      </c>
      <c r="D37" s="24">
        <f>[10]XX!D22/1000000</f>
        <v>0.21784780000000001</v>
      </c>
      <c r="E37" s="21">
        <f t="shared" ref="E37:E38" si="22">IF(OR(OR(D37=0,C37=0),D37=""),"",(D37/C37-1)*100)</f>
        <v>-35.60918801287238</v>
      </c>
      <c r="F37" s="21">
        <f t="shared" ref="F37:F38" si="23">(D37/D$13)*100</f>
        <v>1.0024637689913744E-2</v>
      </c>
      <c r="G37" s="21">
        <f>[10]XX!C22/1000000</f>
        <v>2.0847900000000003E-2</v>
      </c>
      <c r="H37" s="24">
        <f>[10]XX!E22/1000000</f>
        <v>3.6788500000000002E-2</v>
      </c>
      <c r="I37" s="21">
        <f t="shared" ref="I37:I38" si="24">IF(OR(OR(H37=0,G37=0),H37=""),"",(H37/G37-1)*100)</f>
        <v>76.46141817641103</v>
      </c>
      <c r="J37" s="21">
        <f t="shared" ref="J37:J38" si="25">(H37/H$13)*100</f>
        <v>1.4974161535690462E-2</v>
      </c>
      <c r="K37" s="106"/>
    </row>
    <row r="38" spans="1:13" s="98" customFormat="1">
      <c r="A38" s="104"/>
      <c r="B38" s="128" t="str">
        <f>+[10]XX!A23</f>
        <v>Dinamarca</v>
      </c>
      <c r="C38" s="21">
        <f>[10]XX!B23/1000000</f>
        <v>0.20543242</v>
      </c>
      <c r="D38" s="24">
        <f>[10]XX!D23/1000000</f>
        <v>0.10232401000000001</v>
      </c>
      <c r="E38" s="21">
        <f t="shared" si="22"/>
        <v>-50.190914364928375</v>
      </c>
      <c r="F38" s="21">
        <f t="shared" si="23"/>
        <v>4.7086136615981933E-3</v>
      </c>
      <c r="G38" s="21">
        <f>[10]XX!C23/1000000</f>
        <v>3.2079299999999999E-3</v>
      </c>
      <c r="H38" s="24">
        <f>[10]XX!E23/1000000</f>
        <v>1.4631260000000002E-2</v>
      </c>
      <c r="I38" s="21">
        <f t="shared" si="24"/>
        <v>356.09661058688948</v>
      </c>
      <c r="J38" s="21">
        <f t="shared" si="25"/>
        <v>5.955416793581865E-3</v>
      </c>
      <c r="K38" s="106"/>
    </row>
    <row r="39" spans="1:13" s="147" customFormat="1">
      <c r="A39" s="104"/>
      <c r="B39" s="128" t="str">
        <f>+[10]XX!A24</f>
        <v>Eslovenia</v>
      </c>
      <c r="C39" s="21">
        <f>[10]XX!B24/1000000</f>
        <v>8.8088540000000007E-2</v>
      </c>
      <c r="D39" s="24">
        <f>[10]XX!D24/1000000</f>
        <v>2.1047949999999996E-2</v>
      </c>
      <c r="E39" s="21">
        <f t="shared" ref="E39" si="26">IF(OR(OR(D39=0,C39=0),D39=""),"",(D39/C39-1)*100)</f>
        <v>-76.1059157070829</v>
      </c>
      <c r="F39" s="21">
        <f t="shared" ref="F39" si="27">(D39/D$13)*100</f>
        <v>9.6855728111745873E-4</v>
      </c>
      <c r="G39" s="21">
        <f>[10]XX!C24/1000000</f>
        <v>8.8400000000000002E-4</v>
      </c>
      <c r="H39" s="24">
        <f>[10]XX!E24/1000000</f>
        <v>0</v>
      </c>
      <c r="I39" s="21" t="str">
        <f t="shared" ref="I39" si="28">IF(OR(OR(H39=0,G39=0),H39=""),"",(H39/G39-1)*100)</f>
        <v/>
      </c>
      <c r="J39" s="21">
        <f t="shared" ref="J39" si="29">(H39/H$13)*100</f>
        <v>0</v>
      </c>
      <c r="K39" s="106"/>
    </row>
    <row r="40" spans="1:13" s="147" customFormat="1">
      <c r="A40" s="104"/>
      <c r="B40" s="128" t="str">
        <f>+[10]XX!A25</f>
        <v>Irlanda</v>
      </c>
      <c r="C40" s="21">
        <f>[10]XX!B25/1000000</f>
        <v>0.65320515999999995</v>
      </c>
      <c r="D40" s="24">
        <f>[10]XX!D25/1000000</f>
        <v>0.58880570999999993</v>
      </c>
      <c r="E40" s="21">
        <f t="shared" ref="E40:E41" si="30">IF(OR(OR(D40=0,C40=0),D40=""),"",(D40/C40-1)*100)</f>
        <v>-9.8589928469028028</v>
      </c>
      <c r="F40" s="21">
        <f t="shared" ref="F40:F41" si="31">(D40/D$13)*100</f>
        <v>2.7094897963176223E-2</v>
      </c>
      <c r="G40" s="21">
        <f>[10]XX!C25/1000000</f>
        <v>0.46811069999999994</v>
      </c>
      <c r="H40" s="24">
        <f>[10]XX!E25/1000000</f>
        <v>7.8136629999999999E-2</v>
      </c>
      <c r="I40" s="21">
        <f t="shared" ref="I40:I41" si="32">IF(OR(OR(H40=0,G40=0),H40=""),"",(H40/G40-1)*100)</f>
        <v>-83.308087168270234</v>
      </c>
      <c r="J40" s="21">
        <f t="shared" ref="J40:J41" si="33">(H40/H$13)*100</f>
        <v>3.1804246421421836E-2</v>
      </c>
      <c r="K40" s="106"/>
    </row>
    <row r="41" spans="1:13" s="147" customFormat="1">
      <c r="A41" s="104"/>
      <c r="B41" s="128" t="str">
        <f>+[10]XX!A26</f>
        <v>Luxemburgo</v>
      </c>
      <c r="C41" s="21">
        <f>[10]XX!B26/1000000</f>
        <v>1.35E-2</v>
      </c>
      <c r="D41" s="24">
        <f>[10]XX!D26/1000000</f>
        <v>0</v>
      </c>
      <c r="E41" s="21" t="str">
        <f t="shared" si="30"/>
        <v/>
      </c>
      <c r="F41" s="21">
        <f t="shared" si="31"/>
        <v>0</v>
      </c>
      <c r="G41" s="21">
        <f>[10]XX!C26/1000000</f>
        <v>0</v>
      </c>
      <c r="H41" s="24">
        <f>[10]XX!E26/1000000</f>
        <v>0</v>
      </c>
      <c r="I41" s="21" t="str">
        <f t="shared" si="32"/>
        <v/>
      </c>
      <c r="J41" s="21">
        <f t="shared" si="33"/>
        <v>0</v>
      </c>
      <c r="K41" s="106"/>
    </row>
    <row r="42" spans="1:13" s="147" customFormat="1">
      <c r="A42" s="104"/>
      <c r="B42" s="128" t="str">
        <f>+[10]XX!A27</f>
        <v>Estonia</v>
      </c>
      <c r="C42" s="21">
        <f>[10]XX!B27/1000000</f>
        <v>4.7118999999999998E-3</v>
      </c>
      <c r="D42" s="24">
        <f>[10]XX!D27/1000000</f>
        <v>1.428E-3</v>
      </c>
      <c r="E42" s="21">
        <f t="shared" ref="E42" si="34">IF(OR(OR(D42=0,C42=0),D42=""),"",(D42/C42-1)*100)</f>
        <v>-69.69375411192938</v>
      </c>
      <c r="F42" s="21">
        <f t="shared" ref="F42" si="35">(D42/D$13)*100</f>
        <v>6.5711853051519568E-5</v>
      </c>
      <c r="G42" s="21">
        <f>[10]XX!C27/1000000</f>
        <v>2.2014999999999999E-3</v>
      </c>
      <c r="H42" s="24">
        <f>[10]XX!E27/1000000</f>
        <v>0</v>
      </c>
      <c r="I42" s="21" t="str">
        <f t="shared" ref="I42" si="36">IF(OR(OR(H42=0,G42=0),H42=""),"",(H42/G42-1)*100)</f>
        <v/>
      </c>
      <c r="J42" s="21">
        <f t="shared" ref="J42" si="37">(H42/H$13)*100</f>
        <v>0</v>
      </c>
      <c r="K42" s="106"/>
    </row>
    <row r="43" spans="1:13" s="147" customFormat="1">
      <c r="A43" s="104"/>
      <c r="B43" s="128" t="str">
        <f>+[10]XX!A28</f>
        <v>Los demás</v>
      </c>
      <c r="C43" s="21">
        <f>[10]XX!B28/1000000</f>
        <v>164.13005785000018</v>
      </c>
      <c r="D43" s="24">
        <f>[10]XX!D28/1000000</f>
        <v>123.98908902999939</v>
      </c>
      <c r="E43" s="21">
        <f t="shared" ref="E43" si="38">IF(OR(OR(D43=0,C43=0),D43=""),"",(D43/C43-1)*100)</f>
        <v>-24.456805380941226</v>
      </c>
      <c r="F43" s="21">
        <f t="shared" ref="F43" si="39">(D43/D$13)*100</f>
        <v>5.7055691865063709</v>
      </c>
      <c r="G43" s="21">
        <f>[10]XX!C28/1000000</f>
        <v>17.187270080000012</v>
      </c>
      <c r="H43" s="24">
        <f>[10]XX!E28/1000000</f>
        <v>13.133165170000007</v>
      </c>
      <c r="I43" s="21">
        <f t="shared" ref="I43" si="40">IF(OR(OR(H43=0,G43=0),H43=""),"",(H43/G43-1)*100)</f>
        <v>-23.58783501469247</v>
      </c>
      <c r="J43" s="21">
        <f t="shared" ref="J43" si="41">(H43/H$13)*100</f>
        <v>5.3456416198128158</v>
      </c>
      <c r="K43" s="106"/>
    </row>
    <row r="44" spans="1:13">
      <c r="A44" s="14"/>
      <c r="B44" s="10" t="s">
        <v>28</v>
      </c>
      <c r="C44" s="24">
        <f>SUM(C17:C43)</f>
        <v>942.92935885000122</v>
      </c>
      <c r="D44" s="24">
        <f>SUM(D17:D43)</f>
        <v>681.54007594999916</v>
      </c>
      <c r="E44" s="24">
        <f t="shared" si="0"/>
        <v>-27.720982536676242</v>
      </c>
      <c r="F44" s="24">
        <f>(D44/D$13)*100</f>
        <v>31.362227814809408</v>
      </c>
      <c r="G44" s="24">
        <f t="shared" ref="G44:H44" si="42">SUM(G17:G43)</f>
        <v>115.20671427000002</v>
      </c>
      <c r="H44" s="24">
        <f t="shared" si="42"/>
        <v>80.199558749999994</v>
      </c>
      <c r="I44" s="24">
        <f t="shared" si="2"/>
        <v>-30.386384805625809</v>
      </c>
      <c r="J44" s="24">
        <f>(H44/H$13)*100</f>
        <v>32.643928070282755</v>
      </c>
      <c r="K44" s="16"/>
    </row>
    <row r="45" spans="1:13">
      <c r="A45" s="14"/>
      <c r="B45" s="9"/>
      <c r="C45" s="78"/>
      <c r="D45" s="78"/>
      <c r="E45" s="79"/>
      <c r="F45" s="79"/>
      <c r="G45" s="79"/>
      <c r="H45" s="79"/>
      <c r="I45" s="79"/>
      <c r="J45" s="79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7" t="s">
        <v>107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20"/>
      <c r="E52" s="20"/>
    </row>
    <row r="53" spans="1:11">
      <c r="B53" s="20"/>
      <c r="C53" s="20"/>
      <c r="D53" s="20"/>
      <c r="E5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4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4">
        <f>(H13/H$13)*100</f>
        <v>100</v>
      </c>
      <c r="K13" s="16"/>
    </row>
    <row r="14" spans="1:14">
      <c r="A14" s="14"/>
      <c r="B14" s="9" t="s">
        <v>25</v>
      </c>
      <c r="C14" s="21">
        <f>+'País de destino con Reducción'!C14</f>
        <v>1941.6302577400195</v>
      </c>
      <c r="D14" s="24">
        <f>+'País de destino con Reducción'!D14</f>
        <v>1985.2591026600089</v>
      </c>
      <c r="E14" s="21">
        <f t="shared" ref="E14" si="0">IF(OR(OR(D14=0,C14=0),D14=""),"",(D14/C14-1)*100)</f>
        <v>2.2470212722566218</v>
      </c>
      <c r="F14" s="21">
        <f t="shared" ref="F14" si="1">(D14/D$13)*100</f>
        <v>91.3550801282816</v>
      </c>
      <c r="G14" s="21">
        <f>+'País de destino con Reducción'!G14</f>
        <v>225.25665130000098</v>
      </c>
      <c r="H14" s="24">
        <f>+'País de destino con Reducción'!H14</f>
        <v>220.01017602999923</v>
      </c>
      <c r="I14" s="21">
        <f t="shared" ref="I14" si="2">IF(OR(OR(H14=0,G14=0),H14=""),"",(H14/G14-1)*100)</f>
        <v>-2.3291100350304017</v>
      </c>
      <c r="J14" s="21">
        <f t="shared" ref="J14" si="3">(H14/H$13)*100</f>
        <v>89.551569522239333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tr">
        <f>[11]XX!A2</f>
        <v>Estados Unidos</v>
      </c>
      <c r="C17" s="21">
        <f>[11]XX!B2/1000000</f>
        <v>595.80915368000103</v>
      </c>
      <c r="D17" s="24">
        <f>[11]XX!D2/1000000</f>
        <v>641.94223883000188</v>
      </c>
      <c r="E17" s="21">
        <f t="shared" ref="E17:E38" si="4">IF(OR(OR(D17=0,C17=0),D17=""),"",(D17/C17-1)*100)</f>
        <v>7.7429299071793301</v>
      </c>
      <c r="F17" s="21">
        <f t="shared" ref="F17:F38" si="5">(D17/D$13)*100</f>
        <v>29.540065872241293</v>
      </c>
      <c r="G17" s="21">
        <f>[11]XX!C2/1000000</f>
        <v>62.74318886000006</v>
      </c>
      <c r="H17" s="24">
        <f>[11]XX!E2/1000000</f>
        <v>66.676301970000026</v>
      </c>
      <c r="I17" s="21">
        <f t="shared" ref="I17:I35" si="6">IF(OR(OR(H17=0,G17=0),H17=""),"",(H17/G17-1)*100)</f>
        <v>6.268589756851517</v>
      </c>
      <c r="J17" s="21">
        <f t="shared" ref="J17:J38" si="7">(H17/H$13)*100</f>
        <v>27.139505995114138</v>
      </c>
      <c r="K17" s="16"/>
    </row>
    <row r="18" spans="1:11">
      <c r="A18" s="14"/>
      <c r="B18" s="9" t="str">
        <f>[11]XX!A3</f>
        <v>Ecuador</v>
      </c>
      <c r="C18" s="21">
        <f>[11]XX!B3/1000000</f>
        <v>286.08450397999979</v>
      </c>
      <c r="D18" s="24">
        <f>[11]XX!D3/1000000</f>
        <v>308.95850394000001</v>
      </c>
      <c r="E18" s="21">
        <f t="shared" si="4"/>
        <v>7.9955396541153911</v>
      </c>
      <c r="F18" s="21">
        <f t="shared" si="5"/>
        <v>14.217251967732922</v>
      </c>
      <c r="G18" s="21">
        <f>[11]XX!C3/1000000</f>
        <v>37.747173340000067</v>
      </c>
      <c r="H18" s="24">
        <f>[11]XX!E3/1000000</f>
        <v>34.065628050000022</v>
      </c>
      <c r="I18" s="21">
        <f t="shared" si="6"/>
        <v>-9.7531681560345422</v>
      </c>
      <c r="J18" s="21">
        <f t="shared" si="7"/>
        <v>13.86586072374379</v>
      </c>
      <c r="K18" s="16"/>
    </row>
    <row r="19" spans="1:11">
      <c r="A19" s="14"/>
      <c r="B19" s="9" t="str">
        <f>[11]XX!A4</f>
        <v>China</v>
      </c>
      <c r="C19" s="21">
        <f>[11]XX!B4/1000000</f>
        <v>35.417788809999983</v>
      </c>
      <c r="D19" s="24">
        <f>[11]XX!D4/1000000</f>
        <v>58.181000539999978</v>
      </c>
      <c r="E19" s="21">
        <f t="shared" si="4"/>
        <v>64.270561474388117</v>
      </c>
      <c r="F19" s="21">
        <f t="shared" si="5"/>
        <v>2.6772978696602658</v>
      </c>
      <c r="G19" s="21">
        <f>[11]XX!C4/1000000</f>
        <v>7.3422810600000021</v>
      </c>
      <c r="H19" s="24">
        <f>[11]XX!E4/1000000</f>
        <v>6.9070600599999983</v>
      </c>
      <c r="I19" s="21">
        <f t="shared" si="6"/>
        <v>-5.9275992902402379</v>
      </c>
      <c r="J19" s="21">
        <f t="shared" si="7"/>
        <v>2.8114066372685977</v>
      </c>
      <c r="K19" s="16"/>
    </row>
    <row r="20" spans="1:11">
      <c r="A20" s="14"/>
      <c r="B20" s="9" t="str">
        <f>[11]XX!A5</f>
        <v>Bolivia</v>
      </c>
      <c r="C20" s="21">
        <f>[11]XX!B5/1000000</f>
        <v>12.835377929999995</v>
      </c>
      <c r="D20" s="24">
        <f>[11]XX!D5/1000000</f>
        <v>27.624200940000016</v>
      </c>
      <c r="E20" s="21">
        <f t="shared" si="4"/>
        <v>115.21922525891708</v>
      </c>
      <c r="F20" s="21">
        <f t="shared" si="5"/>
        <v>1.2711746728535924</v>
      </c>
      <c r="G20" s="21">
        <f>[11]XX!C5/1000000</f>
        <v>1.9794262799999998</v>
      </c>
      <c r="H20" s="24">
        <f>[11]XX!E5/1000000</f>
        <v>1.9924215999999997</v>
      </c>
      <c r="I20" s="21">
        <f t="shared" si="6"/>
        <v>0.65651952443512851</v>
      </c>
      <c r="J20" s="21">
        <f t="shared" si="7"/>
        <v>0.8109828583823433</v>
      </c>
      <c r="K20" s="16"/>
    </row>
    <row r="21" spans="1:11">
      <c r="A21" s="14"/>
      <c r="B21" s="9" t="str">
        <f>[11]XX!A6</f>
        <v>Bélgica</v>
      </c>
      <c r="C21" s="21">
        <f>[11]XX!B6/1000000</f>
        <v>9.2661767800000057</v>
      </c>
      <c r="D21" s="24">
        <f>[11]XX!D6/1000000</f>
        <v>22.622802750000002</v>
      </c>
      <c r="E21" s="21">
        <f t="shared" si="4"/>
        <v>144.14387170800325</v>
      </c>
      <c r="F21" s="21">
        <f t="shared" si="5"/>
        <v>1.0410268136705272</v>
      </c>
      <c r="G21" s="21">
        <f>[11]XX!C6/1000000</f>
        <v>1.5211795799999999</v>
      </c>
      <c r="H21" s="24">
        <f>[11]XX!E6/1000000</f>
        <v>2.7027768599999997</v>
      </c>
      <c r="I21" s="21">
        <f t="shared" si="6"/>
        <v>77.67638321834427</v>
      </c>
      <c r="J21" s="21">
        <f t="shared" si="7"/>
        <v>1.1001214318758916</v>
      </c>
      <c r="K21" s="16"/>
    </row>
    <row r="22" spans="1:11">
      <c r="A22" s="14"/>
      <c r="B22" s="9" t="str">
        <f>[11]XX!A7</f>
        <v>México</v>
      </c>
      <c r="C22" s="21">
        <f>[11]XX!B7/1000000</f>
        <v>91.852578950000009</v>
      </c>
      <c r="D22" s="24">
        <f>[11]XX!D7/1000000</f>
        <v>104.92336379999979</v>
      </c>
      <c r="E22" s="21">
        <f t="shared" si="4"/>
        <v>14.230177311749582</v>
      </c>
      <c r="F22" s="21">
        <f t="shared" si="5"/>
        <v>4.8282273555299122</v>
      </c>
      <c r="G22" s="21">
        <f>[11]XX!C7/1000000</f>
        <v>11.588105840000004</v>
      </c>
      <c r="H22" s="24">
        <f>[11]XX!E7/1000000</f>
        <v>12.308471860000008</v>
      </c>
      <c r="I22" s="21">
        <f t="shared" si="6"/>
        <v>6.2164259625022922</v>
      </c>
      <c r="J22" s="21">
        <f t="shared" si="7"/>
        <v>5.0099635997428695</v>
      </c>
      <c r="K22" s="16"/>
    </row>
    <row r="23" spans="1:11">
      <c r="A23" s="14"/>
      <c r="B23" s="9" t="str">
        <f>[11]XX!A8</f>
        <v>Alemania</v>
      </c>
      <c r="C23" s="21">
        <f>[11]XX!B8/1000000</f>
        <v>19.053712830000002</v>
      </c>
      <c r="D23" s="24">
        <f>[11]XX!D8/1000000</f>
        <v>27.564672880000028</v>
      </c>
      <c r="E23" s="21">
        <f t="shared" si="4"/>
        <v>44.66824983632349</v>
      </c>
      <c r="F23" s="21">
        <f t="shared" si="5"/>
        <v>1.2684353877477372</v>
      </c>
      <c r="G23" s="21">
        <f>[11]XX!C8/1000000</f>
        <v>2.6709838100000001</v>
      </c>
      <c r="H23" s="24">
        <f>[11]XX!E8/1000000</f>
        <v>3.9020483599999984</v>
      </c>
      <c r="I23" s="21">
        <f t="shared" si="6"/>
        <v>46.09030370723206</v>
      </c>
      <c r="J23" s="21">
        <f t="shared" si="7"/>
        <v>1.5882654216050129</v>
      </c>
      <c r="K23" s="16"/>
    </row>
    <row r="24" spans="1:11">
      <c r="A24" s="14"/>
      <c r="B24" s="9" t="str">
        <f>[11]XX!A9</f>
        <v>Argentina</v>
      </c>
      <c r="C24" s="21">
        <f>[11]XX!B9/1000000</f>
        <v>13.253070309999998</v>
      </c>
      <c r="D24" s="24">
        <f>[11]XX!D9/1000000</f>
        <v>21.247755309999999</v>
      </c>
      <c r="E24" s="21">
        <f t="shared" si="4"/>
        <v>60.323267084516075</v>
      </c>
      <c r="F24" s="21">
        <f t="shared" si="5"/>
        <v>0.97775166288891069</v>
      </c>
      <c r="G24" s="21">
        <f>[11]XX!C9/1000000</f>
        <v>1.5883003000000002</v>
      </c>
      <c r="H24" s="24">
        <f>[11]XX!E9/1000000</f>
        <v>1.9320935800000001</v>
      </c>
      <c r="I24" s="21">
        <f t="shared" si="6"/>
        <v>21.645357619084994</v>
      </c>
      <c r="J24" s="21">
        <f t="shared" si="7"/>
        <v>0.78642731747667027</v>
      </c>
      <c r="K24" s="16"/>
    </row>
    <row r="25" spans="1:11">
      <c r="A25" s="14"/>
      <c r="B25" s="9" t="str">
        <f>[11]XX!A10</f>
        <v>Chile</v>
      </c>
      <c r="C25" s="21">
        <f>[11]XX!B10/1000000</f>
        <v>53.34031621000004</v>
      </c>
      <c r="D25" s="24">
        <f>[11]XX!D10/1000000</f>
        <v>55.309268360000061</v>
      </c>
      <c r="E25" s="21">
        <f t="shared" si="4"/>
        <v>3.6913019830034033</v>
      </c>
      <c r="F25" s="21">
        <f t="shared" si="5"/>
        <v>2.5451502204897656</v>
      </c>
      <c r="G25" s="21">
        <f>[11]XX!C10/1000000</f>
        <v>7.582367879999997</v>
      </c>
      <c r="H25" s="24">
        <f>[11]XX!E10/1000000</f>
        <v>7.3585153599999984</v>
      </c>
      <c r="I25" s="21">
        <f t="shared" si="6"/>
        <v>-2.9522772245126006</v>
      </c>
      <c r="J25" s="21">
        <f t="shared" si="7"/>
        <v>2.9951641861858844</v>
      </c>
      <c r="K25" s="16"/>
    </row>
    <row r="26" spans="1:11">
      <c r="A26" s="14"/>
      <c r="B26" s="9" t="str">
        <f>[11]XX!A11</f>
        <v>Reino Unido</v>
      </c>
      <c r="C26" s="21">
        <f>[11]XX!B11/1000000</f>
        <v>21.704087850000008</v>
      </c>
      <c r="D26" s="24">
        <f>[11]XX!D11/1000000</f>
        <v>23.491954739999947</v>
      </c>
      <c r="E26" s="21">
        <f t="shared" si="4"/>
        <v>8.2374661508750613</v>
      </c>
      <c r="F26" s="21">
        <f t="shared" si="5"/>
        <v>1.0810223233668244</v>
      </c>
      <c r="G26" s="21">
        <f>[11]XX!C11/1000000</f>
        <v>2.7948633000000003</v>
      </c>
      <c r="H26" s="24">
        <f>[11]XX!E11/1000000</f>
        <v>2.7729587400000018</v>
      </c>
      <c r="I26" s="21">
        <f t="shared" si="6"/>
        <v>-0.78374351976350232</v>
      </c>
      <c r="J26" s="21">
        <f t="shared" si="7"/>
        <v>1.1286878264828604</v>
      </c>
      <c r="K26" s="16"/>
    </row>
    <row r="27" spans="1:11">
      <c r="A27" s="14"/>
      <c r="B27" s="9" t="str">
        <f>[11]XX!A12</f>
        <v>Suecia</v>
      </c>
      <c r="C27" s="21">
        <f>[11]XX!B12/1000000</f>
        <v>4.3244652099999996</v>
      </c>
      <c r="D27" s="24">
        <f>[11]XX!D12/1000000</f>
        <v>4.9797499499999951</v>
      </c>
      <c r="E27" s="21">
        <f t="shared" si="4"/>
        <v>15.152965931711027</v>
      </c>
      <c r="F27" s="21">
        <f t="shared" si="5"/>
        <v>0.22915167853481208</v>
      </c>
      <c r="G27" s="21">
        <f>[11]XX!C12/1000000</f>
        <v>0.60496006000000013</v>
      </c>
      <c r="H27" s="24">
        <f>[11]XX!E12/1000000</f>
        <v>0.2753332</v>
      </c>
      <c r="I27" s="21">
        <f t="shared" si="6"/>
        <v>-54.487375579802745</v>
      </c>
      <c r="J27" s="21">
        <f t="shared" si="7"/>
        <v>0.11206990806742784</v>
      </c>
      <c r="K27" s="16"/>
    </row>
    <row r="28" spans="1:11">
      <c r="A28" s="14"/>
      <c r="B28" s="9" t="str">
        <f>[11]XX!A13</f>
        <v>Paraguay</v>
      </c>
      <c r="C28" s="21">
        <f>[11]XX!B13/1000000</f>
        <v>2.4023439699999991</v>
      </c>
      <c r="D28" s="24">
        <f>[11]XX!D13/1000000</f>
        <v>2.9889461699999984</v>
      </c>
      <c r="E28" s="21">
        <f t="shared" si="4"/>
        <v>24.41791047932238</v>
      </c>
      <c r="F28" s="21">
        <f t="shared" si="5"/>
        <v>0.13754145063161213</v>
      </c>
      <c r="G28" s="21">
        <f>[11]XX!C13/1000000</f>
        <v>0.35519828000000003</v>
      </c>
      <c r="H28" s="24">
        <f>[11]XX!E13/1000000</f>
        <v>0.79777689999999979</v>
      </c>
      <c r="I28" s="21">
        <f t="shared" si="6"/>
        <v>124.60044006969846</v>
      </c>
      <c r="J28" s="21">
        <f t="shared" si="7"/>
        <v>0.32472213246102372</v>
      </c>
      <c r="K28" s="16"/>
    </row>
    <row r="29" spans="1:11">
      <c r="A29" s="14"/>
      <c r="B29" s="9" t="str">
        <f>[11]XX!A14</f>
        <v>Uruguay</v>
      </c>
      <c r="C29" s="21">
        <f>[11]XX!B14/1000000</f>
        <v>1.6239489600000003</v>
      </c>
      <c r="D29" s="24">
        <f>[11]XX!D14/1000000</f>
        <v>2.2072982499999991</v>
      </c>
      <c r="E29" s="21">
        <f t="shared" si="4"/>
        <v>35.921651749448991</v>
      </c>
      <c r="F29" s="21">
        <f t="shared" si="5"/>
        <v>0.10157258980733631</v>
      </c>
      <c r="G29" s="21">
        <f>[11]XX!C14/1000000</f>
        <v>0.10054578999999998</v>
      </c>
      <c r="H29" s="24">
        <f>[11]XX!E14/1000000</f>
        <v>0.18326051000000002</v>
      </c>
      <c r="I29" s="21">
        <f t="shared" si="6"/>
        <v>82.265721916352803</v>
      </c>
      <c r="J29" s="21">
        <f t="shared" si="7"/>
        <v>7.4593214723433068E-2</v>
      </c>
      <c r="K29" s="16"/>
    </row>
    <row r="30" spans="1:11">
      <c r="A30" s="14"/>
      <c r="B30" s="9" t="str">
        <f>[11]XX!A15</f>
        <v>Rumania</v>
      </c>
      <c r="C30" s="21">
        <f>[11]XX!B15/1000000</f>
        <v>1.03749997</v>
      </c>
      <c r="D30" s="24">
        <f>[11]XX!D15/1000000</f>
        <v>1.5446863099999999</v>
      </c>
      <c r="E30" s="21">
        <f t="shared" si="4"/>
        <v>48.88543177500042</v>
      </c>
      <c r="F30" s="21">
        <f t="shared" si="5"/>
        <v>7.1081372418357144E-2</v>
      </c>
      <c r="G30" s="21">
        <f>[11]XX!C15/1000000</f>
        <v>0.37068128</v>
      </c>
      <c r="H30" s="24">
        <f>[11]XX!E15/1000000</f>
        <v>0.24948996999999998</v>
      </c>
      <c r="I30" s="21">
        <f t="shared" si="6"/>
        <v>-32.69420835063481</v>
      </c>
      <c r="J30" s="21">
        <f t="shared" si="7"/>
        <v>0.10155084095069293</v>
      </c>
      <c r="K30" s="16"/>
    </row>
    <row r="31" spans="1:11">
      <c r="A31" s="14"/>
      <c r="B31" s="9" t="str">
        <f>[11]XX!A16</f>
        <v>Finlandia</v>
      </c>
      <c r="C31" s="21">
        <f>[11]XX!B16/1000000</f>
        <v>1.1421704000000004</v>
      </c>
      <c r="D31" s="24">
        <f>[11]XX!D16/1000000</f>
        <v>1.4143849499999999</v>
      </c>
      <c r="E31" s="21">
        <f t="shared" si="4"/>
        <v>23.833094431443811</v>
      </c>
      <c r="F31" s="21">
        <f t="shared" si="5"/>
        <v>6.5085333328207873E-2</v>
      </c>
      <c r="G31" s="21">
        <f>[11]XX!C16/1000000</f>
        <v>0.38455907999999994</v>
      </c>
      <c r="H31" s="24">
        <f>[11]XX!E16/1000000</f>
        <v>0.37874222000000007</v>
      </c>
      <c r="I31" s="21">
        <f t="shared" si="6"/>
        <v>-1.5126050332759933</v>
      </c>
      <c r="J31" s="21">
        <f t="shared" si="7"/>
        <v>0.15416087045315832</v>
      </c>
      <c r="K31" s="16"/>
    </row>
    <row r="32" spans="1:11">
      <c r="A32" s="14"/>
      <c r="B32" s="9" t="str">
        <f>[11]XX!A17</f>
        <v>Malta</v>
      </c>
      <c r="C32" s="21">
        <f>[11]XX!B17/1000000</f>
        <v>0</v>
      </c>
      <c r="D32" s="24">
        <f>[11]XX!D17/1000000</f>
        <v>8.7096389999999996E-2</v>
      </c>
      <c r="E32" s="21" t="str">
        <f t="shared" si="4"/>
        <v/>
      </c>
      <c r="F32" s="21">
        <f t="shared" si="5"/>
        <v>4.0078887822113714E-3</v>
      </c>
      <c r="G32" s="21">
        <f>[11]XX!C17/1000000</f>
        <v>0</v>
      </c>
      <c r="H32" s="24">
        <f>[11]XX!E17/1000000</f>
        <v>0</v>
      </c>
      <c r="I32" s="21" t="str">
        <f t="shared" si="6"/>
        <v/>
      </c>
      <c r="J32" s="21">
        <f t="shared" si="7"/>
        <v>0</v>
      </c>
      <c r="K32" s="16"/>
    </row>
    <row r="33" spans="1:13">
      <c r="A33" s="14"/>
      <c r="B33" s="9" t="str">
        <f>[11]XX!A18</f>
        <v>Austria</v>
      </c>
      <c r="C33" s="21">
        <f>[11]XX!B18/1000000</f>
        <v>0.50989050999999996</v>
      </c>
      <c r="D33" s="24">
        <f>[11]XX!D18/1000000</f>
        <v>0.57824066000000029</v>
      </c>
      <c r="E33" s="21">
        <f t="shared" si="4"/>
        <v>13.40486803725771</v>
      </c>
      <c r="F33" s="21">
        <f t="shared" si="5"/>
        <v>2.6608729186508199E-2</v>
      </c>
      <c r="G33" s="21">
        <f>[11]XX!C18/1000000</f>
        <v>6.515688E-2</v>
      </c>
      <c r="H33" s="24">
        <f>[11]XX!E18/1000000</f>
        <v>0.13378039999999999</v>
      </c>
      <c r="I33" s="21">
        <f t="shared" si="6"/>
        <v>105.3204511941026</v>
      </c>
      <c r="J33" s="21">
        <f t="shared" si="7"/>
        <v>5.4453139429693626E-2</v>
      </c>
      <c r="K33" s="16"/>
    </row>
    <row r="34" spans="1:13">
      <c r="A34" s="14"/>
      <c r="B34" s="9" t="str">
        <f>[11]XX!A19</f>
        <v>Suiza</v>
      </c>
      <c r="C34" s="21">
        <f>[11]XX!B19/1000000</f>
        <v>1.5443225300000003</v>
      </c>
      <c r="D34" s="24">
        <f>[11]XX!D19/1000000</f>
        <v>1.5868162899999989</v>
      </c>
      <c r="E34" s="21">
        <f t="shared" si="4"/>
        <v>2.751611737478088</v>
      </c>
      <c r="F34" s="21">
        <f t="shared" si="5"/>
        <v>7.3020055229858119E-2</v>
      </c>
      <c r="G34" s="21">
        <f>[11]XX!C19/1000000</f>
        <v>0.10671630999999999</v>
      </c>
      <c r="H34" s="24">
        <f>[11]XX!E19/1000000</f>
        <v>0.12479803000000002</v>
      </c>
      <c r="I34" s="21">
        <f t="shared" si="6"/>
        <v>16.943726783656608</v>
      </c>
      <c r="J34" s="21">
        <f t="shared" si="7"/>
        <v>5.0797011581226313E-2</v>
      </c>
      <c r="K34" s="16"/>
    </row>
    <row r="35" spans="1:13">
      <c r="A35" s="14"/>
      <c r="B35" s="9" t="str">
        <f>[11]XX!A20</f>
        <v>Letonia</v>
      </c>
      <c r="C35" s="21">
        <f>[11]XX!B20/1000000</f>
        <v>6.7612829999999999E-2</v>
      </c>
      <c r="D35" s="24">
        <f>[11]XX!D20/1000000</f>
        <v>9.8246480000000011E-2</v>
      </c>
      <c r="E35" s="21">
        <f t="shared" si="4"/>
        <v>45.307451263317944</v>
      </c>
      <c r="F35" s="21">
        <f t="shared" si="5"/>
        <v>4.5209791712808528E-3</v>
      </c>
      <c r="G35" s="21">
        <f>[11]XX!C20/1000000</f>
        <v>0</v>
      </c>
      <c r="H35" s="24">
        <f>[11]XX!E20/1000000</f>
        <v>0</v>
      </c>
      <c r="I35" s="21" t="str">
        <f t="shared" si="6"/>
        <v/>
      </c>
      <c r="J35" s="21">
        <f t="shared" si="7"/>
        <v>0</v>
      </c>
      <c r="K35" s="16"/>
    </row>
    <row r="36" spans="1:13" s="147" customFormat="1">
      <c r="A36" s="104"/>
      <c r="B36" s="128" t="str">
        <f>[11]XX!A21</f>
        <v>Chipre</v>
      </c>
      <c r="C36" s="21">
        <f>[11]XX!B21/1000000</f>
        <v>2.5911999999999997E-3</v>
      </c>
      <c r="D36" s="24">
        <f>[11]XX!D21/1000000</f>
        <v>5.0850000000000001E-3</v>
      </c>
      <c r="E36" s="21">
        <f t="shared" ref="E36:E37" si="8">IF(OR(OR(D36=0,C36=0),D36=""),"",(D36/C36-1)*100)</f>
        <v>96.241123803643134</v>
      </c>
      <c r="F36" s="21">
        <f t="shared" ref="F36:F37" si="9">(D36/D$13)*100</f>
        <v>2.3399493891244891E-4</v>
      </c>
      <c r="G36" s="21">
        <f>[11]XX!C21/1000000</f>
        <v>0</v>
      </c>
      <c r="H36" s="24">
        <f>[11]XX!E21/1000000</f>
        <v>0</v>
      </c>
      <c r="I36" s="21" t="str">
        <f t="shared" ref="I36:I37" si="10">IF(OR(OR(H36=0,G36=0),H36=""),"",(H36/G36-1)*100)</f>
        <v/>
      </c>
      <c r="J36" s="21">
        <f t="shared" ref="J36:J37" si="11">(H36/H$13)*100</f>
        <v>0</v>
      </c>
      <c r="K36" s="106"/>
    </row>
    <row r="37" spans="1:13" s="147" customFormat="1">
      <c r="A37" s="104"/>
      <c r="B37" s="128" t="str">
        <f>[11]XX!A22</f>
        <v>Los demás</v>
      </c>
      <c r="C37" s="21">
        <f>[11]XX!B22/1000000</f>
        <v>143.43518498000026</v>
      </c>
      <c r="D37" s="24">
        <f>[11]XX!D22/1000000</f>
        <v>184.22753616999992</v>
      </c>
      <c r="E37" s="21">
        <f t="shared" si="8"/>
        <v>28.439570943271342</v>
      </c>
      <c r="F37" s="21">
        <f t="shared" si="9"/>
        <v>8.477543966979372</v>
      </c>
      <c r="G37" s="21">
        <f>[11]XX!C22/1000000</f>
        <v>16.552078100000003</v>
      </c>
      <c r="H37" s="24">
        <f>[11]XX!E22/1000000</f>
        <v>22.718849609999953</v>
      </c>
      <c r="I37" s="21">
        <f t="shared" si="10"/>
        <v>37.256781128890083</v>
      </c>
      <c r="J37" s="21">
        <f t="shared" si="11"/>
        <v>9.2473388141728403</v>
      </c>
      <c r="K37" s="106"/>
    </row>
    <row r="38" spans="1:13">
      <c r="A38" s="14"/>
      <c r="B38" s="10" t="s">
        <v>28</v>
      </c>
      <c r="C38" s="24">
        <f>SUM(C17:C37)</f>
        <v>1294.7067978900013</v>
      </c>
      <c r="D38" s="24">
        <f>SUM(D17:D37)</f>
        <v>1491.5838487100013</v>
      </c>
      <c r="E38" s="24">
        <f t="shared" si="4"/>
        <v>15.206303940077625</v>
      </c>
      <c r="F38" s="24">
        <f t="shared" si="5"/>
        <v>68.637772185190201</v>
      </c>
      <c r="G38" s="24">
        <f>SUM(G17:G37)</f>
        <v>156.09776603000017</v>
      </c>
      <c r="H38" s="24">
        <f>SUM(H17:H37)</f>
        <v>165.48030728000003</v>
      </c>
      <c r="I38" s="24">
        <f>IF(OR(OR(H38=0,G38=0),H38=""),"",(H38/G38-1)*100)</f>
        <v>6.0106825924700624</v>
      </c>
      <c r="J38" s="24">
        <f t="shared" si="7"/>
        <v>67.356071929717558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tr">
        <f>IF(F39="","",1)</f>
        <v/>
      </c>
    </row>
    <row r="40" spans="1:1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110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06"/>
    </row>
    <row r="14" spans="1:14">
      <c r="A14" s="104"/>
      <c r="B14" s="128" t="str">
        <f>+[8]Centroamerica!B2</f>
        <v>Panamá</v>
      </c>
      <c r="C14" s="21">
        <f>+[8]Centroamerica!D2</f>
        <v>106.07855451000017</v>
      </c>
      <c r="D14" s="24">
        <f>+[8]Centroamerica!F2</f>
        <v>110.34383043000048</v>
      </c>
      <c r="E14" s="21">
        <f t="shared" ref="E14:E34" si="0">IF(OR(OR(D14=0,C14=0),D14=""),"",(D14/C14-1)*100)</f>
        <v>4.0208654234614505</v>
      </c>
      <c r="F14" s="21">
        <f t="shared" ref="F14:F34" si="1">(D14/D$13)*100</f>
        <v>5.0776593629957878</v>
      </c>
      <c r="G14" s="21">
        <f>+[8]Centroamerica!E2</f>
        <v>12.20041635999999</v>
      </c>
      <c r="H14" s="24">
        <f>+[8]Centroamerica!G2</f>
        <v>15.193677709999999</v>
      </c>
      <c r="I14" s="21">
        <f t="shared" ref="I14:I34" si="2">IF(OR(OR(H14=0,G14=0),H14=""),"",(H14/G14-1)*100)</f>
        <v>24.534091802093315</v>
      </c>
      <c r="J14" s="21">
        <f>(H14/H$13)*100</f>
        <v>6.1843397896288108</v>
      </c>
      <c r="K14" s="106"/>
    </row>
    <row r="15" spans="1:14">
      <c r="A15" s="104"/>
      <c r="B15" s="128" t="str">
        <f>+[8]Centroamerica!B3</f>
        <v>México</v>
      </c>
      <c r="C15" s="21">
        <f>+[8]Centroamerica!D3</f>
        <v>91.852578950000677</v>
      </c>
      <c r="D15" s="24">
        <f>+[8]Centroamerica!F3</f>
        <v>104.92336379999975</v>
      </c>
      <c r="E15" s="21">
        <f t="shared" si="0"/>
        <v>14.230177311748715</v>
      </c>
      <c r="F15" s="21">
        <f>(D15/D$13)*100</f>
        <v>4.8282273555299104</v>
      </c>
      <c r="G15" s="21">
        <f>+[8]Centroamerica!E3</f>
        <v>11.588105840000003</v>
      </c>
      <c r="H15" s="24">
        <f>+[8]Centroamerica!G3</f>
        <v>12.308471860000022</v>
      </c>
      <c r="I15" s="21">
        <f t="shared" si="2"/>
        <v>6.2164259625024254</v>
      </c>
      <c r="J15" s="21">
        <f t="shared" ref="J15:J34" si="3">(H15/H$13)*100</f>
        <v>5.0099635997428749</v>
      </c>
      <c r="K15" s="106"/>
    </row>
    <row r="16" spans="1:14">
      <c r="A16" s="104" t="s">
        <v>66</v>
      </c>
      <c r="B16" s="128" t="str">
        <f>+[8]Centroamerica!B4</f>
        <v>Costa Rica</v>
      </c>
      <c r="C16" s="21">
        <f>+[8]Centroamerica!D4</f>
        <v>33.129723450000128</v>
      </c>
      <c r="D16" s="24">
        <f>+[8]Centroamerica!F4</f>
        <v>31.198238350000047</v>
      </c>
      <c r="E16" s="21">
        <f t="shared" si="0"/>
        <v>-5.8300670783295487</v>
      </c>
      <c r="F16" s="21">
        <f t="shared" si="1"/>
        <v>1.4356400937825529</v>
      </c>
      <c r="G16" s="21">
        <f>+[8]Centroamerica!E4</f>
        <v>4.0357067200000012</v>
      </c>
      <c r="H16" s="24">
        <f>+[8]Centroamerica!G4</f>
        <v>3.2299763900000023</v>
      </c>
      <c r="I16" s="21">
        <f t="shared" si="2"/>
        <v>-19.965036755693653</v>
      </c>
      <c r="J16" s="21">
        <f t="shared" si="3"/>
        <v>1.3147094396435399</v>
      </c>
      <c r="K16" s="106"/>
    </row>
    <row r="17" spans="1:11">
      <c r="A17" s="104" t="s">
        <v>66</v>
      </c>
      <c r="B17" s="128" t="str">
        <f>+[8]Centroamerica!B5</f>
        <v>Guatemala</v>
      </c>
      <c r="C17" s="21">
        <f>+[8]Centroamerica!D5</f>
        <v>31.930954500000016</v>
      </c>
      <c r="D17" s="24">
        <f>+[8]Centroamerica!F5</f>
        <v>29.166605039999933</v>
      </c>
      <c r="E17" s="21">
        <f t="shared" si="0"/>
        <v>-8.6572716139759702</v>
      </c>
      <c r="F17" s="21">
        <f t="shared" si="1"/>
        <v>1.3421510254903262</v>
      </c>
      <c r="G17" s="21">
        <f>+[8]Centroamerica!E5</f>
        <v>4.3465244900000011</v>
      </c>
      <c r="H17" s="24">
        <f>+[8]Centroamerica!G5</f>
        <v>3.0242321299999988</v>
      </c>
      <c r="I17" s="21">
        <f t="shared" si="2"/>
        <v>-30.421831581581682</v>
      </c>
      <c r="J17" s="21">
        <f t="shared" si="3"/>
        <v>1.2309645795845228</v>
      </c>
      <c r="K17" s="106"/>
    </row>
    <row r="18" spans="1:11">
      <c r="A18" s="104" t="s">
        <v>66</v>
      </c>
      <c r="B18" s="128" t="str">
        <f>+[8]Centroamerica!B6</f>
        <v>República Dominicana</v>
      </c>
      <c r="C18" s="21">
        <f>+[8]Centroamerica!D6</f>
        <v>29.922940760000063</v>
      </c>
      <c r="D18" s="24">
        <f>+[8]Centroamerica!F6</f>
        <v>26.447288320000006</v>
      </c>
      <c r="E18" s="21">
        <f t="shared" si="0"/>
        <v>-11.61534378548177</v>
      </c>
      <c r="F18" s="21">
        <f t="shared" si="1"/>
        <v>1.2170170333998671</v>
      </c>
      <c r="G18" s="21">
        <f>+[8]Centroamerica!E6</f>
        <v>2.890993050000001</v>
      </c>
      <c r="H18" s="24">
        <f>+[8]Centroamerica!G6</f>
        <v>2.840484889999999</v>
      </c>
      <c r="I18" s="21">
        <f t="shared" si="2"/>
        <v>-1.7470868703749365</v>
      </c>
      <c r="J18" s="21">
        <f t="shared" si="3"/>
        <v>1.156173249318345</v>
      </c>
      <c r="K18" s="106"/>
    </row>
    <row r="19" spans="1:11">
      <c r="A19" s="104"/>
      <c r="B19" s="128" t="str">
        <f>+[8]Centroamerica!B7</f>
        <v>Honduras</v>
      </c>
      <c r="C19" s="21">
        <f>+[8]Centroamerica!D7</f>
        <v>13.454594240000029</v>
      </c>
      <c r="D19" s="24">
        <f>+[8]Centroamerica!F7</f>
        <v>10.303371119999989</v>
      </c>
      <c r="E19" s="21">
        <f t="shared" si="0"/>
        <v>-23.421167995030025</v>
      </c>
      <c r="F19" s="21">
        <f t="shared" si="1"/>
        <v>0.47412717715175762</v>
      </c>
      <c r="G19" s="21">
        <f>+[8]Centroamerica!E7</f>
        <v>1.4146548700000008</v>
      </c>
      <c r="H19" s="24">
        <f>+[8]Centroamerica!G7</f>
        <v>1.5178032700000006</v>
      </c>
      <c r="I19" s="21">
        <f t="shared" si="2"/>
        <v>7.291418012083728</v>
      </c>
      <c r="J19" s="21">
        <f t="shared" si="3"/>
        <v>0.61779717423594904</v>
      </c>
      <c r="K19" s="106"/>
    </row>
    <row r="20" spans="1:11">
      <c r="A20" s="104" t="s">
        <v>66</v>
      </c>
      <c r="B20" s="128" t="str">
        <f>+[8]Centroamerica!B8</f>
        <v>El Salvador</v>
      </c>
      <c r="C20" s="21">
        <f>+[8]Centroamerica!D8</f>
        <v>7.1727435799999988</v>
      </c>
      <c r="D20" s="24">
        <f>+[8]Centroamerica!F8</f>
        <v>9.3181658500000033</v>
      </c>
      <c r="E20" s="21">
        <f t="shared" si="0"/>
        <v>29.91076212430286</v>
      </c>
      <c r="F20" s="21">
        <f t="shared" si="1"/>
        <v>0.42879127804263883</v>
      </c>
      <c r="G20" s="21">
        <f>+[8]Centroamerica!E8</f>
        <v>0.91098862999999997</v>
      </c>
      <c r="H20" s="24">
        <f>+[8]Centroamerica!G8</f>
        <v>0.73967935999999945</v>
      </c>
      <c r="I20" s="21">
        <f t="shared" si="2"/>
        <v>-18.804764884936109</v>
      </c>
      <c r="J20" s="21">
        <f t="shared" si="3"/>
        <v>0.30107447221974609</v>
      </c>
      <c r="K20" s="106"/>
    </row>
    <row r="21" spans="1:11">
      <c r="A21" s="104" t="s">
        <v>66</v>
      </c>
      <c r="B21" s="128" t="str">
        <f>+[8]Centroamerica!B9</f>
        <v>Cuba</v>
      </c>
      <c r="C21" s="21">
        <f>+[8]Centroamerica!D9</f>
        <v>5.0910599900000006</v>
      </c>
      <c r="D21" s="24">
        <f>+[8]Centroamerica!F9</f>
        <v>4.8104917000000027</v>
      </c>
      <c r="E21" s="21">
        <f t="shared" si="0"/>
        <v>-5.5109994883403068</v>
      </c>
      <c r="F21" s="21">
        <f t="shared" si="1"/>
        <v>0.22136297177587869</v>
      </c>
      <c r="G21" s="21">
        <f>+[8]Centroamerica!E9</f>
        <v>1.0060040100000001</v>
      </c>
      <c r="H21" s="24">
        <f>+[8]Centroamerica!G9</f>
        <v>0.30203499999999994</v>
      </c>
      <c r="I21" s="21">
        <f t="shared" si="2"/>
        <v>-69.976759834187945</v>
      </c>
      <c r="J21" s="21">
        <f t="shared" si="3"/>
        <v>0.12293844216079121</v>
      </c>
      <c r="K21" s="106"/>
    </row>
    <row r="22" spans="1:11">
      <c r="A22" s="104" t="s">
        <v>66</v>
      </c>
      <c r="B22" s="128" t="str">
        <f>+[8]Centroamerica!B10</f>
        <v>Nicaragua</v>
      </c>
      <c r="C22" s="21">
        <f>+[8]Centroamerica!D10</f>
        <v>3.1587923399999971</v>
      </c>
      <c r="D22" s="24">
        <f>+[8]Centroamerica!F10</f>
        <v>3.0474041899999995</v>
      </c>
      <c r="E22" s="21">
        <f t="shared" si="0"/>
        <v>-3.5262891007263097</v>
      </c>
      <c r="F22" s="21">
        <f t="shared" si="1"/>
        <v>0.14023149602371499</v>
      </c>
      <c r="G22" s="21">
        <f>+[8]Centroamerica!E10</f>
        <v>0.3059427999999999</v>
      </c>
      <c r="H22" s="24">
        <f>+[8]Centroamerica!G10</f>
        <v>0.36587109000000007</v>
      </c>
      <c r="I22" s="21">
        <f t="shared" si="2"/>
        <v>19.588070057540218</v>
      </c>
      <c r="J22" s="21">
        <f t="shared" si="3"/>
        <v>0.14892188599424125</v>
      </c>
      <c r="K22" s="106"/>
    </row>
    <row r="23" spans="1:11">
      <c r="A23" s="104" t="s">
        <v>66</v>
      </c>
      <c r="B23" s="128" t="str">
        <f>+[8]Centroamerica!B11</f>
        <v>Jamaica</v>
      </c>
      <c r="C23" s="21">
        <f>+[8]Centroamerica!D11</f>
        <v>1.9003620100000007</v>
      </c>
      <c r="D23" s="24">
        <f>+[8]Centroamerica!F11</f>
        <v>1.5487871799999997</v>
      </c>
      <c r="E23" s="21">
        <f t="shared" si="0"/>
        <v>-18.500413508055814</v>
      </c>
      <c r="F23" s="21">
        <f t="shared" si="1"/>
        <v>7.1270080938541577E-2</v>
      </c>
      <c r="G23" s="21">
        <f>+[8]Centroamerica!E11</f>
        <v>0.27732997000000004</v>
      </c>
      <c r="H23" s="24">
        <f>+[8]Centroamerica!G11</f>
        <v>7.0335140000000004E-2</v>
      </c>
      <c r="I23" s="21">
        <f t="shared" si="2"/>
        <v>-74.638464065026938</v>
      </c>
      <c r="J23" s="21">
        <f t="shared" si="3"/>
        <v>2.8628776601258645E-2</v>
      </c>
      <c r="K23" s="106"/>
    </row>
    <row r="24" spans="1:11">
      <c r="A24" s="104" t="s">
        <v>66</v>
      </c>
      <c r="B24" s="128" t="str">
        <f>+[8]Centroamerica!B12</f>
        <v>Haiti</v>
      </c>
      <c r="C24" s="21">
        <f>+[8]Centroamerica!D12</f>
        <v>0.57395091000000009</v>
      </c>
      <c r="D24" s="24">
        <f>+[8]Centroamerica!F12</f>
        <v>1.0706968900000002</v>
      </c>
      <c r="E24" s="21">
        <f t="shared" si="0"/>
        <v>86.54851335630778</v>
      </c>
      <c r="F24" s="21">
        <f t="shared" si="1"/>
        <v>4.9269941665545547E-2</v>
      </c>
      <c r="G24" s="21">
        <f>+[8]Centroamerica!E12</f>
        <v>1.9566E-2</v>
      </c>
      <c r="H24" s="24">
        <f>+[8]Centroamerica!G12</f>
        <v>6.1712219999999998E-2</v>
      </c>
      <c r="I24" s="21">
        <f t="shared" si="2"/>
        <v>215.40539711744864</v>
      </c>
      <c r="J24" s="21">
        <f t="shared" si="3"/>
        <v>2.5118957038369805E-2</v>
      </c>
      <c r="K24" s="106"/>
    </row>
    <row r="25" spans="1:11">
      <c r="A25" s="104" t="s">
        <v>66</v>
      </c>
      <c r="B25" s="128" t="str">
        <f>+[8]Centroamerica!B13</f>
        <v>Barbados</v>
      </c>
      <c r="C25" s="21">
        <f>+[8]Centroamerica!D13</f>
        <v>0.79343827999999972</v>
      </c>
      <c r="D25" s="24">
        <f>+[8]Centroamerica!F13</f>
        <v>0.74211452999999983</v>
      </c>
      <c r="E25" s="21">
        <f t="shared" si="0"/>
        <v>-6.4685245587092099</v>
      </c>
      <c r="F25" s="21">
        <f t="shared" si="1"/>
        <v>3.4149664525740552E-2</v>
      </c>
      <c r="G25" s="21">
        <f>+[8]Centroamerica!E13</f>
        <v>0.13225774000000001</v>
      </c>
      <c r="H25" s="24">
        <f>+[8]Centroamerica!G13</f>
        <v>7.8078939999999999E-2</v>
      </c>
      <c r="I25" s="21">
        <f t="shared" si="2"/>
        <v>-40.964559049625379</v>
      </c>
      <c r="J25" s="21">
        <f t="shared" si="3"/>
        <v>3.1780764643719733E-2</v>
      </c>
      <c r="K25" s="106"/>
    </row>
    <row r="26" spans="1:11">
      <c r="A26" s="104" t="s">
        <v>66</v>
      </c>
      <c r="B26" s="128" t="str">
        <f>+[8]Centroamerica!B14</f>
        <v>Dominica</v>
      </c>
      <c r="C26" s="21">
        <f>+[8]Centroamerica!D14</f>
        <v>0.45710576999999997</v>
      </c>
      <c r="D26" s="24">
        <f>+[8]Centroamerica!F14</f>
        <v>0.60746832000000006</v>
      </c>
      <c r="E26" s="21">
        <f t="shared" si="0"/>
        <v>32.894476479699676</v>
      </c>
      <c r="F26" s="21">
        <f t="shared" si="1"/>
        <v>2.7953689760009434E-2</v>
      </c>
      <c r="G26" s="21">
        <f>+[8]Centroamerica!E14</f>
        <v>6.2731800000000004E-2</v>
      </c>
      <c r="H26" s="24">
        <f>+[8]Centroamerica!G14</f>
        <v>0.20957270999999994</v>
      </c>
      <c r="I26" s="21">
        <f t="shared" si="2"/>
        <v>234.07731007240335</v>
      </c>
      <c r="J26" s="21">
        <f t="shared" si="3"/>
        <v>8.5303168463308127E-2</v>
      </c>
      <c r="K26" s="106"/>
    </row>
    <row r="27" spans="1:11">
      <c r="A27" s="104" t="s">
        <v>66</v>
      </c>
      <c r="B27" s="128" t="str">
        <f>+[8]Centroamerica!B15</f>
        <v>Belice</v>
      </c>
      <c r="C27" s="21">
        <f>+[8]Centroamerica!D15</f>
        <v>0.26411814000000006</v>
      </c>
      <c r="D27" s="24">
        <f>+[8]Centroamerica!F15</f>
        <v>0.47640679999999985</v>
      </c>
      <c r="E27" s="21">
        <f t="shared" si="0"/>
        <v>80.376402771880691</v>
      </c>
      <c r="F27" s="21">
        <f>(D27/D$13)*100</f>
        <v>2.1922670612286182E-2</v>
      </c>
      <c r="G27" s="21">
        <f>+[8]Centroamerica!E15</f>
        <v>0</v>
      </c>
      <c r="H27" s="24">
        <f>+[8]Centroamerica!G15</f>
        <v>3.0941189999999997E-2</v>
      </c>
      <c r="I27" s="21" t="str">
        <f t="shared" si="2"/>
        <v/>
      </c>
      <c r="J27" s="21">
        <f t="shared" si="3"/>
        <v>1.259410895161505E-2</v>
      </c>
      <c r="K27" s="106"/>
    </row>
    <row r="28" spans="1:11">
      <c r="A28" s="104" t="s">
        <v>66</v>
      </c>
      <c r="B28" s="128" t="str">
        <f>+[8]Centroamerica!B16</f>
        <v>Bahamas</v>
      </c>
      <c r="C28" s="21">
        <f>+[8]Centroamerica!D16</f>
        <v>0.3948093800000001</v>
      </c>
      <c r="D28" s="24">
        <f>+[8]Centroamerica!F16</f>
        <v>0.44101533999999998</v>
      </c>
      <c r="E28" s="21">
        <f t="shared" si="0"/>
        <v>11.703359226166278</v>
      </c>
      <c r="F28" s="21">
        <f>(D28/D$13)*100</f>
        <v>2.0294072279794077E-2</v>
      </c>
      <c r="G28" s="21">
        <f>+[8]Centroamerica!E16</f>
        <v>0.119606</v>
      </c>
      <c r="H28" s="24">
        <f>+[8]Centroamerica!G16</f>
        <v>1.5650000000000001E-4</v>
      </c>
      <c r="I28" s="21">
        <f t="shared" si="2"/>
        <v>-99.869153721385217</v>
      </c>
      <c r="J28" s="21">
        <f t="shared" si="3"/>
        <v>6.3700783677930807E-5</v>
      </c>
      <c r="K28" s="106"/>
    </row>
    <row r="29" spans="1:11">
      <c r="A29" s="104" t="s">
        <v>66</v>
      </c>
      <c r="B29" s="128" t="str">
        <f>+[8]Centroamerica!B17</f>
        <v>Santa Lucía</v>
      </c>
      <c r="C29" s="21">
        <f>+[8]Centroamerica!D17</f>
        <v>0.10616262999999997</v>
      </c>
      <c r="D29" s="24">
        <f>+[8]Centroamerica!F17</f>
        <v>7.0533399999999996E-2</v>
      </c>
      <c r="E29" s="21">
        <f t="shared" si="0"/>
        <v>-33.560990340951413</v>
      </c>
      <c r="F29" s="21">
        <f t="shared" si="1"/>
        <v>3.2457145770476547E-3</v>
      </c>
      <c r="G29" s="21">
        <f>+[8]Centroamerica!E17</f>
        <v>0</v>
      </c>
      <c r="H29" s="24">
        <f>+[8]Centroamerica!G17</f>
        <v>1.9565839999999998E-2</v>
      </c>
      <c r="I29" s="21" t="str">
        <f t="shared" si="2"/>
        <v/>
      </c>
      <c r="J29" s="21">
        <f t="shared" si="3"/>
        <v>7.963957452504826E-3</v>
      </c>
      <c r="K29" s="106"/>
    </row>
    <row r="30" spans="1:11">
      <c r="A30" s="104" t="s">
        <v>66</v>
      </c>
      <c r="B30" s="128" t="str">
        <f>+[8]Centroamerica!B18</f>
        <v>Sancristobal y Nieves</v>
      </c>
      <c r="C30" s="21">
        <f>+[8]Centroamerica!D18</f>
        <v>2.8313499999999998E-2</v>
      </c>
      <c r="D30" s="24">
        <f>+[8]Centroamerica!F18</f>
        <v>5.2334550000000001E-2</v>
      </c>
      <c r="E30" s="21">
        <f t="shared" si="0"/>
        <v>84.839564165504115</v>
      </c>
      <c r="F30" s="21">
        <f t="shared" si="1"/>
        <v>2.4082634867768934E-3</v>
      </c>
      <c r="G30" s="21">
        <f>+[8]Centroamerica!E18</f>
        <v>0</v>
      </c>
      <c r="H30" s="24">
        <f>+[8]Centroamerica!G18</f>
        <v>0</v>
      </c>
      <c r="I30" s="21" t="str">
        <f t="shared" si="2"/>
        <v/>
      </c>
      <c r="J30" s="21">
        <f t="shared" si="3"/>
        <v>0</v>
      </c>
      <c r="K30" s="106"/>
    </row>
    <row r="31" spans="1:11">
      <c r="A31" s="104"/>
      <c r="B31" s="128" t="str">
        <f>+[8]Centroamerica!B19</f>
        <v>Antigua y Barbuda</v>
      </c>
      <c r="C31" s="21">
        <f>+[8]Centroamerica!D19</f>
        <v>2.7605539999999998E-2</v>
      </c>
      <c r="D31" s="24">
        <f>+[8]Centroamerica!F19</f>
        <v>4.5286610000000005E-2</v>
      </c>
      <c r="E31" s="21">
        <f t="shared" si="0"/>
        <v>64.048991615451129</v>
      </c>
      <c r="F31" s="21">
        <f t="shared" si="1"/>
        <v>2.0839405192727431E-3</v>
      </c>
      <c r="G31" s="21">
        <f>+[8]Centroamerica!E19</f>
        <v>0</v>
      </c>
      <c r="H31" s="24">
        <f>+[8]Centroamerica!G19</f>
        <v>0</v>
      </c>
      <c r="I31" s="21" t="str">
        <f t="shared" si="2"/>
        <v/>
      </c>
      <c r="J31" s="21">
        <f t="shared" si="3"/>
        <v>0</v>
      </c>
      <c r="K31" s="106"/>
    </row>
    <row r="32" spans="1:11" s="147" customFormat="1">
      <c r="A32" s="104"/>
      <c r="B32" s="128" t="str">
        <f>+[8]Centroamerica!B20</f>
        <v>Granada</v>
      </c>
      <c r="C32" s="21">
        <f>+[8]Centroamerica!D20</f>
        <v>4.4969849999999999E-2</v>
      </c>
      <c r="D32" s="24">
        <f>+[8]Centroamerica!F20</f>
        <v>3.6166460000000004E-2</v>
      </c>
      <c r="E32" s="21">
        <f t="shared" ref="E32:E33" si="4">IF(OR(OR(D32=0,C32=0),D32=""),"",(D32/C32-1)*100)</f>
        <v>-19.576204946202836</v>
      </c>
      <c r="F32" s="21">
        <f t="shared" ref="F32:F33" si="5">(D32/D$13)*100</f>
        <v>1.6642612779507429E-3</v>
      </c>
      <c r="G32" s="21">
        <f>+[8]Centroamerica!E20</f>
        <v>1.53568E-2</v>
      </c>
      <c r="H32" s="24">
        <f>+[8]Centroamerica!G20</f>
        <v>1.4371E-2</v>
      </c>
      <c r="I32" s="21">
        <f t="shared" ref="I32:I33" si="6">IF(OR(OR(H32=0,G32=0),H32=""),"",(H32/G32-1)*100)</f>
        <v>-6.419306105438638</v>
      </c>
      <c r="J32" s="21">
        <f t="shared" ref="J32:J33" si="7">(H32/H$13)*100</f>
        <v>5.8494821868085847E-3</v>
      </c>
      <c r="K32" s="106"/>
    </row>
    <row r="33" spans="1:11" s="147" customFormat="1">
      <c r="A33" s="104"/>
      <c r="B33" s="128" t="str">
        <f>+[8]Centroamerica!B21</f>
        <v>San Vicente y Las Granadinas</v>
      </c>
      <c r="C33" s="21">
        <f>+[8]Centroamerica!D21</f>
        <v>2.2880730000000002E-2</v>
      </c>
      <c r="D33" s="24">
        <f>+[8]Centroamerica!F21</f>
        <v>0</v>
      </c>
      <c r="E33" s="21" t="str">
        <f t="shared" si="4"/>
        <v/>
      </c>
      <c r="F33" s="21">
        <f t="shared" si="5"/>
        <v>0</v>
      </c>
      <c r="G33" s="21">
        <f>+[8]Centroamerica!E21</f>
        <v>0</v>
      </c>
      <c r="H33" s="24">
        <f>+[8]Centroamerica!G21</f>
        <v>0</v>
      </c>
      <c r="I33" s="21" t="str">
        <f t="shared" si="6"/>
        <v/>
      </c>
      <c r="J33" s="21">
        <f t="shared" si="7"/>
        <v>0</v>
      </c>
      <c r="K33" s="106"/>
    </row>
    <row r="34" spans="1:11">
      <c r="A34" s="104"/>
      <c r="B34" s="128" t="s">
        <v>2</v>
      </c>
      <c r="C34" s="21">
        <f>+C13-SUM(C14:C33)</f>
        <v>1911.2304976800183</v>
      </c>
      <c r="D34" s="24">
        <f>+D13-SUM(D14:D33)</f>
        <v>1838.4743557800086</v>
      </c>
      <c r="E34" s="21">
        <f t="shared" si="0"/>
        <v>-3.8067696171825482</v>
      </c>
      <c r="F34" s="21">
        <f t="shared" si="1"/>
        <v>84.600529906164596</v>
      </c>
      <c r="G34" s="21">
        <f t="shared" ref="G34:H34" si="8">+G13-SUM(G14:G33)</f>
        <v>231.978295220001</v>
      </c>
      <c r="H34" s="24">
        <f t="shared" si="8"/>
        <v>205.67290078999923</v>
      </c>
      <c r="I34" s="21">
        <f t="shared" si="2"/>
        <v>-11.339592958494048</v>
      </c>
      <c r="J34" s="21">
        <f t="shared" si="3"/>
        <v>83.715814451349928</v>
      </c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7"/>
      <c r="B36" s="122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08"/>
      <c r="C37" s="108"/>
      <c r="D37" s="111"/>
      <c r="E37" s="108"/>
    </row>
    <row r="38" spans="1:11">
      <c r="B38" s="108"/>
      <c r="C38" s="108"/>
      <c r="D38" s="111"/>
      <c r="E38" s="108"/>
    </row>
    <row r="39" spans="1:11">
      <c r="C39" s="108"/>
      <c r="D39" s="111"/>
    </row>
    <row r="40" spans="1:11">
      <c r="C40" s="108"/>
      <c r="D40" s="111"/>
    </row>
    <row r="41" spans="1:11">
      <c r="C41" s="108"/>
      <c r="D41" s="111"/>
      <c r="E41" s="111"/>
    </row>
    <row r="42" spans="1:11">
      <c r="C42" s="108"/>
      <c r="D4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946.18788399999994</v>
      </c>
      <c r="D14" s="24">
        <f>+D15+D19</f>
        <v>870.35979400000008</v>
      </c>
      <c r="E14" s="21">
        <f t="shared" ref="E14:E44" si="0">IF(OR(OR(D14=0,C14=0),D14=""),"",(D14/C14-1)*100)</f>
        <v>-8.0140626700309632</v>
      </c>
      <c r="F14" s="21">
        <f t="shared" ref="F14:F44" si="1">(D14/D$13)*100</f>
        <v>40.051088855237296</v>
      </c>
      <c r="G14" s="21">
        <f>+G15+G19</f>
        <v>125.95836599999998</v>
      </c>
      <c r="H14" s="24">
        <f t="shared" ref="H14" si="2">+H15+H19</f>
        <v>103.16651099999999</v>
      </c>
      <c r="I14" s="21">
        <f t="shared" ref="I14:I44" si="3">IF(OR(OR(H14=0,G14=0),H14=""),"",(H14/G14-1)*100)</f>
        <v>-18.094752832852723</v>
      </c>
      <c r="J14" s="21">
        <f>(H14/H$13)*100</f>
        <v>41.992253035257939</v>
      </c>
      <c r="K14" s="16"/>
    </row>
    <row r="15" spans="1:14">
      <c r="A15" s="14"/>
      <c r="B15" s="10" t="s">
        <v>57</v>
      </c>
      <c r="C15" s="21">
        <f>+SUM(C16:C18)</f>
        <v>421.26396599999998</v>
      </c>
      <c r="D15" s="24">
        <f>+SUM(D16:D18)</f>
        <v>453.05641100000003</v>
      </c>
      <c r="E15" s="21">
        <f t="shared" si="0"/>
        <v>7.5469177442060165</v>
      </c>
      <c r="F15" s="21">
        <f>(D15/D$13)*100</f>
        <v>20.848162677647661</v>
      </c>
      <c r="G15" s="21">
        <f t="shared" ref="G15:H15" si="4">+SUM(G16:G18)</f>
        <v>52.168137999999992</v>
      </c>
      <c r="H15" s="24">
        <f t="shared" si="4"/>
        <v>50.06947199999999</v>
      </c>
      <c r="I15" s="21">
        <f t="shared" si="3"/>
        <v>-4.0228884534847742</v>
      </c>
      <c r="J15" s="21">
        <f t="shared" ref="J15:J44" si="5">(H15/H$13)*100</f>
        <v>20.379965525496566</v>
      </c>
      <c r="K15" s="16"/>
    </row>
    <row r="16" spans="1:14">
      <c r="A16" s="14" t="s">
        <v>66</v>
      </c>
      <c r="B16" s="9" t="str">
        <f>CONCATENATE(A16,[12]resumen_pais_destino!B7)</f>
        <v xml:space="preserve">   Bolivia</v>
      </c>
      <c r="C16" s="21">
        <f>[13]resumen_pais_destino!C7/1000000</f>
        <v>12.835378</v>
      </c>
      <c r="D16" s="24">
        <f>[13]resumen_pais_destino!D7/1000000</f>
        <v>27.624200999999999</v>
      </c>
      <c r="E16" s="21">
        <f t="shared" si="0"/>
        <v>115.21922455263879</v>
      </c>
      <c r="F16" s="21">
        <f t="shared" si="1"/>
        <v>1.2711746756145939</v>
      </c>
      <c r="G16" s="21">
        <f>[13]resumen_pais_destino!E7/1000000</f>
        <v>1.9794259999999999</v>
      </c>
      <c r="H16" s="24">
        <f>[13]resumen_pais_destino!F7/1000000</f>
        <v>1.9924219999999999</v>
      </c>
      <c r="I16" s="21">
        <f t="shared" si="3"/>
        <v>0.65655397069654953</v>
      </c>
      <c r="J16" s="21">
        <f t="shared" si="5"/>
        <v>0.81098302119584809</v>
      </c>
      <c r="K16" s="16"/>
    </row>
    <row r="17" spans="1:11">
      <c r="A17" s="14" t="s">
        <v>66</v>
      </c>
      <c r="B17" s="9" t="str">
        <f>CONCATENATE(A17,[12]resumen_pais_destino!B8)</f>
        <v xml:space="preserve">   Ecuador</v>
      </c>
      <c r="C17" s="21">
        <f>[13]resumen_pais_destino!C8/1000000</f>
        <v>286.08450399999998</v>
      </c>
      <c r="D17" s="24">
        <f>[13]resumen_pais_destino!D8/1000000</f>
        <v>308.958504</v>
      </c>
      <c r="E17" s="21">
        <f t="shared" si="0"/>
        <v>7.9955396675382318</v>
      </c>
      <c r="F17" s="21">
        <f t="shared" si="1"/>
        <v>14.217251970493924</v>
      </c>
      <c r="G17" s="21">
        <f>[13]resumen_pais_destino!E8/1000000</f>
        <v>37.747172999999997</v>
      </c>
      <c r="H17" s="24">
        <f>[13]resumen_pais_destino!F8/1000000</f>
        <v>34.065627999999997</v>
      </c>
      <c r="I17" s="21">
        <f t="shared" si="3"/>
        <v>-9.7531674756146653</v>
      </c>
      <c r="J17" s="21">
        <f t="shared" si="5"/>
        <v>13.865860703392091</v>
      </c>
      <c r="K17" s="16"/>
    </row>
    <row r="18" spans="1:11">
      <c r="A18" s="14" t="s">
        <v>66</v>
      </c>
      <c r="B18" s="9" t="str">
        <f>CONCATENATE(A18,[12]resumen_pais_destino!B9)</f>
        <v xml:space="preserve">   Perú </v>
      </c>
      <c r="C18" s="21">
        <f>[13]resumen_pais_destino!C9/1000000</f>
        <v>122.344084</v>
      </c>
      <c r="D18" s="24">
        <f>[13]resumen_pais_destino!D9/1000000</f>
        <v>116.47370600000001</v>
      </c>
      <c r="E18" s="21">
        <f t="shared" si="0"/>
        <v>-4.7982524434937002</v>
      </c>
      <c r="F18" s="21">
        <f t="shared" si="1"/>
        <v>5.3597360315391418</v>
      </c>
      <c r="G18" s="21">
        <f>[13]resumen_pais_destino!E9/1000000</f>
        <v>12.441539000000001</v>
      </c>
      <c r="H18" s="24">
        <f>[13]resumen_pais_destino!F9/1000000</f>
        <v>14.011422</v>
      </c>
      <c r="I18" s="21">
        <f t="shared" si="3"/>
        <v>12.618077233049707</v>
      </c>
      <c r="J18" s="21">
        <f t="shared" si="5"/>
        <v>5.7031218009086286</v>
      </c>
      <c r="K18" s="16"/>
    </row>
    <row r="19" spans="1:11">
      <c r="A19" s="14"/>
      <c r="B19" s="10" t="s">
        <v>58</v>
      </c>
      <c r="C19" s="21">
        <f>SUM(C20:C27)</f>
        <v>524.92391799999996</v>
      </c>
      <c r="D19" s="24">
        <f>SUM(D20:D27)</f>
        <v>417.30338300000005</v>
      </c>
      <c r="E19" s="21">
        <f t="shared" si="0"/>
        <v>-20.502120652082745</v>
      </c>
      <c r="F19" s="21">
        <f t="shared" si="1"/>
        <v>19.202926177589632</v>
      </c>
      <c r="G19" s="21">
        <f>SUM(G20:G27)</f>
        <v>73.790227999999999</v>
      </c>
      <c r="H19" s="24">
        <f>SUM(H20:H27)</f>
        <v>53.097039000000002</v>
      </c>
      <c r="I19" s="21">
        <f t="shared" si="3"/>
        <v>-28.043264753159448</v>
      </c>
      <c r="J19" s="21">
        <f t="shared" si="5"/>
        <v>21.612287509761373</v>
      </c>
      <c r="K19" s="16"/>
    </row>
    <row r="20" spans="1:11">
      <c r="A20" s="14" t="s">
        <v>66</v>
      </c>
      <c r="B20" s="9" t="str">
        <f>CONCATENATE(A20,[13]resumen_pais_destino!B23)</f>
        <v xml:space="preserve">   Argentina</v>
      </c>
      <c r="C20" s="21">
        <f>[13]resumen_pais_destino!C23/1000000</f>
        <v>13.253069999999999</v>
      </c>
      <c r="D20" s="24">
        <f>[13]resumen_pais_destino!D23/1000000</f>
        <v>21.247755000000002</v>
      </c>
      <c r="E20" s="21">
        <f t="shared" si="0"/>
        <v>60.323268495525959</v>
      </c>
      <c r="F20" s="21">
        <f t="shared" si="1"/>
        <v>0.97775164862373276</v>
      </c>
      <c r="G20" s="21">
        <f>[13]resumen_pais_destino!E23/1000000</f>
        <v>1.5883</v>
      </c>
      <c r="H20" s="24">
        <f>[13]resumen_pais_destino!F23/1000000</f>
        <v>1.932094</v>
      </c>
      <c r="I20" s="21">
        <f t="shared" si="3"/>
        <v>21.645407038972486</v>
      </c>
      <c r="J20" s="21">
        <f t="shared" si="5"/>
        <v>0.78642748843085009</v>
      </c>
      <c r="K20" s="16"/>
    </row>
    <row r="21" spans="1:11">
      <c r="A21" s="14" t="s">
        <v>66</v>
      </c>
      <c r="B21" s="9" t="str">
        <f>CONCATENATE(A21,[13]resumen_pais_destino!B24)</f>
        <v xml:space="preserve">   Brasil </v>
      </c>
      <c r="C21" s="21">
        <f>[13]resumen_pais_destino!C24/1000000</f>
        <v>61.354700999999999</v>
      </c>
      <c r="D21" s="24">
        <f>[13]resumen_pais_destino!D24/1000000</f>
        <v>37.951438000000003</v>
      </c>
      <c r="E21" s="21">
        <f t="shared" si="0"/>
        <v>-38.144205119669635</v>
      </c>
      <c r="F21" s="21">
        <f t="shared" si="1"/>
        <v>1.7464000818976584</v>
      </c>
      <c r="G21" s="21">
        <f>[13]resumen_pais_destino!E24/1000000</f>
        <v>5.5218769999999999</v>
      </c>
      <c r="H21" s="24">
        <f>[13]resumen_pais_destino!F24/1000000</f>
        <v>4.5451949999999997</v>
      </c>
      <c r="I21" s="21">
        <f t="shared" si="3"/>
        <v>-17.687500101867538</v>
      </c>
      <c r="J21" s="21">
        <f t="shared" si="5"/>
        <v>1.8500478176933715</v>
      </c>
      <c r="K21" s="16"/>
    </row>
    <row r="22" spans="1:11">
      <c r="A22" s="14" t="s">
        <v>66</v>
      </c>
      <c r="B22" s="9" t="str">
        <f>CONCATENATE(A22,[13]resumen_pais_destino!B25)</f>
        <v xml:space="preserve">   Cuba </v>
      </c>
      <c r="C22" s="21">
        <f>[13]resumen_pais_destino!C25/1000000</f>
        <v>5.0910599999999997</v>
      </c>
      <c r="D22" s="24">
        <f>[13]resumen_pais_destino!D25/1000000</f>
        <v>4.810492</v>
      </c>
      <c r="E22" s="21">
        <f t="shared" si="0"/>
        <v>-5.5109937812557686</v>
      </c>
      <c r="F22" s="21">
        <f t="shared" si="1"/>
        <v>0.22136298558088971</v>
      </c>
      <c r="G22" s="21">
        <f>[13]resumen_pais_destino!E25/1000000</f>
        <v>1.0060039999999999</v>
      </c>
      <c r="H22" s="24">
        <f>[13]resumen_pais_destino!F25/1000000</f>
        <v>0.302035</v>
      </c>
      <c r="I22" s="21">
        <f t="shared" si="3"/>
        <v>-69.976759535747362</v>
      </c>
      <c r="J22" s="21">
        <f t="shared" si="5"/>
        <v>0.12293844216079122</v>
      </c>
      <c r="K22" s="16"/>
    </row>
    <row r="23" spans="1:11">
      <c r="A23" s="14" t="s">
        <v>66</v>
      </c>
      <c r="B23" s="9" t="str">
        <f>CONCATENATE(A23,[13]resumen_pais_destino!B26)</f>
        <v xml:space="preserve">   Chile </v>
      </c>
      <c r="C23" s="21">
        <f>[13]resumen_pais_destino!C26/1000000</f>
        <v>53.340316000000001</v>
      </c>
      <c r="D23" s="24">
        <f>[13]resumen_pais_destino!D26/1000000</f>
        <v>55.309268000000003</v>
      </c>
      <c r="E23" s="21">
        <f t="shared" si="0"/>
        <v>3.6913017163227924</v>
      </c>
      <c r="F23" s="21">
        <f t="shared" si="1"/>
        <v>2.5451502039237495</v>
      </c>
      <c r="G23" s="21">
        <f>[13]resumen_pais_destino!E26/1000000</f>
        <v>7.5823679999999998</v>
      </c>
      <c r="H23" s="24">
        <f>[13]resumen_pais_destino!F26/1000000</f>
        <v>7.3585149999999997</v>
      </c>
      <c r="I23" s="21">
        <f t="shared" si="3"/>
        <v>-2.9522835082654963</v>
      </c>
      <c r="J23" s="21">
        <f t="shared" si="5"/>
        <v>2.9951640396537313</v>
      </c>
      <c r="K23" s="16"/>
    </row>
    <row r="24" spans="1:11">
      <c r="A24" s="14" t="s">
        <v>66</v>
      </c>
      <c r="B24" s="9" t="str">
        <f>CONCATENATE(A24,[13]resumen_pais_destino!B27)</f>
        <v xml:space="preserve">   México </v>
      </c>
      <c r="C24" s="21">
        <f>[13]resumen_pais_destino!C27/1000000</f>
        <v>91.852579000000006</v>
      </c>
      <c r="D24" s="24">
        <f>[13]resumen_pais_destino!D27/1000000</f>
        <v>104.92336400000001</v>
      </c>
      <c r="E24" s="21">
        <f t="shared" si="0"/>
        <v>14.230177467308792</v>
      </c>
      <c r="F24" s="21">
        <f t="shared" si="1"/>
        <v>4.8282273647332632</v>
      </c>
      <c r="G24" s="21">
        <f>[13]resumen_pais_destino!E27/1000000</f>
        <v>11.588106</v>
      </c>
      <c r="H24" s="24">
        <f>[13]resumen_pais_destino!F27/1000000</f>
        <v>12.308472</v>
      </c>
      <c r="I24" s="21">
        <f t="shared" si="3"/>
        <v>6.2164257040796755</v>
      </c>
      <c r="J24" s="21">
        <f t="shared" si="5"/>
        <v>5.0099636567275923</v>
      </c>
      <c r="K24" s="16"/>
    </row>
    <row r="25" spans="1:11">
      <c r="A25" s="14" t="s">
        <v>66</v>
      </c>
      <c r="B25" s="9" t="str">
        <f>CONCATENATE(A25,[13]resumen_pais_destino!B28)</f>
        <v xml:space="preserve">   Paraguay </v>
      </c>
      <c r="C25" s="21">
        <f>[13]resumen_pais_destino!C28/1000000</f>
        <v>2.4023439999999998</v>
      </c>
      <c r="D25" s="24">
        <f>[13]resumen_pais_destino!D28/1000000</f>
        <v>2.9889459999999999</v>
      </c>
      <c r="E25" s="21">
        <f t="shared" si="0"/>
        <v>24.417901849193967</v>
      </c>
      <c r="F25" s="21">
        <f t="shared" si="1"/>
        <v>0.13754144280877256</v>
      </c>
      <c r="G25" s="21">
        <f>[13]resumen_pais_destino!E28/1000000</f>
        <v>0.35519800000000001</v>
      </c>
      <c r="H25" s="24">
        <f>[13]resumen_pais_destino!F28/1000000</f>
        <v>0.79777699999999996</v>
      </c>
      <c r="I25" s="21">
        <f t="shared" si="3"/>
        <v>124.60064527390355</v>
      </c>
      <c r="J25" s="21">
        <f t="shared" si="5"/>
        <v>0.32472217316439994</v>
      </c>
      <c r="K25" s="16"/>
    </row>
    <row r="26" spans="1:11">
      <c r="A26" s="14" t="s">
        <v>66</v>
      </c>
      <c r="B26" s="9" t="str">
        <f>CONCATENATE(A26,[13]resumen_pais_destino!B29)</f>
        <v xml:space="preserve">   Uruguay </v>
      </c>
      <c r="C26" s="21">
        <f>[13]resumen_pais_destino!C29/1000000</f>
        <v>1.6239490000000001</v>
      </c>
      <c r="D26" s="24">
        <f>[13]resumen_pais_destino!D29/1000000</f>
        <v>2.2072980000000002</v>
      </c>
      <c r="E26" s="21">
        <f t="shared" si="0"/>
        <v>35.921633006947886</v>
      </c>
      <c r="F26" s="21">
        <f t="shared" si="1"/>
        <v>0.10157257830316041</v>
      </c>
      <c r="G26" s="21">
        <f>[13]resumen_pais_destino!E29/1000000</f>
        <v>0.100546</v>
      </c>
      <c r="H26" s="24">
        <f>[13]resumen_pais_destino!F29/1000000</f>
        <v>0.18326100000000001</v>
      </c>
      <c r="I26" s="21">
        <f t="shared" si="3"/>
        <v>82.265828575975192</v>
      </c>
      <c r="J26" s="21">
        <f t="shared" si="5"/>
        <v>7.4593414169976197E-2</v>
      </c>
      <c r="K26" s="16"/>
    </row>
    <row r="27" spans="1:11">
      <c r="A27" s="14" t="s">
        <v>66</v>
      </c>
      <c r="B27" s="9" t="str">
        <f>CONCATENATE(A27,[13]resumen_pais_destino!B30)</f>
        <v xml:space="preserve">   Venezuela</v>
      </c>
      <c r="C27" s="21">
        <f>[13]resumen_pais_destino!C30/1000000</f>
        <v>296.005899</v>
      </c>
      <c r="D27" s="24">
        <f>[13]resumen_pais_destino!D30/1000000</f>
        <v>187.864822</v>
      </c>
      <c r="E27" s="21">
        <f t="shared" si="0"/>
        <v>-36.533419558641967</v>
      </c>
      <c r="F27" s="21">
        <f>(D27/D$13)*100</f>
        <v>8.6449198717184057</v>
      </c>
      <c r="G27" s="21">
        <f>[13]resumen_pais_destino!E30/1000000</f>
        <v>46.047829</v>
      </c>
      <c r="H27" s="24">
        <f>[13]resumen_pais_destino!F30/1000000</f>
        <v>25.669689999999999</v>
      </c>
      <c r="I27" s="21">
        <f t="shared" si="3"/>
        <v>-44.254288296631749</v>
      </c>
      <c r="J27" s="21">
        <f t="shared" si="5"/>
        <v>10.44843047776066</v>
      </c>
      <c r="K27" s="16"/>
    </row>
    <row r="28" spans="1:11">
      <c r="A28" s="14" t="s">
        <v>66</v>
      </c>
      <c r="B28" s="9" t="str">
        <f>[13]resumen_pais_destino!B44</f>
        <v xml:space="preserve">Canadá </v>
      </c>
      <c r="C28" s="21">
        <f>[13]resumen_pais_destino!C44/1000000</f>
        <v>32.115799000000003</v>
      </c>
      <c r="D28" s="24">
        <f>[13]resumen_pais_destino!D44/1000000</f>
        <v>22.605540000000001</v>
      </c>
      <c r="E28" s="21">
        <f t="shared" si="0"/>
        <v>-29.612400426344678</v>
      </c>
      <c r="F28" s="21">
        <f>(D28/D$13)*100</f>
        <v>1.0402324388167001</v>
      </c>
      <c r="G28" s="21">
        <f>[13]resumen_pais_destino!E44/1000000</f>
        <v>3.951552</v>
      </c>
      <c r="H28" s="24">
        <f>[13]resumen_pais_destino!F44/1000000</f>
        <v>3.3201510000000001</v>
      </c>
      <c r="I28" s="21">
        <f t="shared" si="3"/>
        <v>-15.978557285846161</v>
      </c>
      <c r="J28" s="21">
        <f t="shared" si="5"/>
        <v>1.3514135503454672</v>
      </c>
      <c r="K28" s="16"/>
    </row>
    <row r="29" spans="1:11">
      <c r="A29" s="14" t="s">
        <v>66</v>
      </c>
      <c r="B29" s="9" t="str">
        <f>[13]resumen_pais_destino!B45</f>
        <v>Estados Unidos</v>
      </c>
      <c r="C29" s="21">
        <f>[13]resumen_pais_destino!C45/1000000</f>
        <v>595.80915400000004</v>
      </c>
      <c r="D29" s="24">
        <f>[13]resumen_pais_destino!D45/1000000</f>
        <v>641.94223899999997</v>
      </c>
      <c r="E29" s="21">
        <f t="shared" si="0"/>
        <v>7.7429298778447286</v>
      </c>
      <c r="F29" s="21">
        <f t="shared" si="1"/>
        <v>29.540065880064041</v>
      </c>
      <c r="G29" s="21">
        <f>[13]resumen_pais_destino!E45/1000000</f>
        <v>62.743189000000001</v>
      </c>
      <c r="H29" s="24">
        <f>[13]resumen_pais_destino!F45/1000000</f>
        <v>66.676302000000007</v>
      </c>
      <c r="I29" s="21">
        <f t="shared" si="3"/>
        <v>6.2685895675465453</v>
      </c>
      <c r="J29" s="21">
        <f t="shared" si="5"/>
        <v>27.139506007325142</v>
      </c>
      <c r="K29" s="16"/>
    </row>
    <row r="30" spans="1:11">
      <c r="A30" s="14" t="s">
        <v>66</v>
      </c>
      <c r="B30" s="9" t="str">
        <f>[13]resumen_pais_destino!B46</f>
        <v xml:space="preserve">Puerto Rico </v>
      </c>
      <c r="C30" s="21">
        <f>[13]resumen_pais_destino!C46/1000000</f>
        <v>18.204505999999999</v>
      </c>
      <c r="D30" s="24">
        <f>[13]resumen_pais_destino!D46/1000000</f>
        <v>16.249872</v>
      </c>
      <c r="E30" s="21">
        <f t="shared" si="0"/>
        <v>-10.737088938310102</v>
      </c>
      <c r="F30" s="21">
        <f t="shared" si="1"/>
        <v>0.74776554689776087</v>
      </c>
      <c r="G30" s="21">
        <f>[13]resumen_pais_destino!E46/1000000</f>
        <v>2.208901</v>
      </c>
      <c r="H30" s="24">
        <f>[13]resumen_pais_destino!F46/1000000</f>
        <v>1.6549320000000001</v>
      </c>
      <c r="I30" s="21">
        <f t="shared" si="3"/>
        <v>-25.078941971595825</v>
      </c>
      <c r="J30" s="21">
        <f t="shared" si="5"/>
        <v>0.67361319702035383</v>
      </c>
      <c r="K30" s="16"/>
    </row>
    <row r="31" spans="1:11">
      <c r="A31" s="14"/>
      <c r="B31" s="10" t="s">
        <v>48</v>
      </c>
      <c r="C31" s="21">
        <f>SUM(C32:C42)</f>
        <v>209.17255600000001</v>
      </c>
      <c r="D31" s="24">
        <f>SUM(D32:D42)</f>
        <v>173.42806000000002</v>
      </c>
      <c r="E31" s="21">
        <f t="shared" si="0"/>
        <v>-17.088520924322403</v>
      </c>
      <c r="F31" s="21">
        <f t="shared" si="1"/>
        <v>7.9805876706793564</v>
      </c>
      <c r="G31" s="21">
        <f>SUM(G32:G42)</f>
        <v>23.946851000000002</v>
      </c>
      <c r="H31" s="24">
        <f>SUM(H32:H42)</f>
        <v>19.269962</v>
      </c>
      <c r="I31" s="21">
        <f t="shared" si="3"/>
        <v>-19.530288136841044</v>
      </c>
      <c r="J31" s="21">
        <f t="shared" si="5"/>
        <v>7.8435251172137166</v>
      </c>
      <c r="K31" s="16"/>
    </row>
    <row r="32" spans="1:11">
      <c r="A32" s="14" t="s">
        <v>66</v>
      </c>
      <c r="B32" s="9" t="str">
        <f>CONCATENATE(A32,[13]resumen_pais_destino!B60)</f>
        <v xml:space="preserve">   Alemania </v>
      </c>
      <c r="C32" s="21">
        <f>[13]resumen_pais_destino!C60/1000000</f>
        <v>19.053712999999998</v>
      </c>
      <c r="D32" s="24">
        <f>[13]resumen_pais_destino!D60/1000000</f>
        <v>27.564672999999999</v>
      </c>
      <c r="E32" s="21">
        <f t="shared" si="0"/>
        <v>44.668249175370711</v>
      </c>
      <c r="F32" s="21">
        <f t="shared" si="1"/>
        <v>1.2684353932697403</v>
      </c>
      <c r="G32" s="21">
        <f>[13]resumen_pais_destino!E60/1000000</f>
        <v>2.6709839999999998</v>
      </c>
      <c r="H32" s="24">
        <f>[13]resumen_pais_destino!F60/1000000</f>
        <v>3.9020480000000002</v>
      </c>
      <c r="I32" s="21">
        <f t="shared" si="3"/>
        <v>46.090279836944006</v>
      </c>
      <c r="J32" s="21">
        <f t="shared" si="5"/>
        <v>1.5882652750728594</v>
      </c>
      <c r="K32" s="16"/>
    </row>
    <row r="33" spans="1:11">
      <c r="A33" s="14" t="s">
        <v>66</v>
      </c>
      <c r="B33" s="9" t="str">
        <f>CONCATENATE(A33,[13]resumen_pais_destino!B61)</f>
        <v xml:space="preserve">   Bélgica </v>
      </c>
      <c r="C33" s="21">
        <f>[13]resumen_pais_destino!C61/1000000</f>
        <v>9.2661770000000008</v>
      </c>
      <c r="D33" s="24">
        <f>[13]resumen_pais_destino!D61/1000000</f>
        <v>22.622803000000001</v>
      </c>
      <c r="E33" s="21">
        <f t="shared" si="0"/>
        <v>144.14386860945996</v>
      </c>
      <c r="F33" s="21">
        <f t="shared" si="1"/>
        <v>1.0410268251747032</v>
      </c>
      <c r="G33" s="21">
        <f>[13]resumen_pais_destino!E61/1000000</f>
        <v>1.52118</v>
      </c>
      <c r="H33" s="24">
        <f>[13]resumen_pais_destino!F61/1000000</f>
        <v>2.7027770000000002</v>
      </c>
      <c r="I33" s="21">
        <f t="shared" si="3"/>
        <v>77.676343365019278</v>
      </c>
      <c r="J33" s="21">
        <f t="shared" si="5"/>
        <v>1.1001214888606183</v>
      </c>
      <c r="K33" s="16"/>
    </row>
    <row r="34" spans="1:11">
      <c r="A34" s="14" t="s">
        <v>66</v>
      </c>
      <c r="B34" s="9" t="str">
        <f>CONCATENATE(A34,[13]resumen_pais_destino!B62)</f>
        <v xml:space="preserve">   España </v>
      </c>
      <c r="C34" s="21">
        <f>[13]resumen_pais_destino!C62/1000000</f>
        <v>26.632090000000002</v>
      </c>
      <c r="D34" s="24">
        <f>[13]resumen_pais_destino!D62/1000000</f>
        <v>21.71284</v>
      </c>
      <c r="E34" s="21">
        <f t="shared" si="0"/>
        <v>-18.471137638840961</v>
      </c>
      <c r="F34" s="21">
        <f t="shared" si="1"/>
        <v>0.99915332731873685</v>
      </c>
      <c r="G34" s="21">
        <f>[13]resumen_pais_destino!E62/1000000</f>
        <v>3.9810750000000001</v>
      </c>
      <c r="H34" s="24">
        <f>[13]resumen_pais_destino!F62/1000000</f>
        <v>1.9865219999999999</v>
      </c>
      <c r="I34" s="21">
        <f t="shared" si="3"/>
        <v>-50.100864716188468</v>
      </c>
      <c r="J34" s="21">
        <f t="shared" si="5"/>
        <v>0.80858152200287814</v>
      </c>
      <c r="K34" s="16"/>
    </row>
    <row r="35" spans="1:11">
      <c r="A35" s="14" t="s">
        <v>66</v>
      </c>
      <c r="B35" s="9" t="str">
        <f>CONCATENATE(A35,[13]resumen_pais_destino!B63)</f>
        <v xml:space="preserve">   Francia </v>
      </c>
      <c r="C35" s="21">
        <f>[13]resumen_pais_destino!C63/1000000</f>
        <v>26.376071</v>
      </c>
      <c r="D35" s="24">
        <f>[13]resumen_pais_destino!D63/1000000</f>
        <v>21.881876999999999</v>
      </c>
      <c r="E35" s="21">
        <f t="shared" si="0"/>
        <v>-17.038906211618855</v>
      </c>
      <c r="F35" s="21">
        <f t="shared" si="1"/>
        <v>1.0069318528819511</v>
      </c>
      <c r="G35" s="21">
        <f>[13]resumen_pais_destino!E63/1000000</f>
        <v>2.2452559999999999</v>
      </c>
      <c r="H35" s="24">
        <f>[13]resumen_pais_destino!F63/1000000</f>
        <v>2.532813</v>
      </c>
      <c r="I35" s="21">
        <f t="shared" si="3"/>
        <v>12.807314622475129</v>
      </c>
      <c r="J35" s="21">
        <f t="shared" si="5"/>
        <v>1.0309404026175777</v>
      </c>
      <c r="K35" s="16"/>
    </row>
    <row r="36" spans="1:11">
      <c r="A36" s="14" t="s">
        <v>66</v>
      </c>
      <c r="B36" s="9" t="str">
        <f>CONCATENATE(A36,[13]resumen_pais_destino!B64)</f>
        <v xml:space="preserve">   Grecia </v>
      </c>
      <c r="C36" s="21">
        <f>[13]resumen_pais_destino!C64/1000000</f>
        <v>3.4973429999999999</v>
      </c>
      <c r="D36" s="24">
        <f>[13]resumen_pais_destino!D64/1000000</f>
        <v>1.5751550000000001</v>
      </c>
      <c r="E36" s="21">
        <f t="shared" si="0"/>
        <v>-54.961380682420909</v>
      </c>
      <c r="F36" s="21">
        <f t="shared" si="1"/>
        <v>7.248344110179715E-2</v>
      </c>
      <c r="G36" s="21">
        <f>[13]resumen_pais_destino!E64/1000000</f>
        <v>0.14727799999999999</v>
      </c>
      <c r="H36" s="24">
        <f>[13]resumen_pais_destino!F64/1000000</f>
        <v>7.3384000000000005E-2</v>
      </c>
      <c r="I36" s="21">
        <f t="shared" si="3"/>
        <v>-50.173141949238854</v>
      </c>
      <c r="J36" s="21">
        <f t="shared" si="5"/>
        <v>2.9869765555407501E-2</v>
      </c>
      <c r="K36" s="16"/>
    </row>
    <row r="37" spans="1:11">
      <c r="A37" s="14" t="s">
        <v>66</v>
      </c>
      <c r="B37" s="9" t="str">
        <f>CONCATENATE(A37,[13]resumen_pais_destino!B65)</f>
        <v xml:space="preserve">   Italia </v>
      </c>
      <c r="C37" s="21">
        <f>[13]resumen_pais_destino!C65/1000000</f>
        <v>61.599533000000001</v>
      </c>
      <c r="D37" s="24">
        <f>[13]resumen_pais_destino!D65/1000000</f>
        <v>14.280885</v>
      </c>
      <c r="E37" s="21">
        <f t="shared" si="0"/>
        <v>-76.816569372368463</v>
      </c>
      <c r="F37" s="21">
        <f t="shared" si="1"/>
        <v>0.65715925529807429</v>
      </c>
      <c r="G37" s="21">
        <f>[13]resumen_pais_destino!E65/1000000</f>
        <v>4.9960639999999996</v>
      </c>
      <c r="H37" s="24">
        <f>[13]resumen_pais_destino!F65/1000000</f>
        <v>0.95517099999999999</v>
      </c>
      <c r="I37" s="21">
        <f t="shared" si="3"/>
        <v>-80.881529940369063</v>
      </c>
      <c r="J37" s="21">
        <f t="shared" si="5"/>
        <v>0.38878684502512995</v>
      </c>
      <c r="K37" s="16"/>
    </row>
    <row r="38" spans="1:11">
      <c r="A38" s="14" t="s">
        <v>66</v>
      </c>
      <c r="B38" s="7" t="str">
        <f>CONCATENATE(A38,[13]resumen_pais_destino!B66)</f>
        <v xml:space="preserve">   Países Bajos </v>
      </c>
      <c r="C38" s="21">
        <f>[13]resumen_pais_destino!C66/1000000</f>
        <v>27.570074999999999</v>
      </c>
      <c r="D38" s="24">
        <f>[13]resumen_pais_destino!D66/1000000</f>
        <v>27.110561000000001</v>
      </c>
      <c r="E38" s="21">
        <f t="shared" si="0"/>
        <v>-1.666712912460333</v>
      </c>
      <c r="F38" s="21">
        <f t="shared" si="1"/>
        <v>1.2475386558657267</v>
      </c>
      <c r="G38" s="21">
        <f>[13]resumen_pais_destino!E66/1000000</f>
        <v>2.801393</v>
      </c>
      <c r="H38" s="24">
        <f>[13]resumen_pais_destino!F66/1000000</f>
        <v>2.6162510000000001</v>
      </c>
      <c r="I38" s="21">
        <f t="shared" si="3"/>
        <v>-6.6089263448577125</v>
      </c>
      <c r="J38" s="21">
        <f t="shared" si="5"/>
        <v>1.0649024856113107</v>
      </c>
      <c r="K38" s="16"/>
    </row>
    <row r="39" spans="1:11">
      <c r="A39" s="14" t="s">
        <v>66</v>
      </c>
      <c r="B39" s="7" t="str">
        <f>CONCATENATE(A39,[13]resumen_pais_destino!B67)</f>
        <v xml:space="preserve">   Reino Unido </v>
      </c>
      <c r="C39" s="21">
        <f>[13]resumen_pais_destino!C67/1000000</f>
        <v>21.704087999999999</v>
      </c>
      <c r="D39" s="24">
        <f>[13]resumen_pais_destino!D67/1000000</f>
        <v>23.491955000000001</v>
      </c>
      <c r="E39" s="21">
        <f t="shared" si="0"/>
        <v>8.2374666007620334</v>
      </c>
      <c r="F39" s="21">
        <f t="shared" si="1"/>
        <v>1.0810223353311699</v>
      </c>
      <c r="G39" s="21">
        <f>[13]resumen_pais_destino!E67/1000000</f>
        <v>2.7948629999999999</v>
      </c>
      <c r="H39" s="24">
        <f>[13]resumen_pais_destino!F67/1000000</f>
        <v>2.7729590000000002</v>
      </c>
      <c r="I39" s="21">
        <f t="shared" si="3"/>
        <v>-0.78372356713011238</v>
      </c>
      <c r="J39" s="21">
        <f t="shared" si="5"/>
        <v>1.1286879323116379</v>
      </c>
      <c r="K39" s="16"/>
    </row>
    <row r="40" spans="1:11">
      <c r="A40" s="14" t="s">
        <v>66</v>
      </c>
      <c r="B40" s="7" t="str">
        <f>CONCATENATE(A40,[13]resumen_pais_destino!B68)</f>
        <v xml:space="preserve">   Rumania </v>
      </c>
      <c r="C40" s="21">
        <f>[13]resumen_pais_destino!C68/1000000</f>
        <v>1.0375000000000001</v>
      </c>
      <c r="D40" s="24">
        <f>[13]resumen_pais_destino!D68/1000000</f>
        <v>1.544686</v>
      </c>
      <c r="E40" s="21">
        <f t="shared" si="0"/>
        <v>48.885397590361436</v>
      </c>
      <c r="F40" s="21">
        <f t="shared" si="1"/>
        <v>7.1081358153178967E-2</v>
      </c>
      <c r="G40" s="21">
        <f>[13]resumen_pais_destino!E68/1000000</f>
        <v>0.37068099999999998</v>
      </c>
      <c r="H40" s="24">
        <f>[13]resumen_pais_destino!F68/1000000</f>
        <v>0.24948999999999999</v>
      </c>
      <c r="I40" s="21">
        <f t="shared" si="3"/>
        <v>-32.694149416884052</v>
      </c>
      <c r="J40" s="21">
        <f t="shared" si="5"/>
        <v>0.10155085316170577</v>
      </c>
      <c r="K40" s="16"/>
    </row>
    <row r="41" spans="1:11">
      <c r="A41" s="14" t="s">
        <v>66</v>
      </c>
      <c r="B41" s="9" t="str">
        <f>CONCATENATE(A41,[13]resumen_pais_destino!B69)</f>
        <v xml:space="preserve">   Suecia </v>
      </c>
      <c r="C41" s="21">
        <f>[13]resumen_pais_destino!C69/1000000</f>
        <v>4.324465</v>
      </c>
      <c r="D41" s="24">
        <f>[13]resumen_pais_destino!D69/1000000</f>
        <v>4.9797500000000001</v>
      </c>
      <c r="E41" s="21">
        <f t="shared" si="0"/>
        <v>15.152972679857513</v>
      </c>
      <c r="F41" s="21">
        <f t="shared" si="1"/>
        <v>0.22915168083564749</v>
      </c>
      <c r="G41" s="21">
        <f>[13]resumen_pais_destino!E69/1000000</f>
        <v>0.60496000000000005</v>
      </c>
      <c r="H41" s="24">
        <f>[13]resumen_pais_destino!F69/1000000</f>
        <v>0.27533299999999999</v>
      </c>
      <c r="I41" s="21">
        <f t="shared" si="3"/>
        <v>-54.487404125892624</v>
      </c>
      <c r="J41" s="21">
        <f t="shared" si="5"/>
        <v>0.11206982666067551</v>
      </c>
      <c r="K41" s="16"/>
    </row>
    <row r="42" spans="1:11">
      <c r="A42" s="14" t="s">
        <v>66</v>
      </c>
      <c r="B42" s="9" t="str">
        <f>CONCATENATE(A42,[13]resumen_pais_destino!B70)</f>
        <v xml:space="preserve">   Resto </v>
      </c>
      <c r="C42" s="21">
        <f>[13]resumen_pais_destino!C70/1000000</f>
        <v>8.1115010000000005</v>
      </c>
      <c r="D42" s="24">
        <f>[13]resumen_pais_destino!D70/1000000</f>
        <v>6.6628749999999997</v>
      </c>
      <c r="E42" s="21">
        <f t="shared" si="0"/>
        <v>-17.858914151647156</v>
      </c>
      <c r="F42" s="21">
        <f t="shared" si="1"/>
        <v>0.30660354544862989</v>
      </c>
      <c r="G42" s="21">
        <f>[13]resumen_pais_destino!E70/1000000</f>
        <v>1.8131170000000001</v>
      </c>
      <c r="H42" s="24">
        <f>[13]resumen_pais_destino!F70/1000000</f>
        <v>1.203214</v>
      </c>
      <c r="I42" s="21">
        <f t="shared" si="3"/>
        <v>-33.638369724623395</v>
      </c>
      <c r="J42" s="21">
        <f t="shared" si="5"/>
        <v>0.48974872033391581</v>
      </c>
      <c r="K42" s="16"/>
    </row>
    <row r="43" spans="1:11">
      <c r="A43" s="14"/>
      <c r="B43" s="9" t="str">
        <f>[13]resumen_pais_destino!B84</f>
        <v>Suiza</v>
      </c>
      <c r="C43" s="21">
        <f>[13]resumen_pais_destino!C84/1000000</f>
        <v>1.5443229999999999</v>
      </c>
      <c r="D43" s="24">
        <f>[13]resumen_pais_destino!D84/1000000</f>
        <v>1.586816</v>
      </c>
      <c r="E43" s="21">
        <f t="shared" si="0"/>
        <v>2.7515616875485316</v>
      </c>
      <c r="F43" s="21">
        <f t="shared" si="1"/>
        <v>7.302004188501407E-2</v>
      </c>
      <c r="G43" s="21">
        <f>[13]resumen_pais_destino!E84/1000000</f>
        <v>0.10671600000000001</v>
      </c>
      <c r="H43" s="24">
        <f>[13]resumen_pais_destino!F84/1000000</f>
        <v>0.12479800000000001</v>
      </c>
      <c r="I43" s="21">
        <f t="shared" si="3"/>
        <v>16.944038382248205</v>
      </c>
      <c r="J43" s="21">
        <f t="shared" si="5"/>
        <v>5.0796999370213473E-2</v>
      </c>
      <c r="K43" s="16"/>
    </row>
    <row r="44" spans="1:11">
      <c r="A44" s="14"/>
      <c r="B44" s="9" t="s">
        <v>2</v>
      </c>
      <c r="C44" s="21">
        <f>+C13-C14-C31-C43-C28-C29-C30</f>
        <v>434.60193474001954</v>
      </c>
      <c r="D44" s="24">
        <f>+D13-D14-D31-D43-D28-D29-D30</f>
        <v>446.95160366000903</v>
      </c>
      <c r="E44" s="21">
        <f t="shared" si="0"/>
        <v>2.8416046807010042</v>
      </c>
      <c r="F44" s="21">
        <f t="shared" si="1"/>
        <v>20.56723956641984</v>
      </c>
      <c r="G44" s="21">
        <f t="shared" ref="G44:H44" si="6">+G13-G14-G31-G43-G28-G29-G30</f>
        <v>52.388905300000985</v>
      </c>
      <c r="H44" s="24">
        <f t="shared" si="6"/>
        <v>51.467210029999251</v>
      </c>
      <c r="I44" s="21">
        <f t="shared" si="3"/>
        <v>-1.7593329441104366</v>
      </c>
      <c r="J44" s="21">
        <f t="shared" si="5"/>
        <v>20.948892093467173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68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totales'!C24</f>
        <v>655.95207863999747</v>
      </c>
      <c r="D13" s="24">
        <f>+'Resumen exportaciones totales'!D24</f>
        <v>679.22808282999654</v>
      </c>
      <c r="E13" s="24">
        <f>IF(OR(OR(D13=0,C13=0),D13=""),"",(D13/C13-1)*100)</f>
        <v>3.5484305863101806</v>
      </c>
      <c r="F13" s="22">
        <f>(D13/D$13)*100</f>
        <v>100</v>
      </c>
      <c r="G13" s="24">
        <f>+'Resumen exportaciones totales'!G24</f>
        <v>58.422400809999907</v>
      </c>
      <c r="H13" s="24">
        <f>+'Resumen exportaciones totales'!H24</f>
        <v>70.101548890000103</v>
      </c>
      <c r="I13" s="24">
        <f>IF(OR(OR(H13=0,G13=0),H13=""),"",(H13/G13-1)*100)</f>
        <v>19.990873223411132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32.148429</v>
      </c>
      <c r="D14" s="24">
        <f>+D15+D19</f>
        <v>21.033268</v>
      </c>
      <c r="E14" s="21">
        <f t="shared" ref="E14:E43" si="0">IF(OR(OR(D14=0,C14=0),D14=""),"",(D14/C14-1)*100)</f>
        <v>-34.574507513259825</v>
      </c>
      <c r="F14" s="21">
        <f t="shared" ref="F14:F43" si="1">(D14/D$13)*100</f>
        <v>3.0966428702955144</v>
      </c>
      <c r="G14" s="21">
        <f>+G15+G19</f>
        <v>1.8748749999999998</v>
      </c>
      <c r="H14" s="24">
        <f t="shared" ref="H14" si="2">+H15+H19</f>
        <v>2.5886430000000002</v>
      </c>
      <c r="I14" s="21">
        <f t="shared" ref="I14:I43" si="3">IF(OR(OR(H14=0,G14=0),H14=""),"",(H14/G14-1)*100)</f>
        <v>38.070164677645188</v>
      </c>
      <c r="J14" s="21">
        <f>(H14/H$13)*100</f>
        <v>3.6927044280604573</v>
      </c>
      <c r="K14" s="16"/>
    </row>
    <row r="15" spans="1:14">
      <c r="A15" s="14"/>
      <c r="B15" s="10" t="s">
        <v>57</v>
      </c>
      <c r="C15" s="21">
        <f>+SUM(C16:C18)</f>
        <v>18.359622999999999</v>
      </c>
      <c r="D15" s="24">
        <f>+SUM(D16:D18)</f>
        <v>8.1526069999999997</v>
      </c>
      <c r="E15" s="21">
        <f t="shared" si="0"/>
        <v>-55.594910636236918</v>
      </c>
      <c r="F15" s="21">
        <f>(D15/D$13)*100</f>
        <v>1.2002753134164079</v>
      </c>
      <c r="G15" s="21">
        <f t="shared" ref="G15:H15" si="4">+SUM(G16:G18)</f>
        <v>0.91222899999999996</v>
      </c>
      <c r="H15" s="24">
        <f t="shared" si="4"/>
        <v>0.62532799999999999</v>
      </c>
      <c r="I15" s="21">
        <f t="shared" si="3"/>
        <v>-31.450545860743297</v>
      </c>
      <c r="J15" s="21">
        <f t="shared" ref="J15:J43" si="5">(H15/H$13)*100</f>
        <v>0.89203164537952495</v>
      </c>
      <c r="K15" s="16"/>
    </row>
    <row r="16" spans="1:14">
      <c r="A16" s="14" t="s">
        <v>66</v>
      </c>
      <c r="B16" s="9" t="str">
        <f>CONCATENATE(A16,[14]resumen_pais_dest_prim!B7)</f>
        <v xml:space="preserve">   Bolivia</v>
      </c>
      <c r="C16" s="21">
        <f>[14]resumen_pais_dest_prim!C7/1000000</f>
        <v>0.487591</v>
      </c>
      <c r="D16" s="24">
        <f>[14]resumen_pais_dest_prim!D7/1000000</f>
        <v>0.45540799999999998</v>
      </c>
      <c r="E16" s="21">
        <f t="shared" si="0"/>
        <v>-6.6004089493038265</v>
      </c>
      <c r="F16" s="21">
        <f t="shared" si="1"/>
        <v>6.7047875597626566E-2</v>
      </c>
      <c r="G16" s="21">
        <f>[14]resumen_pais_dest_prim!E7/1000000</f>
        <v>0.17811399999999999</v>
      </c>
      <c r="H16" s="24">
        <f>[14]resumen_pais_dest_prim!F7/1000000</f>
        <v>2.7896000000000001E-2</v>
      </c>
      <c r="I16" s="21">
        <f t="shared" si="3"/>
        <v>-84.33812052954849</v>
      </c>
      <c r="J16" s="21">
        <f t="shared" si="5"/>
        <v>3.979369991349696E-2</v>
      </c>
      <c r="K16" s="16"/>
    </row>
    <row r="17" spans="1:11">
      <c r="A17" s="14" t="s">
        <v>66</v>
      </c>
      <c r="B17" s="9" t="str">
        <f>CONCATENATE(A17,[14]resumen_pais_dest_prim!B8)</f>
        <v xml:space="preserve">   Ecuador</v>
      </c>
      <c r="C17" s="21">
        <f>[14]resumen_pais_dest_prim!C8/1000000</f>
        <v>4.5723320000000003</v>
      </c>
      <c r="D17" s="24">
        <f>[14]resumen_pais_dest_prim!D8/1000000</f>
        <v>5.6275579999999996</v>
      </c>
      <c r="E17" s="21">
        <f t="shared" si="0"/>
        <v>23.078507859884169</v>
      </c>
      <c r="F17" s="21">
        <f t="shared" si="1"/>
        <v>0.82852257470757673</v>
      </c>
      <c r="G17" s="21">
        <f>[14]resumen_pais_dest_prim!E8/1000000</f>
        <v>0.58505600000000002</v>
      </c>
      <c r="H17" s="24">
        <f>[14]resumen_pais_dest_prim!F8/1000000</f>
        <v>0.44941500000000001</v>
      </c>
      <c r="I17" s="21">
        <f t="shared" si="3"/>
        <v>-23.18427637696221</v>
      </c>
      <c r="J17" s="21">
        <f t="shared" si="5"/>
        <v>0.6410913982873615</v>
      </c>
      <c r="K17" s="16"/>
    </row>
    <row r="18" spans="1:11">
      <c r="A18" s="14" t="s">
        <v>66</v>
      </c>
      <c r="B18" s="9" t="str">
        <f>CONCATENATE(A18,[14]resumen_pais_dest_prim!B9)</f>
        <v xml:space="preserve">   Perú </v>
      </c>
      <c r="C18" s="21">
        <f>[14]resumen_pais_dest_prim!C9/1000000</f>
        <v>13.2997</v>
      </c>
      <c r="D18" s="24">
        <f>[14]resumen_pais_dest_prim!D9/1000000</f>
        <v>2.0696409999999998</v>
      </c>
      <c r="E18" s="21">
        <f t="shared" si="0"/>
        <v>-84.438438461017924</v>
      </c>
      <c r="F18" s="21">
        <f t="shared" si="1"/>
        <v>0.30470486311120454</v>
      </c>
      <c r="G18" s="21">
        <f>[14]resumen_pais_dest_prim!E9/1000000</f>
        <v>0.149059</v>
      </c>
      <c r="H18" s="24">
        <f>[14]resumen_pais_dest_prim!F9/1000000</f>
        <v>0.14801700000000001</v>
      </c>
      <c r="I18" s="21">
        <f t="shared" si="3"/>
        <v>-0.69905205321382224</v>
      </c>
      <c r="J18" s="21">
        <f t="shared" si="5"/>
        <v>0.21114654717866646</v>
      </c>
      <c r="K18" s="16"/>
    </row>
    <row r="19" spans="1:11">
      <c r="A19" s="14"/>
      <c r="B19" s="10" t="s">
        <v>58</v>
      </c>
      <c r="C19" s="21">
        <f>SUM(C20:C26)</f>
        <v>13.788805999999999</v>
      </c>
      <c r="D19" s="24">
        <f>SUM(D20:D26)</f>
        <v>12.880660999999998</v>
      </c>
      <c r="E19" s="21">
        <f t="shared" si="0"/>
        <v>-6.5861032492588674</v>
      </c>
      <c r="F19" s="21">
        <f t="shared" si="1"/>
        <v>1.8963675568791063</v>
      </c>
      <c r="G19" s="21">
        <f>SUM(G20:G26)</f>
        <v>0.96264599999999989</v>
      </c>
      <c r="H19" s="24">
        <f>SUM(H20:H26)</f>
        <v>1.9633150000000001</v>
      </c>
      <c r="I19" s="21">
        <f t="shared" si="3"/>
        <v>103.94984241351443</v>
      </c>
      <c r="J19" s="21">
        <f t="shared" si="5"/>
        <v>2.8006727826809326</v>
      </c>
      <c r="K19" s="16"/>
    </row>
    <row r="20" spans="1:11">
      <c r="A20" s="14" t="s">
        <v>66</v>
      </c>
      <c r="B20" s="9" t="str">
        <f>CONCATENATE(A20,[14]resumen_pais_dest_prim!B23)</f>
        <v xml:space="preserve">   Argentina</v>
      </c>
      <c r="C20" s="21">
        <f>[14]resumen_pais_dest_prim!C23/1000000</f>
        <v>0.99153999999999998</v>
      </c>
      <c r="D20" s="24">
        <f>[14]resumen_pais_dest_prim!D23/1000000</f>
        <v>2.2701349999999998</v>
      </c>
      <c r="E20" s="21">
        <f t="shared" si="0"/>
        <v>128.95042055791998</v>
      </c>
      <c r="F20" s="21">
        <f t="shared" si="1"/>
        <v>0.33422278280095641</v>
      </c>
      <c r="G20" s="21">
        <f>[14]resumen_pais_dest_prim!E23/1000000</f>
        <v>0.111763</v>
      </c>
      <c r="H20" s="24">
        <f>[14]resumen_pais_dest_prim!F23/1000000</f>
        <v>0.34476299999999999</v>
      </c>
      <c r="I20" s="21">
        <f t="shared" si="3"/>
        <v>208.47686622585289</v>
      </c>
      <c r="J20" s="21">
        <f t="shared" si="5"/>
        <v>0.49180511052756498</v>
      </c>
      <c r="K20" s="16"/>
    </row>
    <row r="21" spans="1:11">
      <c r="A21" s="14" t="s">
        <v>66</v>
      </c>
      <c r="B21" s="9" t="str">
        <f>CONCATENATE(A21,[14]resumen_pais_dest_prim!B24)</f>
        <v xml:space="preserve">   Brasil </v>
      </c>
      <c r="C21" s="21">
        <f>[14]resumen_pais_dest_prim!C24/1000000</f>
        <v>8.3444249999999993</v>
      </c>
      <c r="D21" s="24">
        <f>[14]resumen_pais_dest_prim!D24/1000000</f>
        <v>2.9342519999999999</v>
      </c>
      <c r="E21" s="21">
        <f t="shared" si="0"/>
        <v>-64.835779577382496</v>
      </c>
      <c r="F21" s="21">
        <f t="shared" si="1"/>
        <v>0.43199803927047159</v>
      </c>
      <c r="G21" s="21">
        <f>[14]resumen_pais_dest_prim!E24/1000000</f>
        <v>0.22178100000000001</v>
      </c>
      <c r="H21" s="24">
        <f>[14]resumen_pais_dest_prim!F24/1000000</f>
        <v>0.24681700000000001</v>
      </c>
      <c r="I21" s="21">
        <f t="shared" si="3"/>
        <v>11.28861354218802</v>
      </c>
      <c r="J21" s="21">
        <f t="shared" si="5"/>
        <v>0.35208494520897543</v>
      </c>
      <c r="K21" s="16"/>
    </row>
    <row r="22" spans="1:11">
      <c r="A22" s="14" t="s">
        <v>66</v>
      </c>
      <c r="B22" s="9" t="str">
        <f>CONCATENATE(A22,[14]resumen_pais_dest_prim!B25)</f>
        <v xml:space="preserve">   Cuba </v>
      </c>
      <c r="C22" s="21">
        <f>[14]resumen_pais_dest_prim!C25/1000000</f>
        <v>0.218254</v>
      </c>
      <c r="D22" s="24">
        <f>[14]resumen_pais_dest_prim!D25/1000000</f>
        <v>0.12737999999999999</v>
      </c>
      <c r="E22" s="21">
        <f t="shared" si="0"/>
        <v>-41.636808489191502</v>
      </c>
      <c r="F22" s="21">
        <f t="shared" si="1"/>
        <v>1.8753641555760266E-2</v>
      </c>
      <c r="G22" s="21">
        <f>[14]resumen_pais_dest_prim!E25/1000000</f>
        <v>1.4411E-2</v>
      </c>
      <c r="H22" s="24">
        <f>[14]resumen_pais_dest_prim!F25/1000000</f>
        <v>0</v>
      </c>
      <c r="I22" s="21" t="str">
        <f t="shared" si="3"/>
        <v/>
      </c>
      <c r="J22" s="21">
        <f t="shared" si="5"/>
        <v>0</v>
      </c>
      <c r="K22" s="16"/>
    </row>
    <row r="23" spans="1:11">
      <c r="A23" s="14" t="s">
        <v>66</v>
      </c>
      <c r="B23" s="9" t="str">
        <f>CONCATENATE(A23,[14]resumen_pais_dest_prim!B26)</f>
        <v xml:space="preserve">   Chile </v>
      </c>
      <c r="C23" s="21">
        <f>[14]resumen_pais_dest_prim!C26/1000000</f>
        <v>2.8175819999999998</v>
      </c>
      <c r="D23" s="24">
        <f>[14]resumen_pais_dest_prim!D26/1000000</f>
        <v>5.0684990000000001</v>
      </c>
      <c r="E23" s="21">
        <f t="shared" si="0"/>
        <v>79.88825169950691</v>
      </c>
      <c r="F23" s="21">
        <f t="shared" si="1"/>
        <v>0.74621458213007819</v>
      </c>
      <c r="G23" s="21">
        <f>[14]resumen_pais_dest_prim!E26/1000000</f>
        <v>0.26732099999999998</v>
      </c>
      <c r="H23" s="24">
        <f>[14]resumen_pais_dest_prim!F26/1000000</f>
        <v>0.99348199999999998</v>
      </c>
      <c r="I23" s="21">
        <f t="shared" si="3"/>
        <v>271.64382895470243</v>
      </c>
      <c r="J23" s="21">
        <f t="shared" si="5"/>
        <v>1.417204064290966</v>
      </c>
      <c r="K23" s="16"/>
    </row>
    <row r="24" spans="1:11">
      <c r="A24" s="14" t="s">
        <v>66</v>
      </c>
      <c r="B24" s="9" t="str">
        <f>CONCATENATE(A24,[14]resumen_pais_dest_prim!B27)</f>
        <v xml:space="preserve">   México </v>
      </c>
      <c r="C24" s="21">
        <f>[14]resumen_pais_dest_prim!C27/1000000</f>
        <v>0.74942399999999998</v>
      </c>
      <c r="D24" s="24">
        <f>[14]resumen_pais_dest_prim!D27/1000000</f>
        <v>1.452175</v>
      </c>
      <c r="E24" s="21">
        <f t="shared" si="0"/>
        <v>93.772150344798135</v>
      </c>
      <c r="F24" s="21">
        <f t="shared" si="1"/>
        <v>0.21379784445153216</v>
      </c>
      <c r="G24" s="21">
        <f>[14]resumen_pais_dest_prim!E27/1000000</f>
        <v>0.153449</v>
      </c>
      <c r="H24" s="24">
        <f>[14]resumen_pais_dest_prim!F27/1000000</f>
        <v>0.28810799999999998</v>
      </c>
      <c r="I24" s="21">
        <f t="shared" si="3"/>
        <v>87.754889246590054</v>
      </c>
      <c r="J24" s="21">
        <f t="shared" si="5"/>
        <v>0.41098663947081232</v>
      </c>
      <c r="K24" s="16"/>
    </row>
    <row r="25" spans="1:11">
      <c r="A25" s="14" t="s">
        <v>66</v>
      </c>
      <c r="B25" s="9" t="str">
        <f>CONCATENATE(A25,[14]resumen_pais_dest_prim!B28)</f>
        <v xml:space="preserve">   Uruguay </v>
      </c>
      <c r="C25" s="21">
        <f>[14]resumen_pais_dest_prim!C28/1000000</f>
        <v>9.7598000000000004E-2</v>
      </c>
      <c r="D25" s="24">
        <f>[14]resumen_pais_dest_prim!D28/1000000</f>
        <v>0.14077700000000001</v>
      </c>
      <c r="E25" s="21">
        <f t="shared" si="0"/>
        <v>44.24168528043608</v>
      </c>
      <c r="F25" s="21">
        <f t="shared" si="1"/>
        <v>2.0726027612617864E-2</v>
      </c>
      <c r="G25" s="21">
        <f>[14]resumen_pais_dest_prim!E28/1000000</f>
        <v>5.5399999999999998E-3</v>
      </c>
      <c r="H25" s="24">
        <f>[14]resumen_pais_dest_prim!F28/1000000</f>
        <v>4.0229999999999997E-3</v>
      </c>
      <c r="I25" s="21">
        <f t="shared" si="3"/>
        <v>-27.382671480144406</v>
      </c>
      <c r="J25" s="21">
        <f t="shared" si="5"/>
        <v>5.738817563521589E-3</v>
      </c>
      <c r="K25" s="16"/>
    </row>
    <row r="26" spans="1:11">
      <c r="A26" s="14" t="s">
        <v>66</v>
      </c>
      <c r="B26" s="9" t="str">
        <f>CONCATENATE(A26,[14]resumen_pais_dest_prim!B29)</f>
        <v xml:space="preserve">   Venezuela</v>
      </c>
      <c r="C26" s="21">
        <f>[14]resumen_pais_dest_prim!C29/1000000</f>
        <v>0.56998300000000002</v>
      </c>
      <c r="D26" s="24">
        <f>[14]resumen_pais_dest_prim!D29/1000000</f>
        <v>0.88744299999999998</v>
      </c>
      <c r="E26" s="21">
        <f t="shared" si="0"/>
        <v>55.696397962746261</v>
      </c>
      <c r="F26" s="21">
        <f t="shared" si="1"/>
        <v>0.13065463905769004</v>
      </c>
      <c r="G26" s="21">
        <f>[14]resumen_pais_dest_prim!E29/1000000</f>
        <v>0.18838099999999999</v>
      </c>
      <c r="H26" s="24">
        <f>[14]resumen_pais_dest_prim!F29/1000000</f>
        <v>8.6122000000000004E-2</v>
      </c>
      <c r="I26" s="21">
        <f t="shared" si="3"/>
        <v>-54.283075257058819</v>
      </c>
      <c r="J26" s="21">
        <f t="shared" si="5"/>
        <v>0.12285320561909181</v>
      </c>
      <c r="K26" s="16"/>
    </row>
    <row r="27" spans="1:11">
      <c r="A27" s="14" t="s">
        <v>66</v>
      </c>
      <c r="B27" s="9" t="str">
        <f>CONCATENATE([14]resumen_pais_dest_prim!B43)</f>
        <v xml:space="preserve">Canadá </v>
      </c>
      <c r="C27" s="21">
        <f>[14]resumen_pais_dest_prim!C43/1000000</f>
        <v>22.07368</v>
      </c>
      <c r="D27" s="24">
        <f>[14]resumen_pais_dest_prim!D43/1000000</f>
        <v>16.245704</v>
      </c>
      <c r="E27" s="21">
        <f t="shared" ref="E27" si="6">IF(OR(OR(D27=0,C27=0),D27=""),"",(D27/C27-1)*100)</f>
        <v>-26.402376042417941</v>
      </c>
      <c r="F27" s="21">
        <f t="shared" ref="F27" si="7">(D27/D$13)*100</f>
        <v>2.3917892105274046</v>
      </c>
      <c r="G27" s="21">
        <f>[14]resumen_pais_dest_prim!E43/1000000</f>
        <v>2.8163429999999998</v>
      </c>
      <c r="H27" s="24">
        <f>[14]resumen_pais_dest_prim!F43/1000000</f>
        <v>2.6329359999999999</v>
      </c>
      <c r="I27" s="21">
        <f t="shared" ref="I27" si="8">IF(OR(OR(H27=0,G27=0),H27=""),"",(H27/G27-1)*100)</f>
        <v>-6.5122394537881156</v>
      </c>
      <c r="J27" s="21">
        <f t="shared" ref="J27" si="9">(H27/H$13)*100</f>
        <v>3.7558884813393685</v>
      </c>
      <c r="K27" s="16"/>
    </row>
    <row r="28" spans="1:11" s="98" customFormat="1">
      <c r="A28" s="104" t="s">
        <v>66</v>
      </c>
      <c r="B28" s="128" t="str">
        <f>CONCATENATE([14]resumen_pais_dest_prim!B44)</f>
        <v>Estados Unidos</v>
      </c>
      <c r="C28" s="21">
        <f>[14]resumen_pais_dest_prim!C44/1000000</f>
        <v>410.08412099999998</v>
      </c>
      <c r="D28" s="24">
        <f>[14]resumen_pais_dest_prim!D44/1000000</f>
        <v>437.84972900000002</v>
      </c>
      <c r="E28" s="21">
        <f t="shared" ref="E28:E29" si="10">IF(OR(OR(D28=0,C28=0),D28=""),"",(D28/C28-1)*100)</f>
        <v>6.7707103440857397</v>
      </c>
      <c r="F28" s="21">
        <f t="shared" ref="F28:F29" si="11">(D28/D$13)*100</f>
        <v>64.462842463124289</v>
      </c>
      <c r="G28" s="21">
        <f>[14]resumen_pais_dest_prim!E44/1000000</f>
        <v>34.266748999999997</v>
      </c>
      <c r="H28" s="24">
        <f>[14]resumen_pais_dest_prim!F44/1000000</f>
        <v>41.918247000000001</v>
      </c>
      <c r="I28" s="21">
        <f t="shared" ref="I28:I29" si="12">IF(OR(OR(H28=0,G28=0),H28=""),"",(H28/G28-1)*100)</f>
        <v>22.329220668117667</v>
      </c>
      <c r="J28" s="21">
        <f t="shared" ref="J28:J29" si="13">(H28/H$13)*100</f>
        <v>59.796463364562811</v>
      </c>
      <c r="K28" s="106"/>
    </row>
    <row r="29" spans="1:11" s="98" customFormat="1">
      <c r="A29" s="104" t="s">
        <v>66</v>
      </c>
      <c r="B29" s="128" t="str">
        <f>CONCATENATE([14]resumen_pais_dest_prim!B45)</f>
        <v xml:space="preserve">Puerto Rico </v>
      </c>
      <c r="C29" s="21">
        <f>[14]resumen_pais_dest_prim!C45/1000000</f>
        <v>2.1695920000000002</v>
      </c>
      <c r="D29" s="24">
        <f>[14]resumen_pais_dest_prim!D45/1000000</f>
        <v>2.1251410000000002</v>
      </c>
      <c r="E29" s="21">
        <f t="shared" si="10"/>
        <v>-2.0488183953480621</v>
      </c>
      <c r="F29" s="21">
        <f t="shared" si="11"/>
        <v>0.31287590335570681</v>
      </c>
      <c r="G29" s="21">
        <f>[14]resumen_pais_dest_prim!E45/1000000</f>
        <v>0.20094999999999999</v>
      </c>
      <c r="H29" s="24">
        <f>[14]resumen_pais_dest_prim!F45/1000000</f>
        <v>0.18664500000000001</v>
      </c>
      <c r="I29" s="21">
        <f t="shared" si="12"/>
        <v>-7.1186862403582962</v>
      </c>
      <c r="J29" s="21">
        <f t="shared" si="13"/>
        <v>0.2662494666029051</v>
      </c>
      <c r="K29" s="106"/>
    </row>
    <row r="30" spans="1:11">
      <c r="A30" s="14"/>
      <c r="B30" s="10" t="s">
        <v>48</v>
      </c>
      <c r="C30" s="21">
        <f>SUM(C31:C41)</f>
        <v>82.342056000000014</v>
      </c>
      <c r="D30" s="24">
        <f>SUM(D31:D41)</f>
        <v>94.800217999999987</v>
      </c>
      <c r="E30" s="21">
        <f t="shared" si="0"/>
        <v>15.129767952357142</v>
      </c>
      <c r="F30" s="21">
        <f t="shared" si="1"/>
        <v>13.957052188569103</v>
      </c>
      <c r="G30" s="21">
        <f>SUM(G31:G41)</f>
        <v>8.5046379999999999</v>
      </c>
      <c r="H30" s="24">
        <f>SUM(H31:H41)</f>
        <v>11.034271</v>
      </c>
      <c r="I30" s="21">
        <f t="shared" si="3"/>
        <v>29.74415842273357</v>
      </c>
      <c r="J30" s="21">
        <f t="shared" si="5"/>
        <v>15.740409698100159</v>
      </c>
      <c r="K30" s="16"/>
    </row>
    <row r="31" spans="1:11">
      <c r="A31" s="14" t="s">
        <v>66</v>
      </c>
      <c r="B31" s="9" t="str">
        <f>CONCATENATE(A31,[14]resumen_pais_dest_prim!B59)</f>
        <v xml:space="preserve">   Alemania </v>
      </c>
      <c r="C31" s="21">
        <f>[14]resumen_pais_dest_prim!C59/1000000</f>
        <v>10.761236999999999</v>
      </c>
      <c r="D31" s="24">
        <f>[14]resumen_pais_dest_prim!D59/1000000</f>
        <v>14.889435000000001</v>
      </c>
      <c r="E31" s="21">
        <f t="shared" si="0"/>
        <v>38.36174224208613</v>
      </c>
      <c r="F31" s="21">
        <f t="shared" si="1"/>
        <v>2.1921112180702731</v>
      </c>
      <c r="G31" s="21">
        <f>[14]resumen_pais_dest_prim!E59/1000000</f>
        <v>1.5190729999999999</v>
      </c>
      <c r="H31" s="24">
        <f>[14]resumen_pais_dest_prim!F59/1000000</f>
        <v>2.7791640000000002</v>
      </c>
      <c r="I31" s="21">
        <f t="shared" si="3"/>
        <v>82.951313070537111</v>
      </c>
      <c r="J31" s="21">
        <f t="shared" si="5"/>
        <v>3.9644830164322435</v>
      </c>
      <c r="K31" s="16"/>
    </row>
    <row r="32" spans="1:11">
      <c r="A32" s="14" t="s">
        <v>66</v>
      </c>
      <c r="B32" s="9" t="str">
        <f>CONCATENATE(A32,[14]resumen_pais_dest_prim!B60)</f>
        <v xml:space="preserve">   Bélgica </v>
      </c>
      <c r="C32" s="21">
        <f>[14]resumen_pais_dest_prim!C60/1000000</f>
        <v>7.3342700000000001</v>
      </c>
      <c r="D32" s="24">
        <f>[14]resumen_pais_dest_prim!D60/1000000</f>
        <v>15.236734999999999</v>
      </c>
      <c r="E32" s="21">
        <f t="shared" ref="E32:E39" si="14">IF(OR(OR(D32=0,C32=0),D32=""),"",(D32/C32-1)*100)</f>
        <v>107.74712411732862</v>
      </c>
      <c r="F32" s="21">
        <f t="shared" ref="F32:F39" si="15">(D32/D$13)*100</f>
        <v>2.2432427906273111</v>
      </c>
      <c r="G32" s="21">
        <f>[14]resumen_pais_dest_prim!E60/1000000</f>
        <v>0.86984899999999998</v>
      </c>
      <c r="H32" s="24">
        <f>[14]resumen_pais_dest_prim!F60/1000000</f>
        <v>1.72523</v>
      </c>
      <c r="I32" s="21">
        <f t="shared" si="3"/>
        <v>98.336722810510807</v>
      </c>
      <c r="J32" s="21">
        <f t="shared" si="5"/>
        <v>2.4610440529739877</v>
      </c>
      <c r="K32" s="16"/>
    </row>
    <row r="33" spans="1:11">
      <c r="A33" s="14" t="s">
        <v>66</v>
      </c>
      <c r="B33" s="9" t="str">
        <f>CONCATENATE(A33,[14]resumen_pais_dest_prim!B61)</f>
        <v xml:space="preserve">   España </v>
      </c>
      <c r="C33" s="21">
        <f>[14]resumen_pais_dest_prim!C61/1000000</f>
        <v>9.7802159999999994</v>
      </c>
      <c r="D33" s="24">
        <f>[14]resumen_pais_dest_prim!D61/1000000</f>
        <v>8.9191280000000006</v>
      </c>
      <c r="E33" s="21">
        <f t="shared" si="14"/>
        <v>-8.8043863243920111</v>
      </c>
      <c r="F33" s="21">
        <f t="shared" si="15"/>
        <v>1.3131270961057071</v>
      </c>
      <c r="G33" s="21">
        <f>[14]resumen_pais_dest_prim!E61/1000000</f>
        <v>0.77773800000000004</v>
      </c>
      <c r="H33" s="24">
        <f>[14]resumen_pais_dest_prim!F61/1000000</f>
        <v>0.75530799999999998</v>
      </c>
      <c r="I33" s="21">
        <f t="shared" si="3"/>
        <v>-2.8840046390944063</v>
      </c>
      <c r="J33" s="21">
        <f t="shared" si="5"/>
        <v>1.0774483759056339</v>
      </c>
      <c r="K33" s="16"/>
    </row>
    <row r="34" spans="1:11">
      <c r="A34" s="14" t="s">
        <v>66</v>
      </c>
      <c r="B34" s="9" t="str">
        <f>CONCATENATE(A34,[14]resumen_pais_dest_prim!B62)</f>
        <v xml:space="preserve">   Finlandia </v>
      </c>
      <c r="C34" s="21">
        <f>[14]resumen_pais_dest_prim!C62/1000000</f>
        <v>1.046457</v>
      </c>
      <c r="D34" s="24">
        <f>[14]resumen_pais_dest_prim!D62/1000000</f>
        <v>1.297488</v>
      </c>
      <c r="E34" s="21">
        <f t="shared" si="14"/>
        <v>23.988658874659929</v>
      </c>
      <c r="F34" s="21">
        <f t="shared" si="15"/>
        <v>0.19102390386952645</v>
      </c>
      <c r="G34" s="21">
        <f>[14]resumen_pais_dest_prim!E62/1000000</f>
        <v>0.380909</v>
      </c>
      <c r="H34" s="24">
        <f>[14]resumen_pais_dest_prim!F62/1000000</f>
        <v>0.36151299999999997</v>
      </c>
      <c r="I34" s="21">
        <f t="shared" si="3"/>
        <v>-5.0920298548997378</v>
      </c>
      <c r="J34" s="21">
        <f t="shared" si="5"/>
        <v>0.51569901910051708</v>
      </c>
      <c r="K34" s="16"/>
    </row>
    <row r="35" spans="1:11">
      <c r="A35" s="14" t="s">
        <v>66</v>
      </c>
      <c r="B35" s="9" t="str">
        <f>CONCATENATE(A35,[14]resumen_pais_dest_prim!B63)</f>
        <v xml:space="preserve">   Francia </v>
      </c>
      <c r="C35" s="21">
        <f>[14]resumen_pais_dest_prim!C63/1000000</f>
        <v>8.3410130000000002</v>
      </c>
      <c r="D35" s="24">
        <f>[14]resumen_pais_dest_prim!D63/1000000</f>
        <v>7.2873979999999996</v>
      </c>
      <c r="E35" s="21">
        <f t="shared" si="14"/>
        <v>-12.631739094520055</v>
      </c>
      <c r="F35" s="21">
        <f t="shared" si="15"/>
        <v>1.0728940961388307</v>
      </c>
      <c r="G35" s="21">
        <f>[14]resumen_pais_dest_prim!E63/1000000</f>
        <v>0.14150599999999999</v>
      </c>
      <c r="H35" s="24">
        <f>[14]resumen_pais_dest_prim!F63/1000000</f>
        <v>0.59131900000000004</v>
      </c>
      <c r="I35" s="21">
        <f t="shared" si="3"/>
        <v>317.87556711376197</v>
      </c>
      <c r="J35" s="21">
        <f t="shared" si="5"/>
        <v>0.84351773871340374</v>
      </c>
      <c r="K35" s="16"/>
    </row>
    <row r="36" spans="1:11">
      <c r="A36" s="14" t="s">
        <v>66</v>
      </c>
      <c r="B36" s="9" t="str">
        <f>CONCATENATE(A36,[14]resumen_pais_dest_prim!B64)</f>
        <v xml:space="preserve">   Italia </v>
      </c>
      <c r="C36" s="21">
        <f>[14]resumen_pais_dest_prim!C64/1000000</f>
        <v>5.0953910000000002</v>
      </c>
      <c r="D36" s="24">
        <f>[14]resumen_pais_dest_prim!D64/1000000</f>
        <v>7.1332630000000004</v>
      </c>
      <c r="E36" s="21">
        <f t="shared" si="14"/>
        <v>39.994418485254627</v>
      </c>
      <c r="F36" s="21">
        <f t="shared" si="15"/>
        <v>1.050201424281419</v>
      </c>
      <c r="G36" s="21">
        <f>[14]resumen_pais_dest_prim!E64/1000000</f>
        <v>0.27105200000000002</v>
      </c>
      <c r="H36" s="24">
        <f>[14]resumen_pais_dest_prim!F64/1000000</f>
        <v>0.60522699999999996</v>
      </c>
      <c r="I36" s="21">
        <f t="shared" si="3"/>
        <v>123.28815135103225</v>
      </c>
      <c r="J36" s="21">
        <f t="shared" si="5"/>
        <v>0.86335752858997783</v>
      </c>
      <c r="K36" s="16"/>
    </row>
    <row r="37" spans="1:11">
      <c r="A37" s="14" t="s">
        <v>66</v>
      </c>
      <c r="B37" s="9" t="str">
        <f>CONCATENATE(A37,[14]resumen_pais_dest_prim!B65)</f>
        <v xml:space="preserve">   Países Bajos </v>
      </c>
      <c r="C37" s="21">
        <f>[14]resumen_pais_dest_prim!C65/1000000</f>
        <v>15.47864</v>
      </c>
      <c r="D37" s="24">
        <f>[14]resumen_pais_dest_prim!D65/1000000</f>
        <v>14.06917</v>
      </c>
      <c r="E37" s="21">
        <f t="shared" si="14"/>
        <v>-9.1059033610187967</v>
      </c>
      <c r="F37" s="21">
        <f t="shared" si="15"/>
        <v>2.0713469239052889</v>
      </c>
      <c r="G37" s="21">
        <f>[14]resumen_pais_dest_prim!E65/1000000</f>
        <v>1.515582</v>
      </c>
      <c r="H37" s="24">
        <f>[14]resumen_pais_dest_prim!F65/1000000</f>
        <v>1.2677160000000001</v>
      </c>
      <c r="I37" s="21">
        <f t="shared" si="3"/>
        <v>-16.35450935680154</v>
      </c>
      <c r="J37" s="21">
        <f t="shared" si="5"/>
        <v>1.8083994149533524</v>
      </c>
      <c r="K37" s="16"/>
    </row>
    <row r="38" spans="1:11">
      <c r="A38" s="14" t="s">
        <v>66</v>
      </c>
      <c r="B38" s="9" t="str">
        <f>CONCATENATE(A38,[14]resumen_pais_dest_prim!B66)</f>
        <v xml:space="preserve">   Reino Unido </v>
      </c>
      <c r="C38" s="21">
        <f>[14]resumen_pais_dest_prim!C66/1000000</f>
        <v>17.514966999999999</v>
      </c>
      <c r="D38" s="24">
        <f>[14]resumen_pais_dest_prim!D66/1000000</f>
        <v>18.388691000000001</v>
      </c>
      <c r="E38" s="21">
        <f t="shared" si="14"/>
        <v>4.988442170630436</v>
      </c>
      <c r="F38" s="21">
        <f t="shared" si="15"/>
        <v>2.7072925081930825</v>
      </c>
      <c r="G38" s="21">
        <f>[14]resumen_pais_dest_prim!E66/1000000</f>
        <v>2.0384890000000002</v>
      </c>
      <c r="H38" s="24">
        <f>[14]resumen_pais_dest_prim!F66/1000000</f>
        <v>1.9970110000000001</v>
      </c>
      <c r="I38" s="21">
        <f t="shared" si="3"/>
        <v>-2.0347423998854142</v>
      </c>
      <c r="J38" s="21">
        <f t="shared" si="5"/>
        <v>2.8487401942196904</v>
      </c>
      <c r="K38" s="16"/>
    </row>
    <row r="39" spans="1:11">
      <c r="A39" s="14" t="s">
        <v>66</v>
      </c>
      <c r="B39" s="9" t="str">
        <f>CONCATENATE(A39,[14]resumen_pais_dest_prim!B67)</f>
        <v xml:space="preserve">   Rumania </v>
      </c>
      <c r="C39" s="21">
        <f>[14]resumen_pais_dest_prim!C67/1000000</f>
        <v>0.99770199999999998</v>
      </c>
      <c r="D39" s="24">
        <f>[14]resumen_pais_dest_prim!D67/1000000</f>
        <v>1.429408</v>
      </c>
      <c r="E39" s="21">
        <f t="shared" si="14"/>
        <v>43.27003453937148</v>
      </c>
      <c r="F39" s="21">
        <f t="shared" si="15"/>
        <v>0.21044595123988202</v>
      </c>
      <c r="G39" s="21">
        <f>[14]resumen_pais_dest_prim!E67/1000000</f>
        <v>0.37068099999999998</v>
      </c>
      <c r="H39" s="24">
        <f>[14]resumen_pais_dest_prim!F67/1000000</f>
        <v>0.20496400000000001</v>
      </c>
      <c r="I39" s="21">
        <f t="shared" si="3"/>
        <v>-44.706094998125067</v>
      </c>
      <c r="J39" s="21">
        <f t="shared" si="5"/>
        <v>0.29238155682069084</v>
      </c>
      <c r="K39" s="16"/>
    </row>
    <row r="40" spans="1:11" s="98" customFormat="1">
      <c r="A40" s="104" t="s">
        <v>66</v>
      </c>
      <c r="B40" s="128" t="str">
        <f>CONCATENATE(A40,[14]resumen_pais_dest_prim!B68)</f>
        <v xml:space="preserve">   Suecia </v>
      </c>
      <c r="C40" s="21">
        <f>[14]resumen_pais_dest_prim!C68/1000000</f>
        <v>2.505201</v>
      </c>
      <c r="D40" s="24">
        <f>[14]resumen_pais_dest_prim!D68/1000000</f>
        <v>2.2493509999999999</v>
      </c>
      <c r="E40" s="21">
        <f t="shared" ref="E40" si="16">IF(OR(OR(D40=0,C40=0),D40=""),"",(D40/C40-1)*100)</f>
        <v>-10.212753387851913</v>
      </c>
      <c r="F40" s="21">
        <f t="shared" ref="F40" si="17">(D40/D$13)*100</f>
        <v>0.33116283864885315</v>
      </c>
      <c r="G40" s="21">
        <f>[14]resumen_pais_dest_prim!E68/1000000</f>
        <v>0.16353799999999999</v>
      </c>
      <c r="H40" s="24">
        <f>[14]resumen_pais_dest_prim!F68/1000000</f>
        <v>0.24932199999999999</v>
      </c>
      <c r="I40" s="21">
        <f t="shared" ref="I40" si="18">IF(OR(OR(H40=0,G40=0),H40=""),"",(H40/G40-1)*100)</f>
        <v>52.455086891120104</v>
      </c>
      <c r="J40" s="21">
        <f t="shared" ref="J40" si="19">(H40/H$13)*100</f>
        <v>0.35565833272988556</v>
      </c>
      <c r="K40" s="106"/>
    </row>
    <row r="41" spans="1:11" s="98" customFormat="1">
      <c r="A41" s="104" t="s">
        <v>66</v>
      </c>
      <c r="B41" s="128" t="str">
        <f>CONCATENATE(A41,[14]resumen_pais_dest_prim!B69)</f>
        <v xml:space="preserve">   Resto </v>
      </c>
      <c r="C41" s="21">
        <f>[14]resumen_pais_dest_prim!C69/1000000</f>
        <v>3.4869620000000001</v>
      </c>
      <c r="D41" s="24">
        <f>[14]resumen_pais_dest_prim!D69/1000000</f>
        <v>3.9001510000000001</v>
      </c>
      <c r="E41" s="21">
        <f t="shared" ref="E41" si="20">IF(OR(OR(D41=0,C41=0),D41=""),"",(D41/C41-1)*100)</f>
        <v>11.849541233887839</v>
      </c>
      <c r="F41" s="21">
        <f t="shared" ref="F41" si="21">(D41/D$13)*100</f>
        <v>0.57420343748893043</v>
      </c>
      <c r="G41" s="21">
        <f>[14]resumen_pais_dest_prim!E69/1000000</f>
        <v>0.45622099999999999</v>
      </c>
      <c r="H41" s="24">
        <f>[14]resumen_pais_dest_prim!F69/1000000</f>
        <v>0.49749700000000002</v>
      </c>
      <c r="I41" s="21">
        <f t="shared" ref="I41" si="22">IF(OR(OR(H41=0,G41=0),H41=""),"",(H41/G41-1)*100)</f>
        <v>9.0473695862312464</v>
      </c>
      <c r="J41" s="21">
        <f t="shared" ref="J41" si="23">(H41/H$13)*100</f>
        <v>0.70968046766077564</v>
      </c>
      <c r="K41" s="106"/>
    </row>
    <row r="42" spans="1:11" s="147" customFormat="1">
      <c r="A42" s="104" t="s">
        <v>66</v>
      </c>
      <c r="B42" s="128" t="str">
        <f>+[14]resumen_pais_dest_prim!B83</f>
        <v>Suiza</v>
      </c>
      <c r="C42" s="21">
        <f>[14]resumen_pais_dest_prim!C83/1000000</f>
        <v>0.80540500000000004</v>
      </c>
      <c r="D42" s="24">
        <f>[14]resumen_pais_dest_prim!D83/1000000</f>
        <v>0.88537699999999997</v>
      </c>
      <c r="E42" s="21">
        <f t="shared" ref="E42" si="24">IF(OR(OR(D42=0,C42=0),D42=""),"",(D42/C42-1)*100)</f>
        <v>9.9294143940005242</v>
      </c>
      <c r="F42" s="21">
        <f t="shared" ref="F42" si="25">(D42/D$13)*100</f>
        <v>0.13035047024426408</v>
      </c>
      <c r="G42" s="21">
        <f>[14]resumen_pais_dest_prim!E83/1000000</f>
        <v>6.2617999999999993E-2</v>
      </c>
      <c r="H42" s="24">
        <f>[14]resumen_pais_dest_prim!F83/1000000</f>
        <v>6.2973000000000001E-2</v>
      </c>
      <c r="I42" s="21">
        <f t="shared" ref="I42" si="26">IF(OR(OR(H42=0,G42=0),H42=""),"",(H42/G42-1)*100)</f>
        <v>0.56692963684565889</v>
      </c>
      <c r="J42" s="21">
        <f t="shared" ref="J42" si="27">(H42/H$13)*100</f>
        <v>8.9831110720269725E-2</v>
      </c>
      <c r="K42" s="106"/>
    </row>
    <row r="43" spans="1:11">
      <c r="A43" s="14"/>
      <c r="B43" s="9" t="s">
        <v>2</v>
      </c>
      <c r="C43" s="21">
        <f>+C13-C14-C27-C28-C29-C30-C42</f>
        <v>106.32879563999755</v>
      </c>
      <c r="D43" s="24">
        <f>+D13-D14-D27-D28-D29-D30-D42</f>
        <v>106.28864582999644</v>
      </c>
      <c r="E43" s="21">
        <f t="shared" si="0"/>
        <v>-3.7760053388591341E-2</v>
      </c>
      <c r="F43" s="21">
        <f t="shared" si="1"/>
        <v>15.648446893883705</v>
      </c>
      <c r="G43" s="21">
        <f t="shared" ref="G43:H43" si="28">+G13-G14-G27-G28-G29-G30-G42</f>
        <v>10.696227809999911</v>
      </c>
      <c r="H43" s="24">
        <f t="shared" si="28"/>
        <v>11.677833890000098</v>
      </c>
      <c r="I43" s="21">
        <f t="shared" si="3"/>
        <v>9.1771239116885894</v>
      </c>
      <c r="J43" s="21">
        <f t="shared" si="5"/>
        <v>16.658453450614022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69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totales'!C25</f>
        <v>1507.4662419799945</v>
      </c>
      <c r="D13" s="24">
        <f>+'Resumen exportaciones totales'!D25</f>
        <v>1430.8850032799985</v>
      </c>
      <c r="E13" s="24">
        <f>IF(OR(OR(D13=0,C13=0),D13=""),"",(D13/C13-1)*100)</f>
        <v>-5.0801295954335686</v>
      </c>
      <c r="F13" s="22">
        <f>(D13/D$13)*100</f>
        <v>100</v>
      </c>
      <c r="G13" s="24">
        <f>+'Resumen exportaciones totales'!G25</f>
        <v>202.21350362000021</v>
      </c>
      <c r="H13" s="24">
        <f>+'Resumen exportaciones totales'!H25</f>
        <v>169.27808564000014</v>
      </c>
      <c r="I13" s="24">
        <f>IF(OR(OR(H13=0,G13=0),H13=""),"",(H13/G13-1)*100)</f>
        <v>-16.2874473714141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868.68968600000005</v>
      </c>
      <c r="D14" s="24">
        <f>+D15+D19</f>
        <v>813.665708</v>
      </c>
      <c r="E14" s="21">
        <f t="shared" ref="E14:E44" si="0">IF(OR(OR(D14=0,C14=0),D14=""),"",(D14/C14-1)*100)</f>
        <v>-6.3341350641982981</v>
      </c>
      <c r="F14" s="21">
        <f t="shared" ref="F14:F44" si="1">(D14/D$13)*100</f>
        <v>56.864507359770002</v>
      </c>
      <c r="G14" s="21">
        <f>+G15+G19</f>
        <v>117.268505</v>
      </c>
      <c r="H14" s="24">
        <f t="shared" ref="H14" si="2">+H15+H19</f>
        <v>97.535768000000019</v>
      </c>
      <c r="I14" s="21">
        <f t="shared" ref="I14:I44" si="3">IF(OR(OR(H14=0,G14=0),H14=""),"",(H14/G14-1)*100)</f>
        <v>-16.826970719887647</v>
      </c>
      <c r="J14" s="21">
        <f>(H14/H$13)*100</f>
        <v>57.618661997056797</v>
      </c>
      <c r="K14" s="16"/>
    </row>
    <row r="15" spans="1:14">
      <c r="A15" s="14"/>
      <c r="B15" s="10" t="s">
        <v>57</v>
      </c>
      <c r="C15" s="21">
        <f>+SUM(C16:C18)</f>
        <v>391.990926</v>
      </c>
      <c r="D15" s="24">
        <f>+SUM(D16:D18)</f>
        <v>433.12811499999998</v>
      </c>
      <c r="E15" s="21">
        <f t="shared" si="0"/>
        <v>10.494423791840513</v>
      </c>
      <c r="F15" s="21">
        <f>(D15/D$13)*100</f>
        <v>30.269945803271835</v>
      </c>
      <c r="G15" s="21">
        <f t="shared" ref="G15:H15" si="4">+SUM(G16:G18)</f>
        <v>50.016708000000001</v>
      </c>
      <c r="H15" s="24">
        <f t="shared" si="4"/>
        <v>48.352700000000006</v>
      </c>
      <c r="I15" s="21">
        <f t="shared" si="3"/>
        <v>-3.3269042816652328</v>
      </c>
      <c r="J15" s="21">
        <f t="shared" ref="J15:J44" si="5">(H15/H$13)*100</f>
        <v>28.564063574555416</v>
      </c>
      <c r="K15" s="16"/>
    </row>
    <row r="16" spans="1:14">
      <c r="A16" s="14" t="s">
        <v>66</v>
      </c>
      <c r="B16" s="9" t="str">
        <f>CONCATENATE(A16,[15]res_pais_dest_manufacturas!B7)</f>
        <v xml:space="preserve">   Bolivia</v>
      </c>
      <c r="C16" s="21">
        <f>[15]res_pais_dest_manufacturas!C7/1000000</f>
        <v>11.794663999999999</v>
      </c>
      <c r="D16" s="24">
        <f>[15]res_pais_dest_manufacturas!D7/1000000</f>
        <v>26.660774</v>
      </c>
      <c r="E16" s="21">
        <f t="shared" si="0"/>
        <v>126.04097920890331</v>
      </c>
      <c r="F16" s="21">
        <f t="shared" si="1"/>
        <v>1.863236663944752</v>
      </c>
      <c r="G16" s="21">
        <f>[15]res_pais_dest_manufacturas!E7/1000000</f>
        <v>1.709111</v>
      </c>
      <c r="H16" s="24">
        <f>[15]res_pais_dest_manufacturas!F7/1000000</f>
        <v>1.9352499999999999</v>
      </c>
      <c r="I16" s="21">
        <f t="shared" si="3"/>
        <v>13.231381694927947</v>
      </c>
      <c r="J16" s="21">
        <f t="shared" si="5"/>
        <v>1.1432371725396588</v>
      </c>
      <c r="K16" s="16"/>
    </row>
    <row r="17" spans="1:11">
      <c r="A17" s="14" t="s">
        <v>66</v>
      </c>
      <c r="B17" s="9" t="str">
        <f>CONCATENATE(A17,[15]res_pais_dest_manufacturas!B8)</f>
        <v xml:space="preserve">   Ecuador</v>
      </c>
      <c r="C17" s="21">
        <f>[15]res_pais_dest_manufacturas!C8/1000000</f>
        <v>275.15648199999998</v>
      </c>
      <c r="D17" s="24">
        <f>[15]res_pais_dest_manufacturas!D8/1000000</f>
        <v>295.74259999999998</v>
      </c>
      <c r="E17" s="21">
        <f t="shared" si="0"/>
        <v>7.4816038678674479</v>
      </c>
      <c r="F17" s="21">
        <f t="shared" si="1"/>
        <v>20.668509301730971</v>
      </c>
      <c r="G17" s="21">
        <f>[15]res_pais_dest_manufacturas!E8/1000000</f>
        <v>36.362121000000002</v>
      </c>
      <c r="H17" s="24">
        <f>[15]res_pais_dest_manufacturas!F8/1000000</f>
        <v>32.987012</v>
      </c>
      <c r="I17" s="21">
        <f t="shared" si="3"/>
        <v>-9.2819365515009462</v>
      </c>
      <c r="J17" s="21">
        <f t="shared" si="5"/>
        <v>19.486876801142902</v>
      </c>
      <c r="K17" s="16"/>
    </row>
    <row r="18" spans="1:11">
      <c r="A18" s="14" t="s">
        <v>66</v>
      </c>
      <c r="B18" s="9" t="str">
        <f>CONCATENATE(A18,[15]res_pais_dest_manufacturas!B9)</f>
        <v xml:space="preserve">   Perú </v>
      </c>
      <c r="C18" s="21">
        <f>[15]res_pais_dest_manufacturas!C9/1000000</f>
        <v>105.03977999999999</v>
      </c>
      <c r="D18" s="24">
        <f>[15]res_pais_dest_manufacturas!D9/1000000</f>
        <v>110.72474099999999</v>
      </c>
      <c r="E18" s="21">
        <f t="shared" si="0"/>
        <v>5.4121981215116799</v>
      </c>
      <c r="F18" s="21">
        <f t="shared" si="1"/>
        <v>7.7381998375961141</v>
      </c>
      <c r="G18" s="21">
        <f>[15]res_pais_dest_manufacturas!E9/1000000</f>
        <v>11.945475999999999</v>
      </c>
      <c r="H18" s="24">
        <f>[15]res_pais_dest_manufacturas!F9/1000000</f>
        <v>13.430438000000001</v>
      </c>
      <c r="I18" s="21">
        <f t="shared" si="3"/>
        <v>12.431166409777239</v>
      </c>
      <c r="J18" s="21">
        <f t="shared" si="5"/>
        <v>7.9339496008728538</v>
      </c>
      <c r="K18" s="16"/>
    </row>
    <row r="19" spans="1:11">
      <c r="A19" s="14"/>
      <c r="B19" s="10" t="s">
        <v>58</v>
      </c>
      <c r="C19" s="21">
        <f>SUM(C20:C27)</f>
        <v>476.69876000000005</v>
      </c>
      <c r="D19" s="24">
        <f>SUM(D20:D27)</f>
        <v>380.53759300000002</v>
      </c>
      <c r="E19" s="21">
        <f t="shared" si="0"/>
        <v>-20.17231322355444</v>
      </c>
      <c r="F19" s="21">
        <f t="shared" si="1"/>
        <v>26.594561556498164</v>
      </c>
      <c r="G19" s="21">
        <f t="shared" ref="G19:H19" si="6">SUM(G20:G27)</f>
        <v>67.251796999999996</v>
      </c>
      <c r="H19" s="24">
        <f t="shared" si="6"/>
        <v>49.183068000000006</v>
      </c>
      <c r="I19" s="21">
        <f t="shared" si="3"/>
        <v>-26.86728058731277</v>
      </c>
      <c r="J19" s="21">
        <f t="shared" si="5"/>
        <v>29.054598422501371</v>
      </c>
      <c r="K19" s="16"/>
    </row>
    <row r="20" spans="1:11">
      <c r="A20" s="14" t="s">
        <v>66</v>
      </c>
      <c r="B20" s="9" t="str">
        <f>CONCATENATE(A20,[15]res_pais_dest_manufacturas!B23)</f>
        <v xml:space="preserve">   Argentina</v>
      </c>
      <c r="C20" s="21">
        <f>[15]res_pais_dest_manufacturas!C23/1000000</f>
        <v>11.039676</v>
      </c>
      <c r="D20" s="24">
        <f>[15]res_pais_dest_manufacturas!D23/1000000</f>
        <v>18.026060000000001</v>
      </c>
      <c r="E20" s="21">
        <f t="shared" si="0"/>
        <v>63.284321025363433</v>
      </c>
      <c r="F20" s="21">
        <f t="shared" si="1"/>
        <v>1.2597839769568557</v>
      </c>
      <c r="G20" s="21">
        <f>[15]res_pais_dest_manufacturas!E23/1000000</f>
        <v>1.3458239999999999</v>
      </c>
      <c r="H20" s="24">
        <f>[15]res_pais_dest_manufacturas!F23/1000000</f>
        <v>1.5024059999999999</v>
      </c>
      <c r="I20" s="21">
        <f t="shared" si="3"/>
        <v>11.634656537556175</v>
      </c>
      <c r="J20" s="21">
        <f t="shared" si="5"/>
        <v>0.88753721092707327</v>
      </c>
      <c r="K20" s="16"/>
    </row>
    <row r="21" spans="1:11">
      <c r="A21" s="14" t="s">
        <v>66</v>
      </c>
      <c r="B21" s="9" t="str">
        <f>CONCATENATE(A21,[15]res_pais_dest_manufacturas!B24)</f>
        <v xml:space="preserve">   Brasil </v>
      </c>
      <c r="C21" s="21">
        <f>[15]res_pais_dest_manufacturas!C24/1000000</f>
        <v>51.267682000000001</v>
      </c>
      <c r="D21" s="24">
        <f>[15]res_pais_dest_manufacturas!D24/1000000</f>
        <v>33.331249999999997</v>
      </c>
      <c r="E21" s="21">
        <f t="shared" si="0"/>
        <v>-34.985845468886232</v>
      </c>
      <c r="F21" s="21">
        <f t="shared" si="1"/>
        <v>2.3294150070477517</v>
      </c>
      <c r="G21" s="21">
        <f>[15]res_pais_dest_manufacturas!E24/1000000</f>
        <v>5.2037459999999998</v>
      </c>
      <c r="H21" s="24">
        <f>[15]res_pais_dest_manufacturas!F24/1000000</f>
        <v>4.257034</v>
      </c>
      <c r="I21" s="21">
        <f t="shared" si="3"/>
        <v>-18.192894118967374</v>
      </c>
      <c r="J21" s="21">
        <f t="shared" si="5"/>
        <v>2.5148169557241671</v>
      </c>
      <c r="K21" s="16"/>
    </row>
    <row r="22" spans="1:11">
      <c r="A22" s="14" t="s">
        <v>66</v>
      </c>
      <c r="B22" s="9" t="str">
        <f>CONCATENATE(A22,[15]res_pais_dest_manufacturas!B25)</f>
        <v xml:space="preserve">   Cuba </v>
      </c>
      <c r="C22" s="21">
        <f>[15]res_pais_dest_manufacturas!C25/1000000</f>
        <v>3.7491819999999998</v>
      </c>
      <c r="D22" s="24">
        <f>[15]res_pais_dest_manufacturas!D25/1000000</f>
        <v>4.1386039999999999</v>
      </c>
      <c r="E22" s="21">
        <f t="shared" si="0"/>
        <v>10.386852385400335</v>
      </c>
      <c r="F22" s="21">
        <f t="shared" si="1"/>
        <v>0.28923386509140381</v>
      </c>
      <c r="G22" s="21">
        <f>[15]res_pais_dest_manufacturas!E25/1000000</f>
        <v>0.638791</v>
      </c>
      <c r="H22" s="24">
        <f>[15]res_pais_dest_manufacturas!F25/1000000</f>
        <v>0.29679800000000001</v>
      </c>
      <c r="I22" s="21">
        <f t="shared" si="3"/>
        <v>-53.537542012958859</v>
      </c>
      <c r="J22" s="21">
        <f t="shared" si="5"/>
        <v>0.17533161417668297</v>
      </c>
      <c r="K22" s="16"/>
    </row>
    <row r="23" spans="1:11">
      <c r="A23" s="14" t="s">
        <v>66</v>
      </c>
      <c r="B23" s="9" t="str">
        <f>CONCATENATE(A23,[15]res_pais_dest_manufacturas!B26)</f>
        <v xml:space="preserve">   Chile </v>
      </c>
      <c r="C23" s="21">
        <f>[15]res_pais_dest_manufacturas!C26/1000000</f>
        <v>48.973056999999997</v>
      </c>
      <c r="D23" s="24">
        <f>[15]res_pais_dest_manufacturas!D26/1000000</f>
        <v>48.474891999999997</v>
      </c>
      <c r="E23" s="21">
        <f t="shared" si="0"/>
        <v>-1.0172225924144351</v>
      </c>
      <c r="F23" s="21">
        <f t="shared" si="1"/>
        <v>3.38775596144216</v>
      </c>
      <c r="G23" s="21">
        <f>[15]res_pais_dest_manufacturas!E26/1000000</f>
        <v>7.1013169999999999</v>
      </c>
      <c r="H23" s="24">
        <f>[15]res_pais_dest_manufacturas!F26/1000000</f>
        <v>6.0678270000000003</v>
      </c>
      <c r="I23" s="21">
        <f t="shared" si="3"/>
        <v>-14.553497611781019</v>
      </c>
      <c r="J23" s="21">
        <f t="shared" si="5"/>
        <v>3.5845319121249455</v>
      </c>
      <c r="K23" s="16"/>
    </row>
    <row r="24" spans="1:11">
      <c r="A24" s="14" t="s">
        <v>66</v>
      </c>
      <c r="B24" s="9" t="str">
        <f>CONCATENATE(A24,[15]res_pais_dest_manufacturas!B27)</f>
        <v xml:space="preserve">   México </v>
      </c>
      <c r="C24" s="21">
        <f>[15]res_pais_dest_manufacturas!C27/1000000</f>
        <v>81.615412000000006</v>
      </c>
      <c r="D24" s="24">
        <f>[15]res_pais_dest_manufacturas!D27/1000000</f>
        <v>94.871263999999996</v>
      </c>
      <c r="E24" s="21">
        <f t="shared" si="0"/>
        <v>16.241849027240086</v>
      </c>
      <c r="F24" s="21">
        <f t="shared" si="1"/>
        <v>6.6302507736490268</v>
      </c>
      <c r="G24" s="21">
        <f>[15]res_pais_dest_manufacturas!E27/1000000</f>
        <v>10.564164999999999</v>
      </c>
      <c r="H24" s="24">
        <f>[15]res_pais_dest_manufacturas!F27/1000000</f>
        <v>11.330348000000001</v>
      </c>
      <c r="I24" s="21">
        <f t="shared" si="3"/>
        <v>7.2526602907092119</v>
      </c>
      <c r="J24" s="21">
        <f t="shared" si="5"/>
        <v>6.6933342004445837</v>
      </c>
      <c r="K24" s="16"/>
    </row>
    <row r="25" spans="1:11">
      <c r="A25" s="14" t="s">
        <v>66</v>
      </c>
      <c r="B25" s="9" t="str">
        <f>CONCATENATE(A25,[15]res_pais_dest_manufacturas!B28)</f>
        <v xml:space="preserve">   Paraguay </v>
      </c>
      <c r="C25" s="21">
        <f>[15]res_pais_dest_manufacturas!C28/1000000</f>
        <v>1.9171320000000001</v>
      </c>
      <c r="D25" s="24">
        <f>[15]res_pais_dest_manufacturas!D28/1000000</f>
        <v>2.6857169999999999</v>
      </c>
      <c r="E25" s="21">
        <f t="shared" si="0"/>
        <v>40.090353715863067</v>
      </c>
      <c r="F25" s="21">
        <f t="shared" si="1"/>
        <v>0.18769621554796975</v>
      </c>
      <c r="G25" s="21">
        <f>[15]res_pais_dest_manufacturas!E28/1000000</f>
        <v>0.33702399999999999</v>
      </c>
      <c r="H25" s="24">
        <f>[15]res_pais_dest_manufacturas!F28/1000000</f>
        <v>0.79164299999999999</v>
      </c>
      <c r="I25" s="21">
        <f t="shared" si="3"/>
        <v>134.89217385112039</v>
      </c>
      <c r="J25" s="21">
        <f t="shared" si="5"/>
        <v>0.46765828961674888</v>
      </c>
      <c r="K25" s="16"/>
    </row>
    <row r="26" spans="1:11">
      <c r="A26" s="14" t="s">
        <v>66</v>
      </c>
      <c r="B26" s="9" t="str">
        <f>CONCATENATE(A26,[15]res_pais_dest_manufacturas!B29)</f>
        <v xml:space="preserve">   Uruguay </v>
      </c>
      <c r="C26" s="21">
        <f>[15]res_pais_dest_manufacturas!C29/1000000</f>
        <v>0.963063</v>
      </c>
      <c r="D26" s="24">
        <f>[15]res_pais_dest_manufacturas!D29/1000000</f>
        <v>1.407618</v>
      </c>
      <c r="E26" s="21">
        <f t="shared" si="0"/>
        <v>46.160531554010497</v>
      </c>
      <c r="F26" s="21">
        <f t="shared" si="1"/>
        <v>9.8373943173164585E-2</v>
      </c>
      <c r="G26" s="21">
        <f>[15]res_pais_dest_manufacturas!E29/1000000</f>
        <v>7.1735999999999994E-2</v>
      </c>
      <c r="H26" s="24">
        <f>[15]res_pais_dest_manufacturas!F29/1000000</f>
        <v>0.161243</v>
      </c>
      <c r="I26" s="21">
        <f t="shared" si="3"/>
        <v>124.7727779636445</v>
      </c>
      <c r="J26" s="21">
        <f t="shared" si="5"/>
        <v>9.5253322005845353E-2</v>
      </c>
      <c r="K26" s="16"/>
    </row>
    <row r="27" spans="1:11">
      <c r="A27" s="14" t="s">
        <v>66</v>
      </c>
      <c r="B27" s="9" t="str">
        <f>CONCATENATE(A27,[15]res_pais_dest_manufacturas!B30)</f>
        <v xml:space="preserve">   Venezuela</v>
      </c>
      <c r="C27" s="21">
        <f>[15]res_pais_dest_manufacturas!C30/1000000</f>
        <v>277.17355600000002</v>
      </c>
      <c r="D27" s="24">
        <f>[15]res_pais_dest_manufacturas!D30/1000000</f>
        <v>177.60218800000001</v>
      </c>
      <c r="E27" s="21">
        <f t="shared" ref="E27" si="7">IF(OR(OR(D27=0,C27=0),D27=""),"",(D27/C27-1)*100)</f>
        <v>-35.923833946121462</v>
      </c>
      <c r="F27" s="21">
        <f t="shared" ref="F27" si="8">(D27/D$13)*100</f>
        <v>12.412051813589835</v>
      </c>
      <c r="G27" s="21">
        <f>[15]res_pais_dest_manufacturas!E30/1000000</f>
        <v>41.989193999999998</v>
      </c>
      <c r="H27" s="24">
        <f>[15]res_pais_dest_manufacturas!F30/1000000</f>
        <v>24.775769</v>
      </c>
      <c r="I27" s="21">
        <f t="shared" ref="I27" si="9">IF(OR(OR(H27=0,G27=0),H27=""),"",(H27/G27-1)*100)</f>
        <v>-40.994892638329752</v>
      </c>
      <c r="J27" s="21">
        <f t="shared" ref="J27" si="10">(H27/H$13)*100</f>
        <v>14.636134917481325</v>
      </c>
      <c r="K27" s="16"/>
    </row>
    <row r="28" spans="1:11">
      <c r="A28" s="14" t="s">
        <v>66</v>
      </c>
      <c r="B28" s="9" t="str">
        <f>[15]res_pais_dest_manufacturas!B44</f>
        <v xml:space="preserve">Canadá </v>
      </c>
      <c r="C28" s="21">
        <f>[15]res_pais_dest_manufacturas!C44/1000000</f>
        <v>9.9519210000000005</v>
      </c>
      <c r="D28" s="24">
        <f>[15]res_pais_dest_manufacturas!D44/1000000</f>
        <v>6.2531939999999997</v>
      </c>
      <c r="E28" s="21">
        <f t="shared" si="0"/>
        <v>-37.165960220142424</v>
      </c>
      <c r="F28" s="21">
        <f t="shared" si="1"/>
        <v>0.43701583185691978</v>
      </c>
      <c r="G28" s="21">
        <f>[15]res_pais_dest_manufacturas!E44/1000000</f>
        <v>1.111073</v>
      </c>
      <c r="H28" s="24">
        <f>[15]res_pais_dest_manufacturas!F44/1000000</f>
        <v>0.670933</v>
      </c>
      <c r="I28" s="21">
        <f t="shared" si="3"/>
        <v>-39.613958758785429</v>
      </c>
      <c r="J28" s="21">
        <f t="shared" si="5"/>
        <v>0.396349590948741</v>
      </c>
      <c r="K28" s="16"/>
    </row>
    <row r="29" spans="1:11">
      <c r="A29" s="14" t="s">
        <v>66</v>
      </c>
      <c r="B29" s="9" t="str">
        <f>[15]res_pais_dest_manufacturas!B45</f>
        <v>Estados Unidos</v>
      </c>
      <c r="C29" s="21">
        <f>[15]res_pais_dest_manufacturas!C45/1000000</f>
        <v>174.02885499999999</v>
      </c>
      <c r="D29" s="24">
        <f>[15]res_pais_dest_manufacturas!D45/1000000</f>
        <v>198.26299700000001</v>
      </c>
      <c r="E29" s="21">
        <f t="shared" si="0"/>
        <v>13.9253585274695</v>
      </c>
      <c r="F29" s="21">
        <f t="shared" si="1"/>
        <v>13.855970014747824</v>
      </c>
      <c r="G29" s="21">
        <f>[15]res_pais_dest_manufacturas!E45/1000000</f>
        <v>26.734221999999999</v>
      </c>
      <c r="H29" s="24">
        <f>[15]res_pais_dest_manufacturas!F45/1000000</f>
        <v>23.842179999999999</v>
      </c>
      <c r="I29" s="21">
        <f t="shared" si="3"/>
        <v>-10.817752616851916</v>
      </c>
      <c r="J29" s="21">
        <f t="shared" si="5"/>
        <v>14.084622891296528</v>
      </c>
      <c r="K29" s="16"/>
    </row>
    <row r="30" spans="1:11">
      <c r="A30" s="14" t="s">
        <v>66</v>
      </c>
      <c r="B30" s="9" t="str">
        <f>[15]res_pais_dest_manufacturas!B46</f>
        <v xml:space="preserve">Puerto Rico </v>
      </c>
      <c r="C30" s="21">
        <f>[15]res_pais_dest_manufacturas!C46/1000000</f>
        <v>12.293939</v>
      </c>
      <c r="D30" s="24">
        <f>[15]res_pais_dest_manufacturas!D46/1000000</f>
        <v>10.183332999999999</v>
      </c>
      <c r="E30" s="21">
        <f t="shared" ref="E30" si="11">IF(OR(OR(D30=0,C30=0),D30=""),"",(D30/C30-1)*100)</f>
        <v>-17.16785808031096</v>
      </c>
      <c r="F30" s="21">
        <f t="shared" ref="F30" si="12">(D30/D$13)*100</f>
        <v>0.71168074140527582</v>
      </c>
      <c r="G30" s="21">
        <f>[15]res_pais_dest_manufacturas!E46/1000000</f>
        <v>1.6049329999999999</v>
      </c>
      <c r="H30" s="24">
        <f>[15]res_pais_dest_manufacturas!F46/1000000</f>
        <v>0.75048300000000001</v>
      </c>
      <c r="I30" s="21">
        <f t="shared" ref="I30" si="13">IF(OR(OR(H30=0,G30=0),H30=""),"",(H30/G30-1)*100)</f>
        <v>-53.238982561888882</v>
      </c>
      <c r="J30" s="21">
        <f t="shared" ref="J30" si="14">(H30/H$13)*100</f>
        <v>0.44334326984063088</v>
      </c>
      <c r="K30" s="16"/>
    </row>
    <row r="31" spans="1:11">
      <c r="A31" s="14"/>
      <c r="B31" s="10" t="s">
        <v>48</v>
      </c>
      <c r="C31" s="21">
        <f>SUM(C32:C42)</f>
        <v>125.001845</v>
      </c>
      <c r="D31" s="24">
        <f>SUM(D32:D42)</f>
        <v>76.456358999999992</v>
      </c>
      <c r="E31" s="21">
        <f t="shared" si="0"/>
        <v>-38.835815583361999</v>
      </c>
      <c r="F31" s="21">
        <f t="shared" si="1"/>
        <v>5.3432916568934683</v>
      </c>
      <c r="G31" s="21">
        <f t="shared" ref="G31:H31" si="15">SUM(G32:G42)</f>
        <v>15.193266999999999</v>
      </c>
      <c r="H31" s="24">
        <f t="shared" si="15"/>
        <v>7.9227659999999984</v>
      </c>
      <c r="I31" s="21">
        <f t="shared" si="3"/>
        <v>-47.853440606289624</v>
      </c>
      <c r="J31" s="21">
        <f t="shared" si="5"/>
        <v>4.6803258496490594</v>
      </c>
      <c r="K31" s="16"/>
    </row>
    <row r="32" spans="1:11">
      <c r="A32" s="14" t="s">
        <v>66</v>
      </c>
      <c r="B32" s="9" t="str">
        <f>CONCATENATE(A32,[15]res_pais_dest_manufacturas!B60)</f>
        <v xml:space="preserve">   Alemania </v>
      </c>
      <c r="C32" s="21">
        <f>[15]res_pais_dest_manufacturas!C60/1000000</f>
        <v>8.1800219999999992</v>
      </c>
      <c r="D32" s="24">
        <f>[15]res_pais_dest_manufacturas!D60/1000000</f>
        <v>12.574991000000001</v>
      </c>
      <c r="E32" s="21">
        <f t="shared" si="0"/>
        <v>53.728082882906691</v>
      </c>
      <c r="F32" s="21">
        <f t="shared" si="1"/>
        <v>0.87882610909853121</v>
      </c>
      <c r="G32" s="21">
        <f>[15]res_pais_dest_manufacturas!E60/1000000</f>
        <v>1.118611</v>
      </c>
      <c r="H32" s="24">
        <f>[15]res_pais_dest_manufacturas!F60/1000000</f>
        <v>1.101731</v>
      </c>
      <c r="I32" s="21">
        <f t="shared" si="3"/>
        <v>-1.5090143043470894</v>
      </c>
      <c r="J32" s="21">
        <f t="shared" si="5"/>
        <v>0.65084089049956906</v>
      </c>
      <c r="K32" s="16"/>
    </row>
    <row r="33" spans="1:11">
      <c r="A33" s="14" t="s">
        <v>66</v>
      </c>
      <c r="B33" s="9" t="str">
        <f>CONCATENATE(A33,[15]res_pais_dest_manufacturas!B61)</f>
        <v xml:space="preserve">   Bélgica </v>
      </c>
      <c r="C33" s="21">
        <f>[15]res_pais_dest_manufacturas!C61/1000000</f>
        <v>1.8814949999999999</v>
      </c>
      <c r="D33" s="24">
        <f>[15]res_pais_dest_manufacturas!D61/1000000</f>
        <v>7.3646690000000001</v>
      </c>
      <c r="E33" s="21">
        <f t="shared" si="0"/>
        <v>291.42644545959462</v>
      </c>
      <c r="F33" s="21">
        <f t="shared" si="1"/>
        <v>0.51469328304637119</v>
      </c>
      <c r="G33" s="21">
        <f>[15]res_pais_dest_manufacturas!E61/1000000</f>
        <v>0.63133099999999998</v>
      </c>
      <c r="H33" s="24">
        <f>[15]res_pais_dest_manufacturas!F61/1000000</f>
        <v>0.97344699999999995</v>
      </c>
      <c r="I33" s="21">
        <f t="shared" si="3"/>
        <v>54.189640616411985</v>
      </c>
      <c r="J33" s="21">
        <f t="shared" si="5"/>
        <v>0.57505789737615987</v>
      </c>
      <c r="K33" s="16"/>
    </row>
    <row r="34" spans="1:11">
      <c r="A34" s="14" t="s">
        <v>66</v>
      </c>
      <c r="B34" s="9" t="str">
        <f>CONCATENATE(A34,[15]res_pais_dest_manufacturas!B62)</f>
        <v xml:space="preserve">   España </v>
      </c>
      <c r="C34" s="21">
        <f>[15]res_pais_dest_manufacturas!C62/1000000</f>
        <v>16.496680999999999</v>
      </c>
      <c r="D34" s="24">
        <f>[15]res_pais_dest_manufacturas!D62/1000000</f>
        <v>12.061766</v>
      </c>
      <c r="E34" s="21">
        <f t="shared" si="0"/>
        <v>-26.883680420322122</v>
      </c>
      <c r="F34" s="21">
        <f t="shared" si="1"/>
        <v>0.84295844685987864</v>
      </c>
      <c r="G34" s="21">
        <f>[15]res_pais_dest_manufacturas!E62/1000000</f>
        <v>3.125076</v>
      </c>
      <c r="H34" s="24">
        <f>[15]res_pais_dest_manufacturas!F62/1000000</f>
        <v>1.000486</v>
      </c>
      <c r="I34" s="21">
        <f t="shared" si="3"/>
        <v>-67.985226599289106</v>
      </c>
      <c r="J34" s="21">
        <f t="shared" si="5"/>
        <v>0.59103102224803672</v>
      </c>
      <c r="K34" s="16"/>
    </row>
    <row r="35" spans="1:11">
      <c r="A35" s="14" t="s">
        <v>66</v>
      </c>
      <c r="B35" s="9" t="str">
        <f>CONCATENATE(A35,[15]res_pais_dest_manufacturas!B63)</f>
        <v xml:space="preserve">   Francia </v>
      </c>
      <c r="C35" s="21">
        <f>[15]res_pais_dest_manufacturas!C63/1000000</f>
        <v>17.861421</v>
      </c>
      <c r="D35" s="24">
        <f>[15]res_pais_dest_manufacturas!D63/1000000</f>
        <v>14.473331999999999</v>
      </c>
      <c r="E35" s="21">
        <f t="shared" si="0"/>
        <v>-18.968753941805637</v>
      </c>
      <c r="F35" s="21">
        <f t="shared" si="1"/>
        <v>1.0114951213286165</v>
      </c>
      <c r="G35" s="21">
        <f>[15]res_pais_dest_manufacturas!E63/1000000</f>
        <v>2.08975</v>
      </c>
      <c r="H35" s="24">
        <f>[15]res_pais_dest_manufacturas!F63/1000000</f>
        <v>1.9263729999999999</v>
      </c>
      <c r="I35" s="21">
        <f t="shared" si="3"/>
        <v>-7.818016509151815</v>
      </c>
      <c r="J35" s="21">
        <f t="shared" si="5"/>
        <v>1.1379931387555819</v>
      </c>
      <c r="K35" s="16"/>
    </row>
    <row r="36" spans="1:11">
      <c r="A36" s="14" t="s">
        <v>66</v>
      </c>
      <c r="B36" s="9" t="str">
        <f>CONCATENATE(A36,[15]res_pais_dest_manufacturas!B64)</f>
        <v xml:space="preserve">   Grecia </v>
      </c>
      <c r="C36" s="21">
        <f>[15]res_pais_dest_manufacturas!C64/1000000</f>
        <v>3.3989630000000002</v>
      </c>
      <c r="D36" s="24">
        <f>[15]res_pais_dest_manufacturas!D64/1000000</f>
        <v>0.73654399999999998</v>
      </c>
      <c r="E36" s="21">
        <f t="shared" si="0"/>
        <v>-78.330331927708542</v>
      </c>
      <c r="F36" s="21">
        <f t="shared" si="1"/>
        <v>5.1474716578315517E-2</v>
      </c>
      <c r="G36" s="21">
        <f>[15]res_pais_dest_manufacturas!E64/1000000</f>
        <v>0.14727799999999999</v>
      </c>
      <c r="H36" s="24">
        <f>[15]res_pais_dest_manufacturas!F64/1000000</f>
        <v>5.6080000000000001E-3</v>
      </c>
      <c r="I36" s="21">
        <f t="shared" si="3"/>
        <v>-96.192235092817668</v>
      </c>
      <c r="J36" s="21">
        <f t="shared" si="5"/>
        <v>3.3128919073000421E-3</v>
      </c>
      <c r="K36" s="16"/>
    </row>
    <row r="37" spans="1:11">
      <c r="A37" s="14" t="s">
        <v>66</v>
      </c>
      <c r="B37" s="7" t="str">
        <f>CONCATENATE(A37,[15]res_pais_dest_manufacturas!B65)</f>
        <v xml:space="preserve">   Italia </v>
      </c>
      <c r="C37" s="21">
        <f>[15]res_pais_dest_manufacturas!C65/1000000</f>
        <v>55.716808</v>
      </c>
      <c r="D37" s="24">
        <f>[15]res_pais_dest_manufacturas!D65/1000000</f>
        <v>6.3096100000000002</v>
      </c>
      <c r="E37" s="21">
        <f t="shared" si="0"/>
        <v>-88.675571651556211</v>
      </c>
      <c r="F37" s="21">
        <f t="shared" si="1"/>
        <v>0.44095856658896876</v>
      </c>
      <c r="G37" s="21">
        <f>[15]res_pais_dest_manufacturas!E65/1000000</f>
        <v>4.7248619999999999</v>
      </c>
      <c r="H37" s="24">
        <f>[15]res_pais_dest_manufacturas!F65/1000000</f>
        <v>0.34994399999999998</v>
      </c>
      <c r="I37" s="21">
        <f t="shared" si="3"/>
        <v>-92.593561462747488</v>
      </c>
      <c r="J37" s="21">
        <f t="shared" si="5"/>
        <v>0.20672729058634201</v>
      </c>
      <c r="K37" s="16"/>
    </row>
    <row r="38" spans="1:11">
      <c r="A38" s="14" t="s">
        <v>66</v>
      </c>
      <c r="B38" s="7" t="str">
        <f>CONCATENATE(A38,[15]res_pais_dest_manufacturas!B66)</f>
        <v xml:space="preserve">   Países Bajos </v>
      </c>
      <c r="C38" s="21">
        <f>[15]res_pais_dest_manufacturas!C66/1000000</f>
        <v>12.020460999999999</v>
      </c>
      <c r="D38" s="24">
        <f>[15]res_pais_dest_manufacturas!D66/1000000</f>
        <v>13.01853</v>
      </c>
      <c r="E38" s="21">
        <f t="shared" si="0"/>
        <v>8.3030842161544438</v>
      </c>
      <c r="F38" s="21">
        <f t="shared" si="1"/>
        <v>0.90982363852844905</v>
      </c>
      <c r="G38" s="21">
        <f>[15]res_pais_dest_manufacturas!E66/1000000</f>
        <v>1.225811</v>
      </c>
      <c r="H38" s="24">
        <f>[15]res_pais_dest_manufacturas!F66/1000000</f>
        <v>1.3485259999999999</v>
      </c>
      <c r="I38" s="21">
        <f t="shared" si="3"/>
        <v>10.010923380521142</v>
      </c>
      <c r="J38" s="21">
        <f t="shared" si="5"/>
        <v>0.79663353640936108</v>
      </c>
      <c r="K38" s="16"/>
    </row>
    <row r="39" spans="1:11">
      <c r="A39" s="14" t="s">
        <v>66</v>
      </c>
      <c r="B39" s="7" t="str">
        <f>CONCATENATE(A39,[15]res_pais_dest_manufacturas!B67)</f>
        <v xml:space="preserve">   Portugal </v>
      </c>
      <c r="C39" s="21">
        <f>[15]res_pais_dest_manufacturas!C67/1000000</f>
        <v>0.80167900000000003</v>
      </c>
      <c r="D39" s="24">
        <f>[15]res_pais_dest_manufacturas!D67/1000000</f>
        <v>0.69784000000000002</v>
      </c>
      <c r="E39" s="21">
        <f t="shared" si="0"/>
        <v>-12.952690540727652</v>
      </c>
      <c r="F39" s="21">
        <f t="shared" si="1"/>
        <v>4.8769817169119163E-2</v>
      </c>
      <c r="G39" s="21">
        <f>[15]res_pais_dest_manufacturas!E67/1000000</f>
        <v>0.10441499999999999</v>
      </c>
      <c r="H39" s="24">
        <f>[15]res_pais_dest_manufacturas!F67/1000000</f>
        <v>9.4719999999999999E-2</v>
      </c>
      <c r="I39" s="21">
        <f t="shared" si="3"/>
        <v>-9.2850644064550121</v>
      </c>
      <c r="J39" s="21">
        <f t="shared" si="5"/>
        <v>5.5955264168947937E-2</v>
      </c>
      <c r="K39" s="16"/>
    </row>
    <row r="40" spans="1:11">
      <c r="A40" s="14" t="s">
        <v>66</v>
      </c>
      <c r="B40" s="9" t="str">
        <f>CONCATENATE(A40,[15]res_pais_dest_manufacturas!B68)</f>
        <v xml:space="preserve">   Reino Unido </v>
      </c>
      <c r="C40" s="21">
        <f>[15]res_pais_dest_manufacturas!C68/1000000</f>
        <v>4.0611800000000002</v>
      </c>
      <c r="D40" s="24">
        <f>[15]res_pais_dest_manufacturas!D68/1000000</f>
        <v>4.8810349999999998</v>
      </c>
      <c r="E40" s="21">
        <f t="shared" si="0"/>
        <v>20.187605572764554</v>
      </c>
      <c r="F40" s="21">
        <f t="shared" si="1"/>
        <v>0.34112000536809517</v>
      </c>
      <c r="G40" s="21">
        <f>[15]res_pais_dest_manufacturas!E68/1000000</f>
        <v>0.72713899999999998</v>
      </c>
      <c r="H40" s="24">
        <f>[15]res_pais_dest_manufacturas!F68/1000000</f>
        <v>0.77591299999999996</v>
      </c>
      <c r="I40" s="21">
        <f t="shared" si="3"/>
        <v>6.7076583706829007</v>
      </c>
      <c r="J40" s="21">
        <f t="shared" si="5"/>
        <v>0.45836588774409731</v>
      </c>
      <c r="K40" s="16"/>
    </row>
    <row r="41" spans="1:11">
      <c r="A41" s="14" t="s">
        <v>66</v>
      </c>
      <c r="B41" s="9" t="str">
        <f>CONCATENATE(A41,[15]res_pais_dest_manufacturas!B69)</f>
        <v xml:space="preserve">   Suecia </v>
      </c>
      <c r="C41" s="21">
        <f>[15]res_pais_dest_manufacturas!C69/1000000</f>
        <v>1.81426</v>
      </c>
      <c r="D41" s="24">
        <f>[15]res_pais_dest_manufacturas!D69/1000000</f>
        <v>2.7116549999999999</v>
      </c>
      <c r="E41" s="21">
        <f t="shared" si="0"/>
        <v>49.463417591745397</v>
      </c>
      <c r="F41" s="21">
        <f t="shared" si="1"/>
        <v>0.18950893983682193</v>
      </c>
      <c r="G41" s="21">
        <f>[15]res_pais_dest_manufacturas!E69/1000000</f>
        <v>0.43642199999999998</v>
      </c>
      <c r="H41" s="24">
        <f>[15]res_pais_dest_manufacturas!F69/1000000</f>
        <v>2.6010999999999999E-2</v>
      </c>
      <c r="I41" s="21">
        <f t="shared" si="3"/>
        <v>-94.039942990958295</v>
      </c>
      <c r="J41" s="21">
        <f t="shared" si="5"/>
        <v>1.5365840121394686E-2</v>
      </c>
      <c r="K41" s="16"/>
    </row>
    <row r="42" spans="1:11">
      <c r="A42" s="14" t="s">
        <v>66</v>
      </c>
      <c r="B42" s="9" t="str">
        <f>CONCATENATE(A42,[15]res_pais_dest_manufacturas!B70)</f>
        <v xml:space="preserve">   Resto </v>
      </c>
      <c r="C42" s="21">
        <f>[15]res_pais_dest_manufacturas!C70/1000000</f>
        <v>2.768875</v>
      </c>
      <c r="D42" s="24">
        <f>[15]res_pais_dest_manufacturas!D70/1000000</f>
        <v>1.626387</v>
      </c>
      <c r="E42" s="21">
        <f t="shared" ref="E42" si="16">IF(OR(OR(D42=0,C42=0),D42=""),"",(D42/C42-1)*100)</f>
        <v>-41.261812107805518</v>
      </c>
      <c r="F42" s="21">
        <f t="shared" ref="F42" si="17">(D42/D$13)*100</f>
        <v>0.11366301249030181</v>
      </c>
      <c r="G42" s="21">
        <f>[15]res_pais_dest_manufacturas!E70/1000000</f>
        <v>0.86257200000000001</v>
      </c>
      <c r="H42" s="24">
        <f>[15]res_pais_dest_manufacturas!F70/1000000</f>
        <v>0.32000699999999999</v>
      </c>
      <c r="I42" s="21">
        <f t="shared" ref="I42" si="18">IF(OR(OR(H42=0,G42=0),H42=""),"",(H42/G42-1)*100)</f>
        <v>-62.900836104116522</v>
      </c>
      <c r="J42" s="21">
        <f t="shared" ref="J42" si="19">(H42/H$13)*100</f>
        <v>0.189042189832269</v>
      </c>
      <c r="K42" s="16"/>
    </row>
    <row r="43" spans="1:11">
      <c r="A43" s="14"/>
      <c r="B43" s="9" t="str">
        <f>[15]res_pais_dest_manufacturas!B84</f>
        <v>Suiza</v>
      </c>
      <c r="C43" s="21">
        <f>[15]res_pais_dest_manufacturas!C84/1000000</f>
        <v>0.54344300000000001</v>
      </c>
      <c r="D43" s="24">
        <f>[15]res_pais_dest_manufacturas!D84/1000000</f>
        <v>0.52791699999999997</v>
      </c>
      <c r="E43" s="21">
        <f>IF(OR(OR(D43=0,C43=0),D43=""),"",(D43/C43-1)*100)</f>
        <v>-2.8569693601720902</v>
      </c>
      <c r="F43" s="21">
        <f t="shared" si="1"/>
        <v>3.6894439370729511E-2</v>
      </c>
      <c r="G43" s="21">
        <f>[15]res_pais_dest_manufacturas!E84/1000000</f>
        <v>2.9097999999999999E-2</v>
      </c>
      <c r="H43" s="24">
        <f>[15]res_pais_dest_manufacturas!F84/1000000</f>
        <v>4.5574999999999997E-2</v>
      </c>
      <c r="I43" s="21">
        <f t="shared" si="3"/>
        <v>56.625884940545745</v>
      </c>
      <c r="J43" s="21">
        <f t="shared" si="5"/>
        <v>2.6923154186019867E-2</v>
      </c>
      <c r="K43" s="16"/>
    </row>
    <row r="44" spans="1:11">
      <c r="A44" s="14"/>
      <c r="B44" s="9" t="s">
        <v>2</v>
      </c>
      <c r="C44" s="21">
        <f>+C13-C14-C31-C43-C28-C29-C30</f>
        <v>316.9565529799944</v>
      </c>
      <c r="D44" s="24">
        <f>+D13-D14-D31-D43-D28-D29-D30</f>
        <v>325.53549527999843</v>
      </c>
      <c r="E44" s="21">
        <f t="shared" si="0"/>
        <v>2.7066619129169744</v>
      </c>
      <c r="F44" s="21">
        <f t="shared" si="1"/>
        <v>22.750639955955773</v>
      </c>
      <c r="G44" s="21">
        <f>+G13-G14-G31-G43-G28-G29-G30</f>
        <v>40.2724056200002</v>
      </c>
      <c r="H44" s="24">
        <f>+H13-H14-H31-H43-H28-H29-H30</f>
        <v>38.510380640000129</v>
      </c>
      <c r="I44" s="21">
        <f t="shared" si="3"/>
        <v>-4.3752662719631736</v>
      </c>
      <c r="J44" s="21">
        <f t="shared" si="5"/>
        <v>22.74977324702223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totales'!C26</f>
        <v>303.18486883999844</v>
      </c>
      <c r="D13" s="24">
        <f>+'Resumen exportaciones totales'!D26</f>
        <v>286.1818299100014</v>
      </c>
      <c r="E13" s="24">
        <f>IF(OR(OR(D13=0,C13=0),D13=""),"",(D13/C13-1)*100)</f>
        <v>-5.6081423176069345</v>
      </c>
      <c r="F13" s="22">
        <f>(D13/D$13)*100</f>
        <v>100</v>
      </c>
      <c r="G13" s="24">
        <f>+'Resumen exportaciones totales'!G26</f>
        <v>45.721718700000068</v>
      </c>
      <c r="H13" s="24">
        <f>+'Resumen exportaciones totales'!H26</f>
        <v>36.834505869999944</v>
      </c>
      <c r="I13" s="24">
        <f>IF(OR(OR(H13=0,G13=0),H13=""),"",(H13/G13-1)*100)</f>
        <v>-19.437617575824216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151.191283</v>
      </c>
      <c r="D14" s="24">
        <f>+D15+D19</f>
        <v>130.748333</v>
      </c>
      <c r="E14" s="21">
        <f t="shared" ref="E14:E44" si="0">IF(OR(OR(D14=0,C14=0),D14=""),"",(D14/C14-1)*100)</f>
        <v>-13.5212491053469</v>
      </c>
      <c r="F14" s="21">
        <f t="shared" ref="F14:F44" si="1">(D14/D$13)*100</f>
        <v>45.687153877350568</v>
      </c>
      <c r="G14" s="21">
        <f>+G15+G19</f>
        <v>20.389271999999998</v>
      </c>
      <c r="H14" s="24">
        <f t="shared" ref="H14" si="2">+H15+H19</f>
        <v>17.465843</v>
      </c>
      <c r="I14" s="21">
        <f t="shared" ref="I14:I44" si="3">IF(OR(OR(H14=0,G14=0),H14=""),"",(H14/G14-1)*100)</f>
        <v>-14.338074454056027</v>
      </c>
      <c r="J14" s="21">
        <f>(H14/H$13)*100</f>
        <v>47.417068825742405</v>
      </c>
      <c r="K14" s="16"/>
      <c r="L14" s="23"/>
    </row>
    <row r="15" spans="1:14">
      <c r="A15" s="14"/>
      <c r="B15" s="10" t="s">
        <v>57</v>
      </c>
      <c r="C15" s="21">
        <f>+SUM(C16:C18)</f>
        <v>52.463824000000002</v>
      </c>
      <c r="D15" s="24">
        <f>+SUM(D16:D18)</f>
        <v>66.410302999999999</v>
      </c>
      <c r="E15" s="21">
        <f t="shared" si="0"/>
        <v>26.583039391105</v>
      </c>
      <c r="F15" s="21">
        <f>(D15/D$13)*100</f>
        <v>23.205632244676309</v>
      </c>
      <c r="G15" s="21">
        <f>+SUM(G16:G18)</f>
        <v>7.4612780000000001</v>
      </c>
      <c r="H15" s="24">
        <f t="shared" ref="H15" si="4">+SUM(H16:H18)</f>
        <v>9.788613999999999</v>
      </c>
      <c r="I15" s="21">
        <f t="shared" si="3"/>
        <v>31.192189863452334</v>
      </c>
      <c r="J15" s="21">
        <f t="shared" ref="J15:J44" si="5">(H15/H$13)*100</f>
        <v>26.574576660664224</v>
      </c>
      <c r="K15" s="16"/>
      <c r="L15" s="23"/>
    </row>
    <row r="16" spans="1:14">
      <c r="A16" s="14" t="s">
        <v>66</v>
      </c>
      <c r="B16" s="9" t="str">
        <f>CONCATENATE(A16,[16]res_pais_dest_rec_naturales!B7)</f>
        <v xml:space="preserve">   Bolivia</v>
      </c>
      <c r="C16" s="21">
        <f>[16]res_pais_dest_rec_naturales!C7/1000000</f>
        <v>1.777393</v>
      </c>
      <c r="D16" s="24">
        <f>[16]res_pais_dest_rec_naturales!D7/1000000</f>
        <v>2.809812</v>
      </c>
      <c r="E16" s="21">
        <f t="shared" si="0"/>
        <v>58.086140769092708</v>
      </c>
      <c r="F16" s="21">
        <f t="shared" si="1"/>
        <v>0.98182753282541768</v>
      </c>
      <c r="G16" s="21">
        <f>[16]res_pais_dest_rec_naturales!E7/1000000</f>
        <v>0.40171299999999999</v>
      </c>
      <c r="H16" s="24">
        <f>[16]res_pais_dest_rec_naturales!F7/1000000</f>
        <v>0.41267500000000001</v>
      </c>
      <c r="I16" s="21">
        <f t="shared" si="3"/>
        <v>2.728813854667389</v>
      </c>
      <c r="J16" s="21">
        <f t="shared" si="5"/>
        <v>1.1203489506726501</v>
      </c>
      <c r="K16" s="16"/>
      <c r="L16" s="23"/>
    </row>
    <row r="17" spans="1:12">
      <c r="A17" s="14" t="s">
        <v>66</v>
      </c>
      <c r="B17" s="9" t="str">
        <f>CONCATENATE(A17,[16]res_pais_dest_rec_naturales!B8)</f>
        <v xml:space="preserve">   Ecuador</v>
      </c>
      <c r="C17" s="21">
        <f>[16]res_pais_dest_rec_naturales!C8/1000000</f>
        <v>31.562625000000001</v>
      </c>
      <c r="D17" s="24">
        <f>[16]res_pais_dest_rec_naturales!D8/1000000</f>
        <v>45.179862999999997</v>
      </c>
      <c r="E17" s="21">
        <f t="shared" si="0"/>
        <v>43.14355349087726</v>
      </c>
      <c r="F17" s="21">
        <f t="shared" si="1"/>
        <v>15.7871179362464</v>
      </c>
      <c r="G17" s="21">
        <f>[16]res_pais_dest_rec_naturales!E8/1000000</f>
        <v>4.7329720000000002</v>
      </c>
      <c r="H17" s="24">
        <f>[16]res_pais_dest_rec_naturales!F8/1000000</f>
        <v>6.0027889999999999</v>
      </c>
      <c r="I17" s="21">
        <f t="shared" si="3"/>
        <v>26.829167804077425</v>
      </c>
      <c r="J17" s="21">
        <f t="shared" si="5"/>
        <v>16.296645925387594</v>
      </c>
      <c r="K17" s="16"/>
      <c r="L17" s="23"/>
    </row>
    <row r="18" spans="1:12">
      <c r="A18" s="14" t="s">
        <v>66</v>
      </c>
      <c r="B18" s="9" t="str">
        <f>CONCATENATE(A18,[16]res_pais_dest_rec_naturales!B9)</f>
        <v xml:space="preserve">   Perú </v>
      </c>
      <c r="C18" s="21">
        <f>[16]res_pais_dest_rec_naturales!C9/1000000</f>
        <v>19.123805999999998</v>
      </c>
      <c r="D18" s="24">
        <f>[16]res_pais_dest_rec_naturales!D9/1000000</f>
        <v>18.420628000000001</v>
      </c>
      <c r="E18" s="21">
        <f t="shared" si="0"/>
        <v>-3.6769772711561566</v>
      </c>
      <c r="F18" s="21">
        <f t="shared" si="1"/>
        <v>6.4366867756044917</v>
      </c>
      <c r="G18" s="21">
        <f>[16]res_pais_dest_rec_naturales!E9/1000000</f>
        <v>2.3265929999999999</v>
      </c>
      <c r="H18" s="24">
        <f>[16]res_pais_dest_rec_naturales!F9/1000000</f>
        <v>3.3731499999999999</v>
      </c>
      <c r="I18" s="21">
        <f t="shared" si="3"/>
        <v>44.982384112734806</v>
      </c>
      <c r="J18" s="21">
        <f t="shared" si="5"/>
        <v>9.157581784603984</v>
      </c>
      <c r="K18" s="16"/>
      <c r="L18" s="23"/>
    </row>
    <row r="19" spans="1:12">
      <c r="A19" s="14"/>
      <c r="B19" s="10" t="s">
        <v>58</v>
      </c>
      <c r="C19" s="21">
        <f>SUM(C20:C27)</f>
        <v>98.72745900000001</v>
      </c>
      <c r="D19" s="24">
        <f>SUM(D20:D27)</f>
        <v>64.338030000000003</v>
      </c>
      <c r="E19" s="21">
        <f t="shared" si="0"/>
        <v>-34.832689252136028</v>
      </c>
      <c r="F19" s="21">
        <f t="shared" si="1"/>
        <v>22.481521632674255</v>
      </c>
      <c r="G19" s="21">
        <f t="shared" ref="G19:H19" si="6">SUM(G20:G27)</f>
        <v>12.927994</v>
      </c>
      <c r="H19" s="24">
        <f t="shared" si="6"/>
        <v>7.6772290000000005</v>
      </c>
      <c r="I19" s="21">
        <f t="shared" si="3"/>
        <v>-40.615465941583814</v>
      </c>
      <c r="J19" s="21">
        <f t="shared" si="5"/>
        <v>20.84249216507818</v>
      </c>
      <c r="K19" s="16"/>
      <c r="L19" s="23"/>
    </row>
    <row r="20" spans="1:12">
      <c r="A20" s="14" t="s">
        <v>66</v>
      </c>
      <c r="B20" s="9" t="str">
        <f>CONCATENATE(A20,[16]res_pais_dest_rec_naturales!B23)</f>
        <v xml:space="preserve">   Argentina</v>
      </c>
      <c r="C20" s="21">
        <f>[16]res_pais_dest_rec_naturales!C23/1000000</f>
        <v>0.586032</v>
      </c>
      <c r="D20" s="24">
        <f>[16]res_pais_dest_rec_naturales!D23/1000000</f>
        <v>1.4448510000000001</v>
      </c>
      <c r="E20" s="21">
        <f t="shared" si="0"/>
        <v>146.54814071586534</v>
      </c>
      <c r="F20" s="21">
        <f t="shared" si="1"/>
        <v>0.50487167562468149</v>
      </c>
      <c r="G20" s="21">
        <f>[16]res_pais_dest_rec_naturales!E23/1000000</f>
        <v>8.5491999999999999E-2</v>
      </c>
      <c r="H20" s="24">
        <f>[16]res_pais_dest_rec_naturales!F23/1000000</f>
        <v>9.7202999999999998E-2</v>
      </c>
      <c r="I20" s="21">
        <f t="shared" si="3"/>
        <v>13.698357741075196</v>
      </c>
      <c r="J20" s="21">
        <f t="shared" si="5"/>
        <v>0.26389114691278509</v>
      </c>
      <c r="K20" s="16"/>
      <c r="L20" s="23"/>
    </row>
    <row r="21" spans="1:12">
      <c r="A21" s="14" t="s">
        <v>66</v>
      </c>
      <c r="B21" s="9" t="str">
        <f>CONCATENATE(A21,[16]res_pais_dest_rec_naturales!B24)</f>
        <v xml:space="preserve">   Brasil </v>
      </c>
      <c r="C21" s="21">
        <f>[16]res_pais_dest_rec_naturales!C24/1000000</f>
        <v>27.336074</v>
      </c>
      <c r="D21" s="24">
        <f>[16]res_pais_dest_rec_naturales!D24/1000000</f>
        <v>6.8392569999999999</v>
      </c>
      <c r="E21" s="21">
        <f t="shared" si="0"/>
        <v>-74.980836677571176</v>
      </c>
      <c r="F21" s="21">
        <f t="shared" si="1"/>
        <v>2.3898292222643249</v>
      </c>
      <c r="G21" s="21">
        <f>[16]res_pais_dest_rec_naturales!E24/1000000</f>
        <v>2.739144</v>
      </c>
      <c r="H21" s="24">
        <f>[16]res_pais_dest_rec_naturales!F24/1000000</f>
        <v>0.69139600000000001</v>
      </c>
      <c r="I21" s="21">
        <f t="shared" si="3"/>
        <v>-74.758683734772617</v>
      </c>
      <c r="J21" s="21">
        <f t="shared" si="5"/>
        <v>1.8770334599848972</v>
      </c>
      <c r="K21" s="16"/>
      <c r="L21" s="23"/>
    </row>
    <row r="22" spans="1:12">
      <c r="A22" s="14" t="s">
        <v>66</v>
      </c>
      <c r="B22" s="9" t="str">
        <f>CONCATENATE(A22,[16]res_pais_dest_rec_naturales!B25)</f>
        <v xml:space="preserve">   Cuba </v>
      </c>
      <c r="C22" s="21">
        <f>[16]res_pais_dest_rec_naturales!C25/1000000</f>
        <v>0.49906499999999998</v>
      </c>
      <c r="D22" s="24">
        <f>[16]res_pais_dest_rec_naturales!D25/1000000</f>
        <v>0.46717599999999998</v>
      </c>
      <c r="E22" s="21">
        <f t="shared" si="0"/>
        <v>-6.3897488303126799</v>
      </c>
      <c r="F22" s="21">
        <f t="shared" si="1"/>
        <v>0.16324446599105114</v>
      </c>
      <c r="G22" s="21">
        <f>[16]res_pais_dest_rec_naturales!E25/1000000</f>
        <v>1.3528999999999999E-2</v>
      </c>
      <c r="H22" s="24">
        <f>[16]res_pais_dest_rec_naturales!F25/1000000</f>
        <v>8.7519999999999994E-3</v>
      </c>
      <c r="I22" s="21">
        <f t="shared" si="3"/>
        <v>-35.309335501515257</v>
      </c>
      <c r="J22" s="21">
        <f t="shared" si="5"/>
        <v>2.3760329596624538E-2</v>
      </c>
      <c r="K22" s="16"/>
      <c r="L22" s="23"/>
    </row>
    <row r="23" spans="1:12">
      <c r="A23" s="14" t="s">
        <v>66</v>
      </c>
      <c r="B23" s="9" t="str">
        <f>CONCATENATE(A23,[16]res_pais_dest_rec_naturales!B26)</f>
        <v xml:space="preserve">   Chile </v>
      </c>
      <c r="C23" s="21">
        <f>[16]res_pais_dest_rec_naturales!C26/1000000</f>
        <v>15.775117</v>
      </c>
      <c r="D23" s="24">
        <f>[16]res_pais_dest_rec_naturales!D26/1000000</f>
        <v>12.891375999999999</v>
      </c>
      <c r="E23" s="21">
        <f t="shared" si="0"/>
        <v>-18.280314497825913</v>
      </c>
      <c r="F23" s="21">
        <f t="shared" si="1"/>
        <v>4.504610234707803</v>
      </c>
      <c r="G23" s="21">
        <f>[16]res_pais_dest_rec_naturales!E26/1000000</f>
        <v>2.7633420000000002</v>
      </c>
      <c r="H23" s="24">
        <f>[16]res_pais_dest_rec_naturales!F26/1000000</f>
        <v>1.7662979999999999</v>
      </c>
      <c r="I23" s="21">
        <f t="shared" si="3"/>
        <v>-36.081093111167576</v>
      </c>
      <c r="J23" s="21">
        <f t="shared" si="5"/>
        <v>4.7952265363184106</v>
      </c>
      <c r="K23" s="16"/>
      <c r="L23" s="23"/>
    </row>
    <row r="24" spans="1:12">
      <c r="A24" s="14" t="s">
        <v>66</v>
      </c>
      <c r="B24" s="9" t="str">
        <f>CONCATENATE(A24,[16]res_pais_dest_rec_naturales!B27)</f>
        <v xml:space="preserve">   México </v>
      </c>
      <c r="C24" s="21">
        <f>[16]res_pais_dest_rec_naturales!C27/1000000</f>
        <v>9.1602350000000001</v>
      </c>
      <c r="D24" s="24">
        <f>[16]res_pais_dest_rec_naturales!D27/1000000</f>
        <v>10.466298</v>
      </c>
      <c r="E24" s="21">
        <f t="shared" si="0"/>
        <v>14.257963905947824</v>
      </c>
      <c r="F24" s="21">
        <f t="shared" si="1"/>
        <v>3.6572196086982345</v>
      </c>
      <c r="G24" s="21">
        <f>[16]res_pais_dest_rec_naturales!E27/1000000</f>
        <v>1.2640800000000001</v>
      </c>
      <c r="H24" s="24">
        <f>[16]res_pais_dest_rec_naturales!F27/1000000</f>
        <v>0.60204100000000005</v>
      </c>
      <c r="I24" s="21">
        <f t="shared" si="3"/>
        <v>-52.373188405797102</v>
      </c>
      <c r="J24" s="21">
        <f t="shared" si="5"/>
        <v>1.6344484221528148</v>
      </c>
      <c r="K24" s="16"/>
      <c r="L24" s="23"/>
    </row>
    <row r="25" spans="1:12">
      <c r="A25" s="14" t="s">
        <v>66</v>
      </c>
      <c r="B25" s="9" t="str">
        <f>CONCATENATE(A25,[16]res_pais_dest_rec_naturales!B28)</f>
        <v xml:space="preserve">   Paraguay </v>
      </c>
      <c r="C25" s="21">
        <f>[16]res_pais_dest_rec_naturales!C28/1000000</f>
        <v>5.4549999999999998E-3</v>
      </c>
      <c r="D25" s="24">
        <f>[16]res_pais_dest_rec_naturales!D28/1000000</f>
        <v>7.7959000000000001E-2</v>
      </c>
      <c r="E25" s="21">
        <f t="shared" si="0"/>
        <v>1329.1292392300643</v>
      </c>
      <c r="F25" s="21">
        <f t="shared" si="1"/>
        <v>2.7241072581203559E-2</v>
      </c>
      <c r="G25" s="21">
        <f>[16]res_pais_dest_rec_naturales!E28/1000000</f>
        <v>0</v>
      </c>
      <c r="H25" s="24">
        <f>[16]res_pais_dest_rec_naturales!F28/1000000</f>
        <v>5.0250000000000003E-2</v>
      </c>
      <c r="I25" s="21" t="str">
        <f t="shared" si="3"/>
        <v/>
      </c>
      <c r="J25" s="21">
        <f t="shared" si="5"/>
        <v>0.13642099659853557</v>
      </c>
      <c r="K25" s="16"/>
      <c r="L25" s="23"/>
    </row>
    <row r="26" spans="1:12">
      <c r="A26" s="14" t="s">
        <v>66</v>
      </c>
      <c r="B26" s="9" t="str">
        <f>CONCATENATE(A26,[16]res_pais_dest_rec_naturales!B29)</f>
        <v xml:space="preserve">   Uruguay </v>
      </c>
      <c r="C26" s="21">
        <f>[16]res_pais_dest_rec_naturales!C29/1000000</f>
        <v>5.7098999999999997E-2</v>
      </c>
      <c r="D26" s="24">
        <f>[16]res_pais_dest_rec_naturales!D29/1000000</f>
        <v>7.1131E-2</v>
      </c>
      <c r="E26" s="21">
        <f t="shared" si="0"/>
        <v>24.574861205975584</v>
      </c>
      <c r="F26" s="21">
        <f t="shared" si="1"/>
        <v>2.4855176872119838E-2</v>
      </c>
      <c r="G26" s="21">
        <f>[16]res_pais_dest_rec_naturales!E29/1000000</f>
        <v>1.3518000000000001E-2</v>
      </c>
      <c r="H26" s="24">
        <f>[16]res_pais_dest_rec_naturales!F29/1000000</f>
        <v>3.7800000000000003E-4</v>
      </c>
      <c r="I26" s="21">
        <f t="shared" si="3"/>
        <v>-97.203728362183753</v>
      </c>
      <c r="J26" s="21">
        <f t="shared" si="5"/>
        <v>1.0262116759054019E-3</v>
      </c>
      <c r="K26" s="16"/>
      <c r="L26" s="23"/>
    </row>
    <row r="27" spans="1:12">
      <c r="A27" s="14" t="s">
        <v>66</v>
      </c>
      <c r="B27" s="9" t="str">
        <f>CONCATENATE(A27,[16]res_pais_dest_rec_naturales!B30)</f>
        <v xml:space="preserve">   Venezuela</v>
      </c>
      <c r="C27" s="21">
        <f>[16]res_pais_dest_rec_naturales!C30/1000000</f>
        <v>45.308382000000002</v>
      </c>
      <c r="D27" s="24">
        <f>[16]res_pais_dest_rec_naturales!D30/1000000</f>
        <v>32.079982000000001</v>
      </c>
      <c r="E27" s="21">
        <f t="shared" ref="E27" si="7">IF(OR(OR(D27=0,C27=0),D27=""),"",(D27/C27-1)*100)</f>
        <v>-29.196363710361585</v>
      </c>
      <c r="F27" s="21">
        <f t="shared" ref="F27" si="8">(D27/D$13)*100</f>
        <v>11.209650175934835</v>
      </c>
      <c r="G27" s="21">
        <f>[16]res_pais_dest_rec_naturales!E30/1000000</f>
        <v>6.048889</v>
      </c>
      <c r="H27" s="24">
        <f>[16]res_pais_dest_rec_naturales!F30/1000000</f>
        <v>4.4609110000000003</v>
      </c>
      <c r="I27" s="21">
        <f t="shared" ref="I27" si="9">IF(OR(OR(H27=0,G27=0),H27=""),"",(H27/G27-1)*100)</f>
        <v>-26.252391141579878</v>
      </c>
      <c r="J27" s="21">
        <f t="shared" ref="J27" si="10">(H27/H$13)*100</f>
        <v>12.110685061838206</v>
      </c>
      <c r="K27" s="16"/>
      <c r="L27" s="23"/>
    </row>
    <row r="28" spans="1:12">
      <c r="A28" s="14" t="s">
        <v>66</v>
      </c>
      <c r="B28" s="9" t="str">
        <f>[16]res_pais_dest_rec_naturales!B44</f>
        <v xml:space="preserve">Canadá </v>
      </c>
      <c r="C28" s="21">
        <f>[16]res_pais_dest_rec_naturales!C44/1000000</f>
        <v>5.8325399999999998</v>
      </c>
      <c r="D28" s="24">
        <f>[16]res_pais_dest_rec_naturales!D44/1000000</f>
        <v>1.8721289999999999</v>
      </c>
      <c r="E28" s="21">
        <f t="shared" si="0"/>
        <v>-67.90199467127529</v>
      </c>
      <c r="F28" s="21">
        <f>(D28/D$13)*100</f>
        <v>0.6541746555288811</v>
      </c>
      <c r="G28" s="21">
        <f>[16]res_pais_dest_rec_naturales!E44/1000000</f>
        <v>0.64048000000000005</v>
      </c>
      <c r="H28" s="24">
        <f>[16]res_pais_dest_rec_naturales!F44/1000000</f>
        <v>0.29822900000000002</v>
      </c>
      <c r="I28" s="21">
        <f t="shared" si="3"/>
        <v>-53.436641269048209</v>
      </c>
      <c r="J28" s="21">
        <f t="shared" si="5"/>
        <v>0.80964571929521711</v>
      </c>
      <c r="K28" s="16"/>
      <c r="L28" s="23"/>
    </row>
    <row r="29" spans="1:12">
      <c r="A29" s="14" t="s">
        <v>66</v>
      </c>
      <c r="B29" s="9" t="str">
        <f>[16]res_pais_dest_rec_naturales!B45</f>
        <v>Estados Unidos</v>
      </c>
      <c r="C29" s="21">
        <f>[16]res_pais_dest_rec_naturales!C45/1000000</f>
        <v>30.2197</v>
      </c>
      <c r="D29" s="24">
        <f>[16]res_pais_dest_rec_naturales!D45/1000000</f>
        <v>35.811255000000003</v>
      </c>
      <c r="E29" s="21">
        <f t="shared" si="0"/>
        <v>18.503012935270704</v>
      </c>
      <c r="F29" s="21">
        <f t="shared" si="1"/>
        <v>12.513462161892649</v>
      </c>
      <c r="G29" s="21">
        <f>[16]res_pais_dest_rec_naturales!E45/1000000</f>
        <v>4.2899669999999999</v>
      </c>
      <c r="H29" s="24">
        <f>[16]res_pais_dest_rec_naturales!F45/1000000</f>
        <v>4.6871549999999997</v>
      </c>
      <c r="I29" s="21">
        <f t="shared" si="3"/>
        <v>9.2585327579442822</v>
      </c>
      <c r="J29" s="21">
        <f t="shared" si="5"/>
        <v>12.724902613170325</v>
      </c>
      <c r="K29" s="16"/>
      <c r="L29" s="23"/>
    </row>
    <row r="30" spans="1:12" s="98" customFormat="1">
      <c r="A30" s="104" t="s">
        <v>66</v>
      </c>
      <c r="B30" s="128" t="str">
        <f>[16]res_pais_dest_rec_naturales!B46</f>
        <v xml:space="preserve">Puerto Rico </v>
      </c>
      <c r="C30" s="21">
        <f>[16]res_pais_dest_rec_naturales!C46/1000000</f>
        <v>7.186769</v>
      </c>
      <c r="D30" s="24">
        <f>[16]res_pais_dest_rec_naturales!D46/1000000</f>
        <v>5.7957720000000004</v>
      </c>
      <c r="E30" s="21">
        <f t="shared" ref="E30" si="11">IF(OR(OR(D30=0,C30=0),D30=""),"",(D30/C30-1)*100)</f>
        <v>-19.354970223754229</v>
      </c>
      <c r="F30" s="21">
        <f t="shared" ref="F30" si="12">(D30/D$13)*100</f>
        <v>2.0252061431792012</v>
      </c>
      <c r="G30" s="21">
        <f>[16]res_pais_dest_rec_naturales!E46/1000000</f>
        <v>1.081928</v>
      </c>
      <c r="H30" s="24">
        <f>[16]res_pais_dest_rec_naturales!F46/1000000</f>
        <v>0.416468</v>
      </c>
      <c r="I30" s="21">
        <f t="shared" ref="I30" si="13">IF(OR(OR(H30=0,G30=0),H30=""),"",(H30/G30-1)*100)</f>
        <v>-61.506865521550424</v>
      </c>
      <c r="J30" s="21">
        <f t="shared" ref="J30" si="14">(H30/H$13)*100</f>
        <v>1.1306463604258488</v>
      </c>
      <c r="K30" s="106"/>
      <c r="L30" s="109"/>
    </row>
    <row r="31" spans="1:12">
      <c r="A31" s="14"/>
      <c r="B31" s="10" t="s">
        <v>48</v>
      </c>
      <c r="C31" s="21">
        <f>SUM(C32:C42)</f>
        <v>35.111289999999997</v>
      </c>
      <c r="D31" s="24">
        <f>SUM(D32:D42)</f>
        <v>31.392708000000006</v>
      </c>
      <c r="E31" s="21">
        <f t="shared" si="0"/>
        <v>-10.590844141585197</v>
      </c>
      <c r="F31" s="21">
        <f t="shared" si="1"/>
        <v>10.969497263286213</v>
      </c>
      <c r="G31" s="21">
        <f t="shared" ref="G31:H31" si="15">SUM(G32:G42)</f>
        <v>5.5940530000000006</v>
      </c>
      <c r="H31" s="24">
        <f t="shared" si="15"/>
        <v>3.8326539999999998</v>
      </c>
      <c r="I31" s="21">
        <f t="shared" si="3"/>
        <v>-31.486991632006355</v>
      </c>
      <c r="J31" s="21">
        <f t="shared" si="5"/>
        <v>10.405064244723654</v>
      </c>
      <c r="K31" s="16"/>
      <c r="L31" s="23"/>
    </row>
    <row r="32" spans="1:12">
      <c r="A32" s="14" t="s">
        <v>66</v>
      </c>
      <c r="B32" s="9" t="str">
        <f>CONCATENATE(A32,[16]res_pais_dest_rec_naturales!B60)</f>
        <v xml:space="preserve">   Alemania </v>
      </c>
      <c r="C32" s="21">
        <f>[16]res_pais_dest_rec_naturales!C60/1000000</f>
        <v>2.069588</v>
      </c>
      <c r="D32" s="24">
        <f>[16]res_pais_dest_rec_naturales!D60/1000000</f>
        <v>1.775873</v>
      </c>
      <c r="E32" s="21">
        <f t="shared" si="0"/>
        <v>-14.191955113771437</v>
      </c>
      <c r="F32" s="21">
        <f t="shared" si="1"/>
        <v>0.62054009528084908</v>
      </c>
      <c r="G32" s="21">
        <f>[16]res_pais_dest_rec_naturales!E60/1000000</f>
        <v>0.15728300000000001</v>
      </c>
      <c r="H32" s="24">
        <f>[16]res_pais_dest_rec_naturales!F60/1000000</f>
        <v>0.36958200000000002</v>
      </c>
      <c r="I32" s="21">
        <f t="shared" si="3"/>
        <v>134.97898692166351</v>
      </c>
      <c r="J32" s="21">
        <f t="shared" si="5"/>
        <v>1.0033581047737308</v>
      </c>
      <c r="K32" s="16"/>
      <c r="L32" s="23"/>
    </row>
    <row r="33" spans="1:12">
      <c r="A33" s="14" t="s">
        <v>66</v>
      </c>
      <c r="B33" s="9" t="str">
        <f>CONCATENATE(A33,[16]res_pais_dest_rec_naturales!B61)</f>
        <v xml:space="preserve">   Bélgica </v>
      </c>
      <c r="C33" s="21">
        <f>[16]res_pais_dest_rec_naturales!C61/1000000</f>
        <v>0.98507299999999998</v>
      </c>
      <c r="D33" s="24">
        <f>[16]res_pais_dest_rec_naturales!D61/1000000</f>
        <v>6.8167419999999996</v>
      </c>
      <c r="E33" s="21">
        <f t="shared" si="0"/>
        <v>592.00373982435815</v>
      </c>
      <c r="F33" s="21">
        <f t="shared" si="1"/>
        <v>2.3819618464749253</v>
      </c>
      <c r="G33" s="21">
        <f>[16]res_pais_dest_rec_naturales!E61/1000000</f>
        <v>0.57843</v>
      </c>
      <c r="H33" s="24">
        <f>[16]res_pais_dest_rec_naturales!F61/1000000</f>
        <v>0.89063499999999995</v>
      </c>
      <c r="I33" s="21">
        <f t="shared" si="3"/>
        <v>53.974551804021218</v>
      </c>
      <c r="J33" s="21">
        <f t="shared" si="5"/>
        <v>2.4179366030952578</v>
      </c>
      <c r="K33" s="16"/>
      <c r="L33" s="23"/>
    </row>
    <row r="34" spans="1:12">
      <c r="A34" s="14" t="s">
        <v>66</v>
      </c>
      <c r="B34" s="9" t="str">
        <f>CONCATENATE(A34,[16]res_pais_dest_rec_naturales!B62)</f>
        <v xml:space="preserve">   España </v>
      </c>
      <c r="C34" s="21">
        <f>[16]res_pais_dest_rec_naturales!C62/1000000</f>
        <v>8.8790630000000004</v>
      </c>
      <c r="D34" s="24">
        <f>[16]res_pais_dest_rec_naturales!D62/1000000</f>
        <v>5.9378380000000002</v>
      </c>
      <c r="E34" s="21">
        <f t="shared" si="0"/>
        <v>-33.125398479546774</v>
      </c>
      <c r="F34" s="21">
        <f t="shared" si="1"/>
        <v>2.0748480089974035</v>
      </c>
      <c r="G34" s="21">
        <f>[16]res_pais_dest_rec_naturales!E62/1000000</f>
        <v>2.0528529999999998</v>
      </c>
      <c r="H34" s="24">
        <f>[16]res_pais_dest_rec_naturales!F62/1000000</f>
        <v>0.55019399999999996</v>
      </c>
      <c r="I34" s="21">
        <f t="shared" si="3"/>
        <v>-73.198568041647405</v>
      </c>
      <c r="J34" s="21">
        <f t="shared" si="5"/>
        <v>1.4936918169658637</v>
      </c>
      <c r="K34" s="16"/>
      <c r="L34" s="23"/>
    </row>
    <row r="35" spans="1:12">
      <c r="A35" s="14" t="s">
        <v>66</v>
      </c>
      <c r="B35" s="9" t="str">
        <f>CONCATENATE(A35,[16]res_pais_dest_rec_naturales!B63)</f>
        <v xml:space="preserve">   Francia </v>
      </c>
      <c r="C35" s="21">
        <f>[16]res_pais_dest_rec_naturales!C63/1000000</f>
        <v>15.415221000000001</v>
      </c>
      <c r="D35" s="24">
        <f>[16]res_pais_dest_rec_naturales!D63/1000000</f>
        <v>11.225133</v>
      </c>
      <c r="E35" s="21">
        <f t="shared" si="0"/>
        <v>-27.181498079073929</v>
      </c>
      <c r="F35" s="21">
        <f t="shared" si="1"/>
        <v>3.9223779523424271</v>
      </c>
      <c r="G35" s="21">
        <f>[16]res_pais_dest_rec_naturales!E63/1000000</f>
        <v>1.6539239999999999</v>
      </c>
      <c r="H35" s="24">
        <f>[16]res_pais_dest_rec_naturales!F63/1000000</f>
        <v>1.3280419999999999</v>
      </c>
      <c r="I35" s="21">
        <f t="shared" si="3"/>
        <v>-19.703565581006146</v>
      </c>
      <c r="J35" s="21">
        <f t="shared" si="5"/>
        <v>3.6054291177057185</v>
      </c>
      <c r="K35" s="16"/>
      <c r="L35" s="23"/>
    </row>
    <row r="36" spans="1:12">
      <c r="A36" s="14" t="s">
        <v>66</v>
      </c>
      <c r="B36" s="9" t="str">
        <f>CONCATENATE(A36,[16]res_pais_dest_rec_naturales!B64)</f>
        <v xml:space="preserve">   Grecia </v>
      </c>
      <c r="C36" s="21">
        <f>[16]res_pais_dest_rec_naturales!C64/1000000</f>
        <v>3.3353329999999999</v>
      </c>
      <c r="D36" s="24">
        <f>[16]res_pais_dest_rec_naturales!D64/1000000</f>
        <v>0.72690399999999999</v>
      </c>
      <c r="E36" s="21">
        <f t="shared" si="0"/>
        <v>-78.205954248046595</v>
      </c>
      <c r="F36" s="21">
        <f t="shared" si="1"/>
        <v>0.25400075197946603</v>
      </c>
      <c r="G36" s="21">
        <f>[16]res_pais_dest_rec_naturales!E64/1000000</f>
        <v>0.14727799999999999</v>
      </c>
      <c r="H36" s="24">
        <f>[16]res_pais_dest_rec_naturales!F64/1000000</f>
        <v>0</v>
      </c>
      <c r="I36" s="21" t="str">
        <f t="shared" si="3"/>
        <v/>
      </c>
      <c r="J36" s="21">
        <f t="shared" si="5"/>
        <v>0</v>
      </c>
      <c r="K36" s="16"/>
      <c r="L36" s="23"/>
    </row>
    <row r="37" spans="1:12">
      <c r="A37" s="14" t="s">
        <v>66</v>
      </c>
      <c r="B37" s="7" t="str">
        <f>CONCATENATE(A37,[16]res_pais_dest_rec_naturales!B65)</f>
        <v xml:space="preserve">   Italia </v>
      </c>
      <c r="C37" s="21">
        <f>[16]res_pais_dest_rec_naturales!C65/1000000</f>
        <v>0.50814099999999995</v>
      </c>
      <c r="D37" s="24">
        <f>[16]res_pais_dest_rec_naturales!D65/1000000</f>
        <v>0.62239900000000004</v>
      </c>
      <c r="E37" s="21">
        <f t="shared" si="0"/>
        <v>22.485491231764421</v>
      </c>
      <c r="F37" s="21">
        <f t="shared" si="1"/>
        <v>0.21748375855858226</v>
      </c>
      <c r="G37" s="21">
        <f>[16]res_pais_dest_rec_naturales!E65/1000000</f>
        <v>0.109371</v>
      </c>
      <c r="H37" s="24">
        <f>[16]res_pais_dest_rec_naturales!F65/1000000</f>
        <v>0.10419100000000001</v>
      </c>
      <c r="I37" s="21">
        <f t="shared" si="3"/>
        <v>-4.7361732086201869</v>
      </c>
      <c r="J37" s="21">
        <f t="shared" si="5"/>
        <v>0.28286248868851777</v>
      </c>
      <c r="K37" s="16"/>
      <c r="L37" s="23"/>
    </row>
    <row r="38" spans="1:12">
      <c r="A38" s="14" t="s">
        <v>66</v>
      </c>
      <c r="B38" s="7" t="str">
        <f>CONCATENATE(A38,[16]res_pais_dest_rec_naturales!B66)</f>
        <v xml:space="preserve">   Países Bajos </v>
      </c>
      <c r="C38" s="21">
        <f>[16]res_pais_dest_rec_naturales!C66/1000000</f>
        <v>2.1417839999999999</v>
      </c>
      <c r="D38" s="24">
        <f>[16]res_pais_dest_rec_naturales!D66/1000000</f>
        <v>2.795817</v>
      </c>
      <c r="E38" s="21">
        <f t="shared" si="0"/>
        <v>30.536832845889215</v>
      </c>
      <c r="F38" s="21">
        <f t="shared" si="1"/>
        <v>0.97693728524946188</v>
      </c>
      <c r="G38" s="21">
        <f>[16]res_pais_dest_rec_naturales!E66/1000000</f>
        <v>0.48166900000000001</v>
      </c>
      <c r="H38" s="24">
        <f>[16]res_pais_dest_rec_naturales!F66/1000000</f>
        <v>0.34272599999999998</v>
      </c>
      <c r="I38" s="21">
        <f t="shared" si="3"/>
        <v>-28.846157838681762</v>
      </c>
      <c r="J38" s="21">
        <f t="shared" si="5"/>
        <v>0.9304482085617849</v>
      </c>
      <c r="K38" s="16"/>
      <c r="L38" s="23"/>
    </row>
    <row r="39" spans="1:12">
      <c r="A39" s="14" t="s">
        <v>66</v>
      </c>
      <c r="B39" s="7" t="str">
        <f>CONCATENATE(A39,[16]res_pais_dest_rec_naturales!B67)</f>
        <v xml:space="preserve">   Portugal </v>
      </c>
      <c r="C39" s="21">
        <f>[16]res_pais_dest_rec_naturales!C67/1000000</f>
        <v>0.495365</v>
      </c>
      <c r="D39" s="24">
        <f>[16]res_pais_dest_rec_naturales!D67/1000000</f>
        <v>0.54208900000000004</v>
      </c>
      <c r="E39" s="21">
        <f t="shared" si="0"/>
        <v>9.432236835464769</v>
      </c>
      <c r="F39" s="21">
        <f t="shared" si="1"/>
        <v>0.18942118029312918</v>
      </c>
      <c r="G39" s="21">
        <f>[16]res_pais_dest_rec_naturales!E67/1000000</f>
        <v>0.10441499999999999</v>
      </c>
      <c r="H39" s="24">
        <f>[16]res_pais_dest_rec_naturales!F67/1000000</f>
        <v>9.4719999999999999E-2</v>
      </c>
      <c r="I39" s="21">
        <f t="shared" si="3"/>
        <v>-9.2850644064550121</v>
      </c>
      <c r="J39" s="21">
        <f t="shared" si="5"/>
        <v>0.2571501850311102</v>
      </c>
      <c r="K39" s="16"/>
      <c r="L39" s="23"/>
    </row>
    <row r="40" spans="1:12">
      <c r="A40" s="14" t="s">
        <v>66</v>
      </c>
      <c r="B40" s="9" t="str">
        <f>CONCATENATE(A40,[16]res_pais_dest_rec_naturales!B68)</f>
        <v xml:space="preserve">   Reino Unido </v>
      </c>
      <c r="C40" s="21">
        <f>[16]res_pais_dest_rec_naturales!C68/1000000</f>
        <v>0.80420999999999998</v>
      </c>
      <c r="D40" s="24">
        <f>[16]res_pais_dest_rec_naturales!D68/1000000</f>
        <v>0.80815700000000001</v>
      </c>
      <c r="E40" s="21">
        <f t="shared" si="0"/>
        <v>0.49079220601584428</v>
      </c>
      <c r="F40" s="21">
        <f t="shared" si="1"/>
        <v>0.28239284103192352</v>
      </c>
      <c r="G40" s="21">
        <f>[16]res_pais_dest_rec_naturales!E68/1000000</f>
        <v>0.14580599999999999</v>
      </c>
      <c r="H40" s="24">
        <f>[16]res_pais_dest_rec_naturales!F68/1000000</f>
        <v>0.15241099999999999</v>
      </c>
      <c r="I40" s="21">
        <f t="shared" si="3"/>
        <v>4.5299919070545869</v>
      </c>
      <c r="J40" s="21">
        <f t="shared" si="5"/>
        <v>0.41377234850904282</v>
      </c>
      <c r="K40" s="16"/>
      <c r="L40" s="23"/>
    </row>
    <row r="41" spans="1:12">
      <c r="A41" s="14" t="s">
        <v>66</v>
      </c>
      <c r="B41" s="9" t="str">
        <f>CONCATENATE(A41,[16]res_pais_dest_rec_naturales!B69)</f>
        <v xml:space="preserve">   Suecia </v>
      </c>
      <c r="C41" s="21">
        <f>[16]res_pais_dest_rec_naturales!C69/1000000</f>
        <v>5.2719000000000002E-2</v>
      </c>
      <c r="D41" s="24">
        <f>[16]res_pais_dest_rec_naturales!D69/1000000</f>
        <v>0.108138</v>
      </c>
      <c r="E41" s="21">
        <f t="shared" si="0"/>
        <v>105.12149319979511</v>
      </c>
      <c r="F41" s="21">
        <f t="shared" si="1"/>
        <v>3.7786466049926123E-2</v>
      </c>
      <c r="G41" s="21">
        <f>[16]res_pais_dest_rec_naturales!E69/1000000</f>
        <v>4.0499999999999998E-4</v>
      </c>
      <c r="H41" s="24">
        <f>[16]res_pais_dest_rec_naturales!F69/1000000</f>
        <v>0</v>
      </c>
      <c r="I41" s="21" t="str">
        <f t="shared" si="3"/>
        <v/>
      </c>
      <c r="J41" s="21">
        <f t="shared" si="5"/>
        <v>0</v>
      </c>
      <c r="K41" s="16"/>
      <c r="L41" s="23"/>
    </row>
    <row r="42" spans="1:12">
      <c r="A42" s="14" t="s">
        <v>66</v>
      </c>
      <c r="B42" s="9" t="str">
        <f>CONCATENATE(A42,[16]res_pais_dest_rec_naturales!B70)</f>
        <v xml:space="preserve">   Resto </v>
      </c>
      <c r="C42" s="21">
        <f>[16]res_pais_dest_rec_naturales!C70/1000000</f>
        <v>0.42479299999999998</v>
      </c>
      <c r="D42" s="24">
        <f>[16]res_pais_dest_rec_naturales!D70/1000000</f>
        <v>3.3618000000000002E-2</v>
      </c>
      <c r="E42" s="21">
        <f t="shared" ref="E42" si="16">IF(OR(OR(D42=0,C42=0),D42=""),"",(D42/C42-1)*100)</f>
        <v>-92.086027782943688</v>
      </c>
      <c r="F42" s="21">
        <f t="shared" ref="F42" si="17">(D42/D$13)*100</f>
        <v>1.1747077028116079E-2</v>
      </c>
      <c r="G42" s="21">
        <f>[16]res_pais_dest_rec_naturales!E70/1000000</f>
        <v>0.16261900000000001</v>
      </c>
      <c r="H42" s="24">
        <f>[16]res_pais_dest_rec_naturales!F70/1000000</f>
        <v>1.5300000000000001E-4</v>
      </c>
      <c r="I42" s="21">
        <f t="shared" ref="I42" si="18">IF(OR(OR(H42=0,G42=0),H42=""),"",(H42/G42-1)*100)</f>
        <v>-99.905915052976596</v>
      </c>
      <c r="J42" s="21">
        <f t="shared" ref="J42" si="19">(H42/H$13)*100</f>
        <v>4.153713926283769E-4</v>
      </c>
      <c r="K42" s="16"/>
      <c r="L42" s="23"/>
    </row>
    <row r="43" spans="1:12">
      <c r="A43" s="14" t="s">
        <v>66</v>
      </c>
      <c r="B43" s="9" t="str">
        <f>[16]res_pais_dest_rec_naturales!B84</f>
        <v>Suiza</v>
      </c>
      <c r="C43" s="21">
        <f>[16]res_pais_dest_rec_naturales!C84/1000000</f>
        <v>2.2644000000000001E-2</v>
      </c>
      <c r="D43" s="24">
        <f>[16]res_pais_dest_rec_naturales!D84/1000000</f>
        <v>8.8261999999999993E-2</v>
      </c>
      <c r="E43" s="21">
        <f t="shared" ref="E43" si="20">IF(OR(OR(D43=0,C43=0),D43=""),"",(D43/C43-1)*100)</f>
        <v>289.78095742801622</v>
      </c>
      <c r="F43" s="21">
        <f t="shared" ref="F43" si="21">(D43/D$13)*100</f>
        <v>3.0841231264667177E-2</v>
      </c>
      <c r="G43" s="21">
        <f>[16]res_pais_dest_rec_naturales!E84/1000000</f>
        <v>1.199E-3</v>
      </c>
      <c r="H43" s="24">
        <f>[16]res_pais_dest_rec_naturales!F84/1000000</f>
        <v>0</v>
      </c>
      <c r="I43" s="21" t="str">
        <f t="shared" ref="I43" si="22">IF(OR(OR(H43=0,G43=0),H43=""),"",(H43/G43-1)*100)</f>
        <v/>
      </c>
      <c r="J43" s="21">
        <f t="shared" ref="J43" si="23">(H43/H$13)*100</f>
        <v>0</v>
      </c>
      <c r="K43" s="16"/>
      <c r="L43" s="23"/>
    </row>
    <row r="44" spans="1:12">
      <c r="A44" s="14"/>
      <c r="B44" s="9" t="s">
        <v>2</v>
      </c>
      <c r="C44" s="21">
        <f>+C13-C14-C28-C29-C30-C31-C43</f>
        <v>73.620642839998453</v>
      </c>
      <c r="D44" s="24">
        <f>+D13-D14-D28-D29-D30-D31-D43</f>
        <v>80.473370910001378</v>
      </c>
      <c r="E44" s="21">
        <f t="shared" si="0"/>
        <v>9.3081611429230993</v>
      </c>
      <c r="F44" s="21">
        <f t="shared" si="1"/>
        <v>28.119664667497823</v>
      </c>
      <c r="G44" s="21">
        <f t="shared" ref="G44" si="24">+G13-G14-G28-G29-G30-G31-G43</f>
        <v>13.724819700000067</v>
      </c>
      <c r="H44" s="24">
        <f>+H13-H14-H28-H29-H30-H31-H43</f>
        <v>10.134156869999945</v>
      </c>
      <c r="I44" s="21">
        <f t="shared" si="3"/>
        <v>-26.161821491907133</v>
      </c>
      <c r="J44" s="21">
        <f t="shared" si="5"/>
        <v>27.512672236642548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totales'!C27</f>
        <v>493.09937221999814</v>
      </c>
      <c r="D13" s="24">
        <f>+'Resumen exportaciones totales'!D27</f>
        <v>441.05787411999745</v>
      </c>
      <c r="E13" s="24">
        <f>IF(OR(OR(D13=0,C13=0),D13=""),"",(D13/C13-1)*100)</f>
        <v>-10.553957484411924</v>
      </c>
      <c r="F13" s="22">
        <f>(D13/D$13)*100</f>
        <v>100</v>
      </c>
      <c r="G13" s="24">
        <f>+'Resumen exportaciones totales'!G27</f>
        <v>65.476478730000025</v>
      </c>
      <c r="H13" s="24">
        <f>+'Resumen exportaciones totales'!H27</f>
        <v>51.089905890000161</v>
      </c>
      <c r="I13" s="24">
        <f>IF(OR(OR(H13=0,G13=0),H13=""),"",(H13/G13-1)*100)</f>
        <v>-21.972123606897974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290.63120300000003</v>
      </c>
      <c r="D14" s="24">
        <f>+D15+D19</f>
        <v>257.15787499999999</v>
      </c>
      <c r="E14" s="21">
        <f t="shared" ref="E14:E44" si="0">IF(OR(OR(D14=0,C14=0),D14=""),"",(D14/C14-1)*100)</f>
        <v>-11.517458433394722</v>
      </c>
      <c r="F14" s="21">
        <f t="shared" ref="F14:F44" si="1">(D14/D$13)*100</f>
        <v>58.304791749401062</v>
      </c>
      <c r="G14" s="21">
        <f>+G15+G19</f>
        <v>38.834341999999999</v>
      </c>
      <c r="H14" s="24">
        <f t="shared" ref="H14" si="2">+H15+H19</f>
        <v>30.327846999999998</v>
      </c>
      <c r="I14" s="21">
        <f t="shared" ref="I14:I44" si="3">IF(OR(OR(H14=0,G14=0),H14=""),"",(H14/G14-1)*100)</f>
        <v>-21.904568384343946</v>
      </c>
      <c r="J14" s="21">
        <f>(H14/H$13)*100</f>
        <v>59.361720229623828</v>
      </c>
      <c r="K14" s="16"/>
    </row>
    <row r="15" spans="1:14">
      <c r="A15" s="14"/>
      <c r="B15" s="10" t="s">
        <v>57</v>
      </c>
      <c r="C15" s="21">
        <f>+SUM(C16:C18)</f>
        <v>115.01753100000001</v>
      </c>
      <c r="D15" s="24">
        <f>+SUM(D16:D18)</f>
        <v>123.438907</v>
      </c>
      <c r="E15" s="21">
        <f t="shared" si="0"/>
        <v>7.3218194885438681</v>
      </c>
      <c r="F15" s="21">
        <f>(D15/D$13)*100</f>
        <v>27.987009016965491</v>
      </c>
      <c r="G15" s="21">
        <f t="shared" ref="G15:H15" si="4">+SUM(G16:G18)</f>
        <v>15.325405</v>
      </c>
      <c r="H15" s="24">
        <f t="shared" si="4"/>
        <v>12.977339000000001</v>
      </c>
      <c r="I15" s="21">
        <f t="shared" si="3"/>
        <v>-15.321396074035231</v>
      </c>
      <c r="J15" s="21">
        <f t="shared" ref="J15:J44" si="5">(H15/H$13)*100</f>
        <v>25.400984350883405</v>
      </c>
      <c r="K15" s="16"/>
    </row>
    <row r="16" spans="1:14">
      <c r="A16" s="14" t="s">
        <v>66</v>
      </c>
      <c r="B16" s="9" t="str">
        <f>CONCATENATE(A16,[17]res_pais_dest_baja_tek!B7)</f>
        <v xml:space="preserve">   Bolivia</v>
      </c>
      <c r="C16" s="21">
        <f>[17]res_pais_dest_baja_tek!C7/1000000</f>
        <v>4.3090710000000003</v>
      </c>
      <c r="D16" s="24">
        <f>[17]res_pais_dest_baja_tek!D7/1000000</f>
        <v>4.7059839999999999</v>
      </c>
      <c r="E16" s="21">
        <f t="shared" si="0"/>
        <v>9.2111037390657948</v>
      </c>
      <c r="F16" s="21">
        <f t="shared" si="1"/>
        <v>1.0669765298691063</v>
      </c>
      <c r="G16" s="21">
        <f>[17]res_pais_dest_baja_tek!E7/1000000</f>
        <v>0.61207900000000004</v>
      </c>
      <c r="H16" s="24">
        <f>[17]res_pais_dest_baja_tek!F7/1000000</f>
        <v>0.61883100000000002</v>
      </c>
      <c r="I16" s="21">
        <f t="shared" si="3"/>
        <v>1.1031255769271553</v>
      </c>
      <c r="J16" s="21">
        <f t="shared" si="5"/>
        <v>1.2112588371808373</v>
      </c>
      <c r="K16" s="16"/>
    </row>
    <row r="17" spans="1:11">
      <c r="A17" s="14" t="s">
        <v>66</v>
      </c>
      <c r="B17" s="9" t="str">
        <f>CONCATENATE(A17,[17]res_pais_dest_baja_tek!B8)</f>
        <v xml:space="preserve">   Ecuador</v>
      </c>
      <c r="C17" s="21">
        <f>[17]res_pais_dest_baja_tek!C8/1000000</f>
        <v>79.155192</v>
      </c>
      <c r="D17" s="24">
        <f>[17]res_pais_dest_baja_tek!D8/1000000</f>
        <v>85.400833000000006</v>
      </c>
      <c r="E17" s="21">
        <f t="shared" si="0"/>
        <v>7.8903743926235448</v>
      </c>
      <c r="F17" s="21">
        <f t="shared" si="1"/>
        <v>19.362727209074887</v>
      </c>
      <c r="G17" s="21">
        <f>[17]res_pais_dest_baja_tek!E8/1000000</f>
        <v>11.130623</v>
      </c>
      <c r="H17" s="24">
        <f>[17]res_pais_dest_baja_tek!F8/1000000</f>
        <v>8.4504090000000005</v>
      </c>
      <c r="I17" s="21">
        <f t="shared" si="3"/>
        <v>-24.07964046576727</v>
      </c>
      <c r="J17" s="21">
        <f t="shared" si="5"/>
        <v>16.540271219513052</v>
      </c>
      <c r="K17" s="16"/>
    </row>
    <row r="18" spans="1:11">
      <c r="A18" s="14" t="s">
        <v>66</v>
      </c>
      <c r="B18" s="9" t="str">
        <f>CONCATENATE(A18,[17]res_pais_dest_baja_tek!B9)</f>
        <v xml:space="preserve">   Perú </v>
      </c>
      <c r="C18" s="21">
        <f>[17]res_pais_dest_baja_tek!C9/1000000</f>
        <v>31.553267999999999</v>
      </c>
      <c r="D18" s="24">
        <f>[17]res_pais_dest_baja_tek!D9/1000000</f>
        <v>33.332090000000001</v>
      </c>
      <c r="E18" s="21">
        <f t="shared" si="0"/>
        <v>5.6375206523774368</v>
      </c>
      <c r="F18" s="21">
        <f t="shared" si="1"/>
        <v>7.5573052780215022</v>
      </c>
      <c r="G18" s="21">
        <f>[17]res_pais_dest_baja_tek!E9/1000000</f>
        <v>3.582703</v>
      </c>
      <c r="H18" s="24">
        <f>[17]res_pais_dest_baja_tek!F9/1000000</f>
        <v>3.908099</v>
      </c>
      <c r="I18" s="21">
        <f t="shared" si="3"/>
        <v>9.0824162650378746</v>
      </c>
      <c r="J18" s="21">
        <f t="shared" si="5"/>
        <v>7.6494542941895176</v>
      </c>
      <c r="K18" s="16"/>
    </row>
    <row r="19" spans="1:11">
      <c r="A19" s="14"/>
      <c r="B19" s="10" t="s">
        <v>58</v>
      </c>
      <c r="C19" s="21">
        <f>SUM(C20:C27)</f>
        <v>175.61367200000001</v>
      </c>
      <c r="D19" s="24">
        <f>SUM(D20:D27)</f>
        <v>133.71896800000002</v>
      </c>
      <c r="E19" s="21">
        <f t="shared" si="0"/>
        <v>-23.856174478260428</v>
      </c>
      <c r="F19" s="21">
        <f t="shared" si="1"/>
        <v>30.317782732435571</v>
      </c>
      <c r="G19" s="21">
        <f>SUM(G20:G27)</f>
        <v>23.508937</v>
      </c>
      <c r="H19" s="24">
        <f>SUM(H20:H27)</f>
        <v>17.350507999999998</v>
      </c>
      <c r="I19" s="21">
        <f t="shared" si="3"/>
        <v>-26.196118522925993</v>
      </c>
      <c r="J19" s="21">
        <f t="shared" si="5"/>
        <v>33.960735878740415</v>
      </c>
      <c r="K19" s="16"/>
    </row>
    <row r="20" spans="1:11">
      <c r="A20" s="14" t="s">
        <v>66</v>
      </c>
      <c r="B20" s="9" t="str">
        <f>CONCATENATE(A20,[17]res_pais_dest_baja_tek!B23)</f>
        <v xml:space="preserve">   Argentina</v>
      </c>
      <c r="C20" s="21">
        <f>[17]res_pais_dest_baja_tek!C23/1000000</f>
        <v>3.511965</v>
      </c>
      <c r="D20" s="24">
        <f>[17]res_pais_dest_baja_tek!D23/1000000</f>
        <v>5.0913680000000001</v>
      </c>
      <c r="E20" s="21">
        <f t="shared" si="0"/>
        <v>44.972059801279343</v>
      </c>
      <c r="F20" s="21">
        <f t="shared" si="1"/>
        <v>1.1543537251564417</v>
      </c>
      <c r="G20" s="21">
        <f>[17]res_pais_dest_baja_tek!E23/1000000</f>
        <v>0.62460899999999997</v>
      </c>
      <c r="H20" s="24">
        <f>[17]res_pais_dest_baja_tek!F23/1000000</f>
        <v>0.51777700000000004</v>
      </c>
      <c r="I20" s="21">
        <f t="shared" si="3"/>
        <v>-17.103820149885763</v>
      </c>
      <c r="J20" s="21">
        <f t="shared" si="5"/>
        <v>1.0134624266382621</v>
      </c>
      <c r="K20" s="16"/>
    </row>
    <row r="21" spans="1:11">
      <c r="A21" s="14" t="s">
        <v>66</v>
      </c>
      <c r="B21" s="9" t="str">
        <f>CONCATENATE(A21,[17]res_pais_dest_baja_tek!B24)</f>
        <v xml:space="preserve">   Brasil </v>
      </c>
      <c r="C21" s="21">
        <f>[17]res_pais_dest_baja_tek!C24/1000000</f>
        <v>10.383953</v>
      </c>
      <c r="D21" s="24">
        <f>[17]res_pais_dest_baja_tek!D24/1000000</f>
        <v>10.483290999999999</v>
      </c>
      <c r="E21" s="21">
        <f t="shared" si="0"/>
        <v>0.95664916819249157</v>
      </c>
      <c r="F21" s="21">
        <f t="shared" si="1"/>
        <v>2.3768515687235725</v>
      </c>
      <c r="G21" s="21">
        <f>[17]res_pais_dest_baja_tek!E24/1000000</f>
        <v>1.261144</v>
      </c>
      <c r="H21" s="24">
        <f>[17]res_pais_dest_baja_tek!F24/1000000</f>
        <v>1.184912</v>
      </c>
      <c r="I21" s="21">
        <f t="shared" si="3"/>
        <v>-6.0446705530851403</v>
      </c>
      <c r="J21" s="21">
        <f t="shared" si="5"/>
        <v>2.3192683160372058</v>
      </c>
      <c r="K21" s="16"/>
    </row>
    <row r="22" spans="1:11">
      <c r="A22" s="14" t="s">
        <v>66</v>
      </c>
      <c r="B22" s="9" t="str">
        <f>CONCATENATE(A22,[17]res_pais_dest_baja_tek!B25)</f>
        <v xml:space="preserve">   Cuba </v>
      </c>
      <c r="C22" s="21">
        <f>[17]res_pais_dest_baja_tek!C25/1000000</f>
        <v>1.9720310000000001</v>
      </c>
      <c r="D22" s="24">
        <f>[17]res_pais_dest_baja_tek!D25/1000000</f>
        <v>2.5057290000000001</v>
      </c>
      <c r="E22" s="21">
        <f t="shared" si="0"/>
        <v>27.063367665112771</v>
      </c>
      <c r="F22" s="21">
        <f t="shared" si="1"/>
        <v>0.56811796070968079</v>
      </c>
      <c r="G22" s="21">
        <f>[17]res_pais_dest_baja_tek!E25/1000000</f>
        <v>0.388152</v>
      </c>
      <c r="H22" s="24">
        <f>[17]res_pais_dest_baja_tek!F25/1000000</f>
        <v>0.25983800000000001</v>
      </c>
      <c r="I22" s="21">
        <f t="shared" si="3"/>
        <v>-33.057668130010917</v>
      </c>
      <c r="J22" s="21">
        <f t="shared" si="5"/>
        <v>0.50858970176897145</v>
      </c>
      <c r="K22" s="16"/>
    </row>
    <row r="23" spans="1:11">
      <c r="A23" s="14" t="s">
        <v>66</v>
      </c>
      <c r="B23" s="9" t="str">
        <f>CONCATENATE(A23,[17]res_pais_dest_baja_tek!B26)</f>
        <v xml:space="preserve">   Chile </v>
      </c>
      <c r="C23" s="21">
        <f>[17]res_pais_dest_baja_tek!C26/1000000</f>
        <v>12.243954</v>
      </c>
      <c r="D23" s="24">
        <f>[17]res_pais_dest_baja_tek!D26/1000000</f>
        <v>13.757158</v>
      </c>
      <c r="E23" s="21">
        <f t="shared" si="0"/>
        <v>12.358785405433581</v>
      </c>
      <c r="F23" s="21">
        <f t="shared" si="1"/>
        <v>3.1191276263797358</v>
      </c>
      <c r="G23" s="21">
        <f>[17]res_pais_dest_baja_tek!E26/1000000</f>
        <v>1.6274390000000001</v>
      </c>
      <c r="H23" s="24">
        <f>[17]res_pais_dest_baja_tek!F26/1000000</f>
        <v>1.548019</v>
      </c>
      <c r="I23" s="21">
        <f t="shared" si="3"/>
        <v>-4.8800600206828086</v>
      </c>
      <c r="J23" s="21">
        <f t="shared" si="5"/>
        <v>3.0299899227314766</v>
      </c>
      <c r="K23" s="16"/>
    </row>
    <row r="24" spans="1:11">
      <c r="A24" s="14" t="s">
        <v>66</v>
      </c>
      <c r="B24" s="9" t="str">
        <f>CONCATENATE(A24,[17]res_pais_dest_baja_tek!B27)</f>
        <v xml:space="preserve">   México </v>
      </c>
      <c r="C24" s="21">
        <f>[17]res_pais_dest_baja_tek!C27/1000000</f>
        <v>29.388007000000002</v>
      </c>
      <c r="D24" s="24">
        <f>[17]res_pais_dest_baja_tek!D27/1000000</f>
        <v>33.373064999999997</v>
      </c>
      <c r="E24" s="21">
        <f t="shared" si="0"/>
        <v>13.560150574348228</v>
      </c>
      <c r="F24" s="21">
        <f t="shared" si="1"/>
        <v>7.5665954420576274</v>
      </c>
      <c r="G24" s="21">
        <f>[17]res_pais_dest_baja_tek!E27/1000000</f>
        <v>3.5101019999999998</v>
      </c>
      <c r="H24" s="24">
        <f>[17]res_pais_dest_baja_tek!F27/1000000</f>
        <v>4.41031</v>
      </c>
      <c r="I24" s="21">
        <f t="shared" si="3"/>
        <v>25.646206292580676</v>
      </c>
      <c r="J24" s="21">
        <f t="shared" si="5"/>
        <v>8.6324488627864771</v>
      </c>
      <c r="K24" s="16"/>
    </row>
    <row r="25" spans="1:11">
      <c r="A25" s="14" t="s">
        <v>66</v>
      </c>
      <c r="B25" s="9" t="str">
        <f>CONCATENATE(A25,[17]res_pais_dest_baja_tek!B28)</f>
        <v xml:space="preserve">   Paraguay </v>
      </c>
      <c r="C25" s="21">
        <f>[17]res_pais_dest_baja_tek!C28/1000000</f>
        <v>0.645895</v>
      </c>
      <c r="D25" s="24">
        <f>[17]res_pais_dest_baja_tek!D28/1000000</f>
        <v>1.252138</v>
      </c>
      <c r="E25" s="21">
        <f t="shared" si="0"/>
        <v>93.8609216668344</v>
      </c>
      <c r="F25" s="21">
        <f t="shared" si="1"/>
        <v>0.28389426274233892</v>
      </c>
      <c r="G25" s="21">
        <f>[17]res_pais_dest_baja_tek!E28/1000000</f>
        <v>3.1109999999999999E-2</v>
      </c>
      <c r="H25" s="24">
        <f>[17]res_pais_dest_baja_tek!F28/1000000</f>
        <v>0.442525</v>
      </c>
      <c r="I25" s="21">
        <f t="shared" si="3"/>
        <v>1322.4525875924139</v>
      </c>
      <c r="J25" s="21">
        <f t="shared" si="5"/>
        <v>0.86616914298645353</v>
      </c>
      <c r="K25" s="16"/>
    </row>
    <row r="26" spans="1:11">
      <c r="A26" s="14" t="s">
        <v>66</v>
      </c>
      <c r="B26" s="9" t="str">
        <f>CONCATENATE(A26,[17]res_pais_dest_baja_tek!B29)</f>
        <v xml:space="preserve">   Uruguay </v>
      </c>
      <c r="C26" s="21">
        <f>[17]res_pais_dest_baja_tek!C29/1000000</f>
        <v>0.112867</v>
      </c>
      <c r="D26" s="24">
        <f>[17]res_pais_dest_baja_tek!D29/1000000</f>
        <v>0.21182599999999999</v>
      </c>
      <c r="E26" s="21">
        <f t="shared" si="0"/>
        <v>87.67753196239822</v>
      </c>
      <c r="F26" s="21">
        <f t="shared" si="1"/>
        <v>4.8026803834448503E-2</v>
      </c>
      <c r="G26" s="21">
        <f>[17]res_pais_dest_baja_tek!E29/1000000</f>
        <v>0</v>
      </c>
      <c r="H26" s="24">
        <f>[17]res_pais_dest_baja_tek!F29/1000000</f>
        <v>2.5826999999999999E-2</v>
      </c>
      <c r="I26" s="21" t="str">
        <f t="shared" si="3"/>
        <v/>
      </c>
      <c r="J26" s="21">
        <f t="shared" si="5"/>
        <v>5.0552060235944031E-2</v>
      </c>
      <c r="K26" s="16"/>
    </row>
    <row r="27" spans="1:11">
      <c r="A27" s="14" t="s">
        <v>66</v>
      </c>
      <c r="B27" s="9" t="str">
        <f>CONCATENATE(A27,[17]res_pais_dest_baja_tek!B30)</f>
        <v xml:space="preserve">   Venezuela</v>
      </c>
      <c r="C27" s="21">
        <f>[17]res_pais_dest_baja_tek!C30/1000000</f>
        <v>117.355</v>
      </c>
      <c r="D27" s="24">
        <f>[17]res_pais_dest_baja_tek!D30/1000000</f>
        <v>67.044392999999999</v>
      </c>
      <c r="E27" s="21">
        <f t="shared" si="0"/>
        <v>-42.870441821822681</v>
      </c>
      <c r="F27" s="21">
        <f>(D27/D$13)*100</f>
        <v>15.200815342831723</v>
      </c>
      <c r="G27" s="21">
        <f>[17]res_pais_dest_baja_tek!E30/1000000</f>
        <v>16.066381</v>
      </c>
      <c r="H27" s="24">
        <f>[17]res_pais_dest_baja_tek!F30/1000000</f>
        <v>8.9612999999999996</v>
      </c>
      <c r="I27" s="21">
        <f t="shared" si="3"/>
        <v>-44.223282144248913</v>
      </c>
      <c r="J27" s="21">
        <f t="shared" si="5"/>
        <v>17.54025544555563</v>
      </c>
      <c r="K27" s="16"/>
    </row>
    <row r="28" spans="1:11">
      <c r="A28" s="14" t="s">
        <v>66</v>
      </c>
      <c r="B28" s="9" t="str">
        <f>[17]res_pais_dest_baja_tek!B44</f>
        <v xml:space="preserve">Canadá </v>
      </c>
      <c r="C28" s="21">
        <f>[17]res_pais_dest_baja_tek!C44/1000000</f>
        <v>1.296133</v>
      </c>
      <c r="D28" s="24">
        <f>[17]res_pais_dest_baja_tek!D44/1000000</f>
        <v>1.4415309999999999</v>
      </c>
      <c r="E28" s="21">
        <f t="shared" si="0"/>
        <v>11.217830268961592</v>
      </c>
      <c r="F28" s="21">
        <f>(D28/D$13)*100</f>
        <v>0.32683488598319554</v>
      </c>
      <c r="G28" s="21">
        <f>[17]res_pais_dest_baja_tek!E44/1000000</f>
        <v>7.6624999999999999E-2</v>
      </c>
      <c r="H28" s="24">
        <f>[17]res_pais_dest_baja_tek!F44/1000000</f>
        <v>0.21357400000000001</v>
      </c>
      <c r="I28" s="21">
        <f t="shared" si="3"/>
        <v>178.726264274062</v>
      </c>
      <c r="J28" s="21">
        <f t="shared" si="5"/>
        <v>0.41803561051734667</v>
      </c>
      <c r="K28" s="16"/>
    </row>
    <row r="29" spans="1:11">
      <c r="A29" s="14" t="s">
        <v>66</v>
      </c>
      <c r="B29" s="9" t="str">
        <f>[17]res_pais_dest_baja_tek!B45</f>
        <v>Estados Unidos</v>
      </c>
      <c r="C29" s="21">
        <f>[17]res_pais_dest_baja_tek!C45/1000000</f>
        <v>71.974513000000002</v>
      </c>
      <c r="D29" s="24">
        <f>[17]res_pais_dest_baja_tek!D45/1000000</f>
        <v>68.865295000000003</v>
      </c>
      <c r="E29" s="21">
        <f t="shared" si="0"/>
        <v>-4.3198875135146757</v>
      </c>
      <c r="F29" s="21">
        <f t="shared" si="1"/>
        <v>15.613664110951571</v>
      </c>
      <c r="G29" s="21">
        <f>[17]res_pais_dest_baja_tek!E45/1000000</f>
        <v>10.574192999999999</v>
      </c>
      <c r="H29" s="24">
        <f>[17]res_pais_dest_baja_tek!F45/1000000</f>
        <v>8.0170379999999994</v>
      </c>
      <c r="I29" s="21">
        <f t="shared" si="3"/>
        <v>-24.182980204730519</v>
      </c>
      <c r="J29" s="21">
        <f t="shared" si="5"/>
        <v>15.692019510196781</v>
      </c>
      <c r="K29" s="16"/>
    </row>
    <row r="30" spans="1:11">
      <c r="A30" s="14" t="s">
        <v>66</v>
      </c>
      <c r="B30" s="9" t="str">
        <f>[17]res_pais_dest_baja_tek!B46</f>
        <v xml:space="preserve">Puerto Rico </v>
      </c>
      <c r="C30" s="21">
        <f>[17]res_pais_dest_baja_tek!C46/1000000</f>
        <v>3.9954519999999998</v>
      </c>
      <c r="D30" s="24">
        <f>[17]res_pais_dest_baja_tek!D46/1000000</f>
        <v>3.9686590000000002</v>
      </c>
      <c r="E30" s="21">
        <f t="shared" si="0"/>
        <v>-0.67058745793966423</v>
      </c>
      <c r="F30" s="21">
        <f t="shared" si="1"/>
        <v>0.89980459093226794</v>
      </c>
      <c r="G30" s="21">
        <f>[17]res_pais_dest_baja_tek!E46/1000000</f>
        <v>0.48783700000000002</v>
      </c>
      <c r="H30" s="24">
        <f>[17]res_pais_dest_baja_tek!F46/1000000</f>
        <v>0.31981399999999999</v>
      </c>
      <c r="I30" s="21">
        <f t="shared" si="3"/>
        <v>-34.442446964867365</v>
      </c>
      <c r="J30" s="21">
        <f t="shared" si="5"/>
        <v>0.62598275418353677</v>
      </c>
      <c r="K30" s="16"/>
    </row>
    <row r="31" spans="1:11">
      <c r="A31" s="14"/>
      <c r="B31" s="10" t="s">
        <v>48</v>
      </c>
      <c r="C31" s="21">
        <f>SUM(C32:C42)</f>
        <v>18.644987</v>
      </c>
      <c r="D31" s="24">
        <f>SUM(D32:D42)</f>
        <v>16.965381999999998</v>
      </c>
      <c r="E31" s="21">
        <f t="shared" si="0"/>
        <v>-9.0083463185037456</v>
      </c>
      <c r="F31" s="21">
        <f t="shared" si="1"/>
        <v>3.8465206031860282</v>
      </c>
      <c r="G31" s="21">
        <f>SUM(G32:G42)</f>
        <v>3.1651470000000002</v>
      </c>
      <c r="H31" s="24">
        <f>SUM(H32:H42)</f>
        <v>1.1526000000000001</v>
      </c>
      <c r="I31" s="21">
        <f t="shared" si="3"/>
        <v>-63.584629718619709</v>
      </c>
      <c r="J31" s="21">
        <f t="shared" si="5"/>
        <v>2.2560229460622252</v>
      </c>
      <c r="K31" s="16"/>
    </row>
    <row r="32" spans="1:11">
      <c r="A32" s="14" t="s">
        <v>66</v>
      </c>
      <c r="B32" s="9" t="str">
        <f>CONCATENATE(A32,[17]res_pais_dest_baja_tek!B60)</f>
        <v xml:space="preserve">   Alemania </v>
      </c>
      <c r="C32" s="21">
        <f>[17]res_pais_dest_baja_tek!C60/1000000</f>
        <v>1.729617</v>
      </c>
      <c r="D32" s="24">
        <f>[17]res_pais_dest_baja_tek!D60/1000000</f>
        <v>2.2056809999999998</v>
      </c>
      <c r="E32" s="21">
        <f t="shared" si="0"/>
        <v>27.52424380657683</v>
      </c>
      <c r="F32" s="21">
        <f t="shared" si="1"/>
        <v>0.5000887931999386</v>
      </c>
      <c r="G32" s="21">
        <f>[17]res_pais_dest_baja_tek!E60/1000000</f>
        <v>0.456569</v>
      </c>
      <c r="H32" s="24">
        <f>[17]res_pais_dest_baja_tek!F60/1000000</f>
        <v>0.12625600000000001</v>
      </c>
      <c r="I32" s="21">
        <f t="shared" si="3"/>
        <v>-72.346786575523097</v>
      </c>
      <c r="J32" s="21">
        <f t="shared" si="5"/>
        <v>0.24712513714908235</v>
      </c>
      <c r="K32" s="16"/>
    </row>
    <row r="33" spans="1:11">
      <c r="A33" s="14" t="s">
        <v>66</v>
      </c>
      <c r="B33" s="9" t="str">
        <f>CONCATENATE(A33,[17]res_pais_dest_baja_tek!B61)</f>
        <v xml:space="preserve">   Austria </v>
      </c>
      <c r="C33" s="21">
        <f>[17]res_pais_dest_baja_tek!C61/1000000</f>
        <v>7.2220999999999994E-2</v>
      </c>
      <c r="D33" s="24">
        <f>[17]res_pais_dest_baja_tek!D61/1000000</f>
        <v>0.26647199999999999</v>
      </c>
      <c r="E33" s="21">
        <f t="shared" si="0"/>
        <v>268.96747483418955</v>
      </c>
      <c r="F33" s="21">
        <f t="shared" si="1"/>
        <v>6.0416561099077365E-2</v>
      </c>
      <c r="G33" s="21">
        <f>[17]res_pais_dest_baja_tek!E61/1000000</f>
        <v>1.0996000000000001E-2</v>
      </c>
      <c r="H33" s="24">
        <f>[17]res_pais_dest_baja_tek!F61/1000000</f>
        <v>0.12872600000000001</v>
      </c>
      <c r="I33" s="21">
        <f t="shared" si="3"/>
        <v>1070.6620589305201</v>
      </c>
      <c r="J33" s="21">
        <f t="shared" si="5"/>
        <v>0.25195975165261669</v>
      </c>
      <c r="K33" s="16"/>
    </row>
    <row r="34" spans="1:11">
      <c r="A34" s="14" t="s">
        <v>66</v>
      </c>
      <c r="B34" s="9" t="str">
        <f>CONCATENATE(A34,[17]res_pais_dest_baja_tek!B62)</f>
        <v xml:space="preserve">   Bélgica </v>
      </c>
      <c r="C34" s="21">
        <f>[17]res_pais_dest_baja_tek!C62/1000000</f>
        <v>0.50714800000000004</v>
      </c>
      <c r="D34" s="24">
        <f>[17]res_pais_dest_baja_tek!D62/1000000</f>
        <v>0.12948499999999999</v>
      </c>
      <c r="E34" s="21">
        <f t="shared" si="0"/>
        <v>-74.468005394874879</v>
      </c>
      <c r="F34" s="21">
        <f t="shared" si="1"/>
        <v>2.9357825264620795E-2</v>
      </c>
      <c r="G34" s="21">
        <f>[17]res_pais_dest_baja_tek!E62/1000000</f>
        <v>1.4864E-2</v>
      </c>
      <c r="H34" s="24">
        <f>[17]res_pais_dest_baja_tek!F62/1000000</f>
        <v>1.1590000000000001E-3</v>
      </c>
      <c r="I34" s="21">
        <f t="shared" si="3"/>
        <v>-92.202637244348765</v>
      </c>
      <c r="J34" s="21">
        <f t="shared" si="5"/>
        <v>2.2685498824276586E-3</v>
      </c>
      <c r="K34" s="16"/>
    </row>
    <row r="35" spans="1:11">
      <c r="A35" s="14" t="s">
        <v>66</v>
      </c>
      <c r="B35" s="9" t="str">
        <f>CONCATENATE(A35,[17]res_pais_dest_baja_tek!B63)</f>
        <v xml:space="preserve">   España </v>
      </c>
      <c r="C35" s="21">
        <f>[17]res_pais_dest_baja_tek!C63/1000000</f>
        <v>2.251665</v>
      </c>
      <c r="D35" s="24">
        <f>[17]res_pais_dest_baja_tek!D63/1000000</f>
        <v>1.465535</v>
      </c>
      <c r="E35" s="21">
        <f t="shared" si="0"/>
        <v>-34.913275287398434</v>
      </c>
      <c r="F35" s="21">
        <f t="shared" si="1"/>
        <v>0.3322772556603934</v>
      </c>
      <c r="G35" s="21">
        <f>[17]res_pais_dest_baja_tek!E63/1000000</f>
        <v>0.224194</v>
      </c>
      <c r="H35" s="24">
        <f>[17]res_pais_dest_baja_tek!F63/1000000</f>
        <v>7.4541999999999997E-2</v>
      </c>
      <c r="I35" s="21">
        <f t="shared" si="3"/>
        <v>-66.751117335878746</v>
      </c>
      <c r="J35" s="21">
        <f t="shared" si="5"/>
        <v>0.14590357664876835</v>
      </c>
      <c r="K35" s="16"/>
    </row>
    <row r="36" spans="1:11">
      <c r="A36" s="14" t="s">
        <v>66</v>
      </c>
      <c r="B36" s="9" t="str">
        <f>CONCATENATE(A36,[17]res_pais_dest_baja_tek!B64)</f>
        <v xml:space="preserve">   Francia </v>
      </c>
      <c r="C36" s="21">
        <f>[17]res_pais_dest_baja_tek!C64/1000000</f>
        <v>1.1141099999999999</v>
      </c>
      <c r="D36" s="24">
        <f>[17]res_pais_dest_baja_tek!D64/1000000</f>
        <v>0.663045</v>
      </c>
      <c r="E36" s="21">
        <f t="shared" si="0"/>
        <v>-40.486576729407332</v>
      </c>
      <c r="F36" s="21">
        <f t="shared" si="1"/>
        <v>0.15033061167378844</v>
      </c>
      <c r="G36" s="21">
        <f>[17]res_pais_dest_baja_tek!E64/1000000</f>
        <v>0.21263899999999999</v>
      </c>
      <c r="H36" s="24">
        <f>[17]res_pais_dest_baja_tek!F64/1000000</f>
        <v>4.3000000000000002E-5</v>
      </c>
      <c r="I36" s="21">
        <f t="shared" si="3"/>
        <v>-99.979777933492926</v>
      </c>
      <c r="J36" s="21">
        <f t="shared" si="5"/>
        <v>8.4165353705253934E-5</v>
      </c>
      <c r="K36" s="16"/>
    </row>
    <row r="37" spans="1:11">
      <c r="A37" s="14" t="s">
        <v>66</v>
      </c>
      <c r="B37" s="9" t="str">
        <f>CONCATENATE(A37,[17]res_pais_dest_baja_tek!B65)</f>
        <v xml:space="preserve">   Italia </v>
      </c>
      <c r="C37" s="21">
        <f>[17]res_pais_dest_baja_tek!C65/1000000</f>
        <v>6.9785240000000002</v>
      </c>
      <c r="D37" s="24">
        <f>[17]res_pais_dest_baja_tek!D65/1000000</f>
        <v>4.7979159999999998</v>
      </c>
      <c r="E37" s="21">
        <f t="shared" si="0"/>
        <v>-31.247409910749035</v>
      </c>
      <c r="F37" s="21">
        <f t="shared" si="1"/>
        <v>1.0878200529970912</v>
      </c>
      <c r="G37" s="21">
        <f>[17]res_pais_dest_baja_tek!E65/1000000</f>
        <v>1.351005</v>
      </c>
      <c r="H37" s="24">
        <f>[17]res_pais_dest_baja_tek!F65/1000000</f>
        <v>0.112912</v>
      </c>
      <c r="I37" s="21">
        <f t="shared" si="3"/>
        <v>-91.642369939415474</v>
      </c>
      <c r="J37" s="21">
        <f t="shared" si="5"/>
        <v>0.22100647482715421</v>
      </c>
      <c r="K37" s="16"/>
    </row>
    <row r="38" spans="1:11">
      <c r="A38" s="14" t="s">
        <v>66</v>
      </c>
      <c r="B38" s="7" t="str">
        <f>CONCATENATE(A38,[17]res_pais_dest_baja_tek!B66)</f>
        <v xml:space="preserve">   Países Bajos </v>
      </c>
      <c r="C38" s="21">
        <f>[17]res_pais_dest_baja_tek!C66/1000000</f>
        <v>1.399405</v>
      </c>
      <c r="D38" s="24">
        <f>[17]res_pais_dest_baja_tek!D66/1000000</f>
        <v>1.4337249999999999</v>
      </c>
      <c r="E38" s="21">
        <f t="shared" si="0"/>
        <v>2.452470871548984</v>
      </c>
      <c r="F38" s="21">
        <f t="shared" si="1"/>
        <v>0.3250650502183145</v>
      </c>
      <c r="G38" s="21">
        <f>[17]res_pais_dest_baja_tek!E66/1000000</f>
        <v>0.105319</v>
      </c>
      <c r="H38" s="24">
        <f>[17]res_pais_dest_baja_tek!F66/1000000</f>
        <v>4.5329000000000001E-2</v>
      </c>
      <c r="I38" s="21">
        <f t="shared" si="3"/>
        <v>-56.960282570096552</v>
      </c>
      <c r="J38" s="21">
        <f t="shared" si="5"/>
        <v>8.8723984141987344E-2</v>
      </c>
      <c r="K38" s="16"/>
    </row>
    <row r="39" spans="1:11">
      <c r="A39" s="14" t="s">
        <v>66</v>
      </c>
      <c r="B39" s="7" t="str">
        <f>CONCATENATE(A39,[17]res_pais_dest_baja_tek!B67)</f>
        <v xml:space="preserve">   Portugal </v>
      </c>
      <c r="C39" s="21">
        <f>[17]res_pais_dest_baja_tek!C67/1000000</f>
        <v>0.24602599999999999</v>
      </c>
      <c r="D39" s="24">
        <f>[17]res_pais_dest_baja_tek!D67/1000000</f>
        <v>0.13295299999999999</v>
      </c>
      <c r="E39" s="21">
        <f t="shared" si="0"/>
        <v>-45.959776608976291</v>
      </c>
      <c r="F39" s="21">
        <f t="shared" si="1"/>
        <v>3.0144116634414245E-2</v>
      </c>
      <c r="G39" s="21">
        <f>[17]res_pais_dest_baja_tek!E67/1000000</f>
        <v>0</v>
      </c>
      <c r="H39" s="24">
        <f>[17]res_pais_dest_baja_tek!F67/1000000</f>
        <v>0</v>
      </c>
      <c r="I39" s="21" t="str">
        <f t="shared" si="3"/>
        <v/>
      </c>
      <c r="J39" s="21">
        <f t="shared" si="5"/>
        <v>0</v>
      </c>
      <c r="K39" s="16"/>
    </row>
    <row r="40" spans="1:11">
      <c r="A40" s="14" t="s">
        <v>66</v>
      </c>
      <c r="B40" s="7" t="str">
        <f>CONCATENATE(A40,[17]res_pais_dest_baja_tek!B68)</f>
        <v xml:space="preserve">   Reino Unido </v>
      </c>
      <c r="C40" s="21">
        <f>[17]res_pais_dest_baja_tek!C68/1000000</f>
        <v>2.3900999999999999</v>
      </c>
      <c r="D40" s="24">
        <f>[17]res_pais_dest_baja_tek!D68/1000000</f>
        <v>3.6505529999999999</v>
      </c>
      <c r="E40" s="21">
        <f t="shared" si="0"/>
        <v>52.736412702397395</v>
      </c>
      <c r="F40" s="21">
        <f t="shared" si="1"/>
        <v>0.82768117614578707</v>
      </c>
      <c r="G40" s="21">
        <f>[17]res_pais_dest_baja_tek!E68/1000000</f>
        <v>0.49419200000000002</v>
      </c>
      <c r="H40" s="24">
        <f>[17]res_pais_dest_baja_tek!F68/1000000</f>
        <v>0.551624</v>
      </c>
      <c r="I40" s="21">
        <f t="shared" si="3"/>
        <v>11.621394114028561</v>
      </c>
      <c r="J40" s="21">
        <f t="shared" si="5"/>
        <v>1.0797123040071395</v>
      </c>
      <c r="K40" s="16"/>
    </row>
    <row r="41" spans="1:11">
      <c r="A41" s="14" t="s">
        <v>66</v>
      </c>
      <c r="B41" s="9" t="str">
        <f>CONCATENATE(A41,[17]res_pais_dest_baja_tek!B69)</f>
        <v xml:space="preserve">   Suecia </v>
      </c>
      <c r="C41" s="21">
        <f>[17]res_pais_dest_baja_tek!C69/1000000</f>
        <v>1.2036579999999999</v>
      </c>
      <c r="D41" s="24">
        <f>[17]res_pais_dest_baja_tek!D69/1000000</f>
        <v>1.8879710000000001</v>
      </c>
      <c r="E41" s="21">
        <f t="shared" si="0"/>
        <v>56.852777117752737</v>
      </c>
      <c r="F41" s="21">
        <f t="shared" si="1"/>
        <v>0.42805516254910908</v>
      </c>
      <c r="G41" s="21">
        <f>[17]res_pais_dest_baja_tek!E69/1000000</f>
        <v>0.102739</v>
      </c>
      <c r="H41" s="24">
        <f>[17]res_pais_dest_baja_tek!F69/1000000</f>
        <v>2.2010999999999999E-2</v>
      </c>
      <c r="I41" s="21">
        <f t="shared" si="3"/>
        <v>-78.575808602380789</v>
      </c>
      <c r="J41" s="21">
        <f t="shared" si="5"/>
        <v>4.3082874428054523E-2</v>
      </c>
      <c r="K41" s="16"/>
    </row>
    <row r="42" spans="1:11">
      <c r="A42" s="14" t="s">
        <v>66</v>
      </c>
      <c r="B42" s="9" t="str">
        <f>CONCATENATE(A42,[17]res_pais_dest_baja_tek!B70)</f>
        <v xml:space="preserve">   Resto </v>
      </c>
      <c r="C42" s="21">
        <f>[17]res_pais_dest_baja_tek!C70/1000000</f>
        <v>0.75251299999999999</v>
      </c>
      <c r="D42" s="24">
        <f>[17]res_pais_dest_baja_tek!D70/1000000</f>
        <v>0.33204600000000001</v>
      </c>
      <c r="E42" s="21">
        <f t="shared" si="0"/>
        <v>-55.875048005815174</v>
      </c>
      <c r="F42" s="21">
        <f t="shared" si="1"/>
        <v>7.5283997743493661E-2</v>
      </c>
      <c r="G42" s="21">
        <f>[17]res_pais_dest_baja_tek!E70/1000000</f>
        <v>0.19263</v>
      </c>
      <c r="H42" s="24">
        <f>[17]res_pais_dest_baja_tek!F70/1000000</f>
        <v>8.9997999999999995E-2</v>
      </c>
      <c r="I42" s="21">
        <f t="shared" si="3"/>
        <v>-53.279343819758083</v>
      </c>
      <c r="J42" s="21">
        <f t="shared" si="5"/>
        <v>0.17615612797128938</v>
      </c>
      <c r="K42" s="16"/>
    </row>
    <row r="43" spans="1:11">
      <c r="A43" s="14"/>
      <c r="B43" s="9" t="str">
        <f>[17]res_pais_dest_baja_tek!B84</f>
        <v>Suiza</v>
      </c>
      <c r="C43" s="21">
        <f>[17]res_pais_dest_baja_tek!C84/1000000</f>
        <v>0.26108700000000001</v>
      </c>
      <c r="D43" s="24">
        <f>[17]res_pais_dest_baja_tek!D84/1000000</f>
        <v>7.0140999999999995E-2</v>
      </c>
      <c r="E43" s="21">
        <f t="shared" si="0"/>
        <v>-73.135008636967754</v>
      </c>
      <c r="F43" s="21">
        <f t="shared" si="1"/>
        <v>1.5902901663403229E-2</v>
      </c>
      <c r="G43" s="21">
        <f>[17]res_pais_dest_baja_tek!E84/1000000</f>
        <v>1.0019E-2</v>
      </c>
      <c r="H43" s="24">
        <f>[17]res_pais_dest_baja_tek!F84/1000000</f>
        <v>6.0179999999999999E-3</v>
      </c>
      <c r="I43" s="21">
        <f t="shared" si="3"/>
        <v>-39.934125162191833</v>
      </c>
      <c r="J43" s="21">
        <f t="shared" si="5"/>
        <v>1.1779234851121353E-2</v>
      </c>
      <c r="K43" s="16"/>
    </row>
    <row r="44" spans="1:11">
      <c r="A44" s="14"/>
      <c r="B44" s="9" t="s">
        <v>2</v>
      </c>
      <c r="C44" s="21">
        <f>+C13-C14-C31-C43-C28-C29-C30</f>
        <v>106.2959972199981</v>
      </c>
      <c r="D44" s="24">
        <f>+D13-D14-D31-D43-D28-D29-D30</f>
        <v>92.588991119997445</v>
      </c>
      <c r="E44" s="21">
        <f t="shared" si="0"/>
        <v>-12.895129128551863</v>
      </c>
      <c r="F44" s="21">
        <f t="shared" si="1"/>
        <v>20.992481157882469</v>
      </c>
      <c r="G44" s="21">
        <f t="shared" ref="G44:H44" si="6">+G13-G14-G31-G43-G28-G29-G30</f>
        <v>12.328315730000025</v>
      </c>
      <c r="H44" s="24">
        <f t="shared" si="6"/>
        <v>11.053014890000162</v>
      </c>
      <c r="I44" s="21">
        <f t="shared" si="3"/>
        <v>-10.344485556096805</v>
      </c>
      <c r="J44" s="21">
        <f t="shared" si="5"/>
        <v>21.634439714565165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totales'!C28</f>
        <v>491.98904479999771</v>
      </c>
      <c r="D13" s="24">
        <f>+'Resumen exportaciones totales'!D28</f>
        <v>432.57043426999837</v>
      </c>
      <c r="E13" s="24">
        <f>IF(OR(OR(D13=0,C13=0),D13=""),"",(D13/C13-1)*100)</f>
        <v>-12.077222279238775</v>
      </c>
      <c r="F13" s="22">
        <f>(D13/D$13)*100</f>
        <v>100</v>
      </c>
      <c r="G13" s="24">
        <f>+'Resumen exportaciones totales'!G28</f>
        <v>61.538640380000096</v>
      </c>
      <c r="H13" s="24">
        <f>+'Resumen exportaciones totales'!H28</f>
        <v>49.251789100000046</v>
      </c>
      <c r="I13" s="24">
        <f>IF(OR(OR(H13=0,G13=0),H13=""),"",(H13/G13-1)*100)</f>
        <v>-19.966075305091145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309.64486899999997</v>
      </c>
      <c r="D14" s="24">
        <f>+D15+D19</f>
        <v>305.494551</v>
      </c>
      <c r="E14" s="21">
        <f t="shared" ref="E14:E44" si="0">IF(OR(OR(D14=0,C14=0),D14=""),"",(D14/C14-1)*100)</f>
        <v>-1.3403477388155838</v>
      </c>
      <c r="F14" s="21">
        <f t="shared" ref="F14:F44" si="1">(D14/D$13)*100</f>
        <v>70.623077029189389</v>
      </c>
      <c r="G14" s="21">
        <f>+G15+G19</f>
        <v>39.173130999999998</v>
      </c>
      <c r="H14" s="24">
        <f t="shared" ref="H14" si="2">+H15+H19</f>
        <v>35.077978999999999</v>
      </c>
      <c r="I14" s="21">
        <f t="shared" ref="I14:I44" si="3">IF(OR(OR(H14=0,G14=0),H14=""),"",(H14/G14-1)*100)</f>
        <v>-10.453981837704006</v>
      </c>
      <c r="J14" s="21">
        <f>(H14/H$13)*100</f>
        <v>71.221735577520306</v>
      </c>
      <c r="K14" s="16"/>
    </row>
    <row r="15" spans="1:14">
      <c r="A15" s="14"/>
      <c r="B15" s="10" t="s">
        <v>57</v>
      </c>
      <c r="C15" s="21">
        <f>+SUM(C16:C18)</f>
        <v>170.91232499999998</v>
      </c>
      <c r="D15" s="24">
        <f>+SUM(D16:D18)</f>
        <v>185.30495099999999</v>
      </c>
      <c r="E15" s="21">
        <f t="shared" si="0"/>
        <v>8.4210579898202234</v>
      </c>
      <c r="F15" s="21">
        <f>(D15/D$13)*100</f>
        <v>42.838099028362585</v>
      </c>
      <c r="G15" s="21">
        <f t="shared" ref="G15:H15" si="4">+SUM(G16:G18)</f>
        <v>20.449109</v>
      </c>
      <c r="H15" s="24">
        <f t="shared" si="4"/>
        <v>19.278324999999999</v>
      </c>
      <c r="I15" s="21">
        <f t="shared" si="3"/>
        <v>-5.7253545863538697</v>
      </c>
      <c r="J15" s="21">
        <f t="shared" ref="J15:J44" si="5">(H15/H$13)*100</f>
        <v>39.142385184947486</v>
      </c>
      <c r="K15" s="16"/>
    </row>
    <row r="16" spans="1:14">
      <c r="A16" s="14" t="s">
        <v>66</v>
      </c>
      <c r="B16" s="9" t="str">
        <f>CONCATENATE(A16,[18]res_pais_dest_media_tek!B7)</f>
        <v xml:space="preserve">   Bolivia</v>
      </c>
      <c r="C16" s="21">
        <f>[18]res_pais_dest_media_tek!C7/1000000</f>
        <v>3.2995399999999999</v>
      </c>
      <c r="D16" s="24">
        <f>[18]res_pais_dest_media_tek!D7/1000000</f>
        <v>13.934753000000001</v>
      </c>
      <c r="E16" s="21">
        <f t="shared" si="0"/>
        <v>322.32411184589364</v>
      </c>
      <c r="F16" s="21">
        <f t="shared" si="1"/>
        <v>3.2213835935218627</v>
      </c>
      <c r="G16" s="21">
        <f>[18]res_pais_dest_media_tek!E7/1000000</f>
        <v>0.326351</v>
      </c>
      <c r="H16" s="24">
        <f>[18]res_pais_dest_media_tek!F7/1000000</f>
        <v>0.46027200000000001</v>
      </c>
      <c r="I16" s="21">
        <f t="shared" si="3"/>
        <v>41.035878547943774</v>
      </c>
      <c r="J16" s="21">
        <f t="shared" si="5"/>
        <v>0.9345284880219703</v>
      </c>
      <c r="K16" s="16"/>
    </row>
    <row r="17" spans="1:11">
      <c r="A17" s="14" t="s">
        <v>66</v>
      </c>
      <c r="B17" s="9" t="str">
        <f>CONCATENATE(A17,[18]res_pais_dest_media_tek!B8)</f>
        <v xml:space="preserve">   Ecuador</v>
      </c>
      <c r="C17" s="21">
        <f>[18]res_pais_dest_media_tek!C8/1000000</f>
        <v>126.46410899999999</v>
      </c>
      <c r="D17" s="24">
        <f>[18]res_pais_dest_media_tek!D8/1000000</f>
        <v>129.038006</v>
      </c>
      <c r="E17" s="21">
        <f t="shared" si="0"/>
        <v>2.0352786417844548</v>
      </c>
      <c r="F17" s="21">
        <f t="shared" si="1"/>
        <v>29.830519096332431</v>
      </c>
      <c r="G17" s="21">
        <f>[18]res_pais_dest_media_tek!E8/1000000</f>
        <v>15.803490999999999</v>
      </c>
      <c r="H17" s="24">
        <f>[18]res_pais_dest_media_tek!F8/1000000</f>
        <v>14.645068</v>
      </c>
      <c r="I17" s="21">
        <f t="shared" si="3"/>
        <v>-7.3301715424775367</v>
      </c>
      <c r="J17" s="21">
        <f t="shared" si="5"/>
        <v>29.735098496147799</v>
      </c>
      <c r="K17" s="16"/>
    </row>
    <row r="18" spans="1:11">
      <c r="A18" s="14" t="s">
        <v>66</v>
      </c>
      <c r="B18" s="9" t="str">
        <f>CONCATENATE(A18,[18]res_pais_dest_media_tek!B9)</f>
        <v xml:space="preserve">   Perú </v>
      </c>
      <c r="C18" s="21">
        <f>[18]res_pais_dest_media_tek!C9/1000000</f>
        <v>41.148676000000002</v>
      </c>
      <c r="D18" s="24">
        <f>[18]res_pais_dest_media_tek!D9/1000000</f>
        <v>42.332191999999999</v>
      </c>
      <c r="E18" s="21">
        <f t="shared" si="0"/>
        <v>2.8761946070877231</v>
      </c>
      <c r="F18" s="21">
        <f t="shared" si="1"/>
        <v>9.786196338508292</v>
      </c>
      <c r="G18" s="21">
        <f>[18]res_pais_dest_media_tek!E9/1000000</f>
        <v>4.319267</v>
      </c>
      <c r="H18" s="24">
        <f>[18]res_pais_dest_media_tek!F9/1000000</f>
        <v>4.1729849999999997</v>
      </c>
      <c r="I18" s="21">
        <f t="shared" si="3"/>
        <v>-3.3867320543045865</v>
      </c>
      <c r="J18" s="21">
        <f t="shared" si="5"/>
        <v>8.4727582007777169</v>
      </c>
      <c r="K18" s="16"/>
    </row>
    <row r="19" spans="1:11">
      <c r="A19" s="14"/>
      <c r="B19" s="10" t="s">
        <v>58</v>
      </c>
      <c r="C19" s="21">
        <f>SUM(C20:C27)</f>
        <v>138.73254400000002</v>
      </c>
      <c r="D19" s="24">
        <f>SUM(D20:D27)</f>
        <v>120.1896</v>
      </c>
      <c r="E19" s="21">
        <f t="shared" si="0"/>
        <v>-13.365965522840851</v>
      </c>
      <c r="F19" s="21">
        <f t="shared" si="1"/>
        <v>27.784978000826797</v>
      </c>
      <c r="G19" s="21">
        <f>SUM(G20:G27)</f>
        <v>18.724022000000001</v>
      </c>
      <c r="H19" s="24">
        <f>SUM(H20:H27)</f>
        <v>15.799654</v>
      </c>
      <c r="I19" s="21">
        <f t="shared" si="3"/>
        <v>-15.618268339996611</v>
      </c>
      <c r="J19" s="21">
        <f t="shared" si="5"/>
        <v>32.079350392572813</v>
      </c>
      <c r="K19" s="16"/>
    </row>
    <row r="20" spans="1:11">
      <c r="A20" s="14" t="s">
        <v>66</v>
      </c>
      <c r="B20" s="9" t="str">
        <f>CONCATENATE(A20,[18]res_pais_dest_media_tek!B23)</f>
        <v xml:space="preserve">   Argentina</v>
      </c>
      <c r="C20" s="21">
        <f>[18]res_pais_dest_media_tek!C23/1000000</f>
        <v>4.5309270000000001</v>
      </c>
      <c r="D20" s="24">
        <f>[18]res_pais_dest_media_tek!D23/1000000</f>
        <v>10.257807</v>
      </c>
      <c r="E20" s="21">
        <f t="shared" si="0"/>
        <v>126.39532704896811</v>
      </c>
      <c r="F20" s="21">
        <f t="shared" si="1"/>
        <v>2.3713610980627871</v>
      </c>
      <c r="G20" s="21">
        <f>[18]res_pais_dest_media_tek!E23/1000000</f>
        <v>0.374199</v>
      </c>
      <c r="H20" s="24">
        <f>[18]res_pais_dest_media_tek!F23/1000000</f>
        <v>0.81386099999999995</v>
      </c>
      <c r="I20" s="21">
        <f t="shared" si="3"/>
        <v>117.49416754186943</v>
      </c>
      <c r="J20" s="21">
        <f t="shared" si="5"/>
        <v>1.6524496162922113</v>
      </c>
      <c r="K20" s="16"/>
    </row>
    <row r="21" spans="1:11">
      <c r="A21" s="14" t="s">
        <v>66</v>
      </c>
      <c r="B21" s="9" t="str">
        <f>CONCATENATE(A21,[18]res_pais_dest_media_tek!B24)</f>
        <v xml:space="preserve">   Brasil </v>
      </c>
      <c r="C21" s="21">
        <f>[18]res_pais_dest_media_tek!C24/1000000</f>
        <v>10.310226999999999</v>
      </c>
      <c r="D21" s="24">
        <f>[18]res_pais_dest_media_tek!D24/1000000</f>
        <v>12.851181</v>
      </c>
      <c r="E21" s="21">
        <f t="shared" si="0"/>
        <v>24.644985993033906</v>
      </c>
      <c r="F21" s="21">
        <f t="shared" si="1"/>
        <v>2.970887509149239</v>
      </c>
      <c r="G21" s="21">
        <f>[18]res_pais_dest_media_tek!E24/1000000</f>
        <v>0.73151100000000002</v>
      </c>
      <c r="H21" s="24">
        <f>[18]res_pais_dest_media_tek!F24/1000000</f>
        <v>1.7967770000000001</v>
      </c>
      <c r="I21" s="21">
        <f t="shared" si="3"/>
        <v>145.62542463476285</v>
      </c>
      <c r="J21" s="21">
        <f t="shared" si="5"/>
        <v>3.6481456467537714</v>
      </c>
      <c r="K21" s="16"/>
    </row>
    <row r="22" spans="1:11">
      <c r="A22" s="14" t="s">
        <v>66</v>
      </c>
      <c r="B22" s="9" t="str">
        <f>CONCATENATE(A22,[18]res_pais_dest_media_tek!B25)</f>
        <v xml:space="preserve">   Cuba </v>
      </c>
      <c r="C22" s="21">
        <f>[18]res_pais_dest_media_tek!C25/1000000</f>
        <v>0.48048099999999999</v>
      </c>
      <c r="D22" s="24">
        <f>[18]res_pais_dest_media_tek!D25/1000000</f>
        <v>0.52522199999999997</v>
      </c>
      <c r="E22" s="21">
        <f t="shared" si="0"/>
        <v>9.3117105567129599</v>
      </c>
      <c r="F22" s="21">
        <f t="shared" si="1"/>
        <v>0.12141883919698754</v>
      </c>
      <c r="G22" s="21">
        <f>[18]res_pais_dest_media_tek!E25/1000000</f>
        <v>8.0149999999999996E-3</v>
      </c>
      <c r="H22" s="24">
        <f>[18]res_pais_dest_media_tek!F25/1000000</f>
        <v>2.8206999999999999E-2</v>
      </c>
      <c r="I22" s="21">
        <f t="shared" si="3"/>
        <v>251.92763568309422</v>
      </c>
      <c r="J22" s="21">
        <f t="shared" si="5"/>
        <v>5.727101596802698E-2</v>
      </c>
      <c r="K22" s="16"/>
    </row>
    <row r="23" spans="1:11">
      <c r="A23" s="14" t="s">
        <v>66</v>
      </c>
      <c r="B23" s="9" t="str">
        <f>CONCATENATE(A23,[18]res_pais_dest_media_tek!B26)</f>
        <v xml:space="preserve">   Chile </v>
      </c>
      <c r="C23" s="21">
        <f>[18]res_pais_dest_media_tek!C26/1000000</f>
        <v>12.362213000000001</v>
      </c>
      <c r="D23" s="24">
        <f>[18]res_pais_dest_media_tek!D26/1000000</f>
        <v>12.104846</v>
      </c>
      <c r="E23" s="21">
        <f t="shared" si="0"/>
        <v>-2.0818845298976818</v>
      </c>
      <c r="F23" s="21">
        <f t="shared" si="1"/>
        <v>2.7983526013348601</v>
      </c>
      <c r="G23" s="21">
        <f>[18]res_pais_dest_media_tek!E26/1000000</f>
        <v>1.8438950000000001</v>
      </c>
      <c r="H23" s="24">
        <f>[18]res_pais_dest_media_tek!F26/1000000</f>
        <v>1.4851780000000001</v>
      </c>
      <c r="I23" s="21">
        <f t="shared" si="3"/>
        <v>-19.454307322271603</v>
      </c>
      <c r="J23" s="21">
        <f t="shared" si="5"/>
        <v>3.0154803046535394</v>
      </c>
      <c r="K23" s="16"/>
    </row>
    <row r="24" spans="1:11">
      <c r="A24" s="14" t="s">
        <v>66</v>
      </c>
      <c r="B24" s="9" t="str">
        <f>CONCATENATE(A24,[18]res_pais_dest_media_tek!B27)</f>
        <v xml:space="preserve">   México </v>
      </c>
      <c r="C24" s="21">
        <f>[18]res_pais_dest_media_tek!C27/1000000</f>
        <v>28.973299000000001</v>
      </c>
      <c r="D24" s="24">
        <f>[18]res_pais_dest_media_tek!D27/1000000</f>
        <v>34.197647000000003</v>
      </c>
      <c r="E24" s="21">
        <f t="shared" si="0"/>
        <v>18.031595228420482</v>
      </c>
      <c r="F24" s="21">
        <f t="shared" si="1"/>
        <v>7.9056829340894783</v>
      </c>
      <c r="G24" s="21">
        <f>[18]res_pais_dest_media_tek!E27/1000000</f>
        <v>3.370968</v>
      </c>
      <c r="H24" s="24">
        <f>[18]res_pais_dest_media_tek!F27/1000000</f>
        <v>4.2072630000000002</v>
      </c>
      <c r="I24" s="21">
        <f t="shared" si="3"/>
        <v>24.808749296937862</v>
      </c>
      <c r="J24" s="21">
        <f t="shared" si="5"/>
        <v>8.5423556725170737</v>
      </c>
      <c r="K24" s="16"/>
    </row>
    <row r="25" spans="1:11">
      <c r="A25" s="14" t="s">
        <v>66</v>
      </c>
      <c r="B25" s="9" t="str">
        <f>CONCATENATE(A25,[18]res_pais_dest_media_tek!B28)</f>
        <v xml:space="preserve">   Paraguay </v>
      </c>
      <c r="C25" s="21">
        <f>[18]res_pais_dest_media_tek!C28/1000000</f>
        <v>0.83081199999999999</v>
      </c>
      <c r="D25" s="24">
        <f>[18]res_pais_dest_media_tek!D28/1000000</f>
        <v>0.95466499999999999</v>
      </c>
      <c r="E25" s="21">
        <f t="shared" si="0"/>
        <v>14.907464023148442</v>
      </c>
      <c r="F25" s="21">
        <f t="shared" si="1"/>
        <v>0.22069585074881115</v>
      </c>
      <c r="G25" s="21">
        <f>[18]res_pais_dest_media_tek!E28/1000000</f>
        <v>0.194053</v>
      </c>
      <c r="H25" s="24">
        <f>[18]res_pais_dest_media_tek!F28/1000000</f>
        <v>0.27000299999999999</v>
      </c>
      <c r="I25" s="21">
        <f t="shared" si="3"/>
        <v>39.138791979510756</v>
      </c>
      <c r="J25" s="21">
        <f t="shared" si="5"/>
        <v>0.54820952686975544</v>
      </c>
      <c r="K25" s="16"/>
    </row>
    <row r="26" spans="1:11">
      <c r="A26" s="14" t="s">
        <v>66</v>
      </c>
      <c r="B26" s="9" t="str">
        <f>CONCATENATE(A26,[18]res_pais_dest_media_tek!B29)</f>
        <v xml:space="preserve">   Uruguay </v>
      </c>
      <c r="C26" s="21">
        <f>[18]res_pais_dest_media_tek!C29/1000000</f>
        <v>0.48478199999999999</v>
      </c>
      <c r="D26" s="24">
        <f>[18]res_pais_dest_media_tek!D29/1000000</f>
        <v>0.67342900000000006</v>
      </c>
      <c r="E26" s="21">
        <f t="shared" si="0"/>
        <v>38.913779802055373</v>
      </c>
      <c r="F26" s="21">
        <f t="shared" si="1"/>
        <v>0.15568077396146415</v>
      </c>
      <c r="G26" s="21">
        <f>[18]res_pais_dest_media_tek!E29/1000000</f>
        <v>5.6778000000000002E-2</v>
      </c>
      <c r="H26" s="24">
        <f>[18]res_pais_dest_media_tek!F29/1000000</f>
        <v>0.12782299999999999</v>
      </c>
      <c r="I26" s="21">
        <f t="shared" si="3"/>
        <v>125.12769030258197</v>
      </c>
      <c r="J26" s="21">
        <f t="shared" si="5"/>
        <v>0.25952965838554659</v>
      </c>
      <c r="K26" s="16"/>
    </row>
    <row r="27" spans="1:11">
      <c r="A27" s="14" t="s">
        <v>66</v>
      </c>
      <c r="B27" s="9" t="str">
        <f>CONCATENATE(A27,[18]res_pais_dest_media_tek!B30)</f>
        <v xml:space="preserve">   Venezuela</v>
      </c>
      <c r="C27" s="21">
        <f>[18]res_pais_dest_media_tek!C30/1000000</f>
        <v>80.759803000000005</v>
      </c>
      <c r="D27" s="24">
        <f>[18]res_pais_dest_media_tek!D30/1000000</f>
        <v>48.624803</v>
      </c>
      <c r="E27" s="21">
        <f t="shared" si="0"/>
        <v>-39.790835051937911</v>
      </c>
      <c r="F27" s="21">
        <f>(D27/D$13)*100</f>
        <v>11.240898394283175</v>
      </c>
      <c r="G27" s="21">
        <f>[18]res_pais_dest_media_tek!E30/1000000</f>
        <v>12.144603</v>
      </c>
      <c r="H27" s="24">
        <f>[18]res_pais_dest_media_tek!F30/1000000</f>
        <v>7.0705419999999997</v>
      </c>
      <c r="I27" s="21">
        <f t="shared" si="3"/>
        <v>-41.780377670641023</v>
      </c>
      <c r="J27" s="21">
        <f t="shared" si="5"/>
        <v>14.355908951132889</v>
      </c>
      <c r="K27" s="16"/>
    </row>
    <row r="28" spans="1:11">
      <c r="A28" s="14" t="s">
        <v>66</v>
      </c>
      <c r="B28" s="9" t="str">
        <f>[18]res_pais_dest_media_tek!B44</f>
        <v xml:space="preserve">Canadá </v>
      </c>
      <c r="C28" s="21">
        <f>[18]res_pais_dest_media_tek!C44/1000000</f>
        <v>2.3168329999999999</v>
      </c>
      <c r="D28" s="24">
        <f>[18]res_pais_dest_media_tek!D44/1000000</f>
        <v>2.1684610000000002</v>
      </c>
      <c r="E28" s="21">
        <f t="shared" si="0"/>
        <v>-6.4040869583608213</v>
      </c>
      <c r="F28" s="21">
        <f>(D28/D$13)*100</f>
        <v>0.50129662783344719</v>
      </c>
      <c r="G28" s="21">
        <f>[18]res_pais_dest_media_tek!E44/1000000</f>
        <v>0.16489699999999999</v>
      </c>
      <c r="H28" s="24">
        <f>[18]res_pais_dest_media_tek!F44/1000000</f>
        <v>0.15912999999999999</v>
      </c>
      <c r="I28" s="21">
        <f t="shared" si="3"/>
        <v>-3.4973346998429244</v>
      </c>
      <c r="J28" s="21">
        <f t="shared" si="5"/>
        <v>0.32309486194888265</v>
      </c>
      <c r="K28" s="16"/>
    </row>
    <row r="29" spans="1:11">
      <c r="A29" s="14" t="s">
        <v>66</v>
      </c>
      <c r="B29" s="9" t="str">
        <f>[18]res_pais_dest_media_tek!B45</f>
        <v>Estados Unidos</v>
      </c>
      <c r="C29" s="21">
        <f>[18]res_pais_dest_media_tek!C45/1000000</f>
        <v>40.363523000000001</v>
      </c>
      <c r="D29" s="24">
        <f>[18]res_pais_dest_media_tek!D45/1000000</f>
        <v>47.982751</v>
      </c>
      <c r="E29" s="21">
        <f t="shared" si="0"/>
        <v>18.876518781574148</v>
      </c>
      <c r="F29" s="21">
        <f t="shared" si="1"/>
        <v>11.09247123673055</v>
      </c>
      <c r="G29" s="21">
        <f>[18]res_pais_dest_media_tek!E45/1000000</f>
        <v>8.2186719999999998</v>
      </c>
      <c r="H29" s="24">
        <f>[18]res_pais_dest_media_tek!F45/1000000</f>
        <v>5.3685640000000001</v>
      </c>
      <c r="I29" s="21">
        <f t="shared" si="3"/>
        <v>-34.678449267716239</v>
      </c>
      <c r="J29" s="21">
        <f t="shared" si="5"/>
        <v>10.900241591426767</v>
      </c>
      <c r="K29" s="16"/>
    </row>
    <row r="30" spans="1:11">
      <c r="A30" s="14" t="s">
        <v>66</v>
      </c>
      <c r="B30" s="9" t="str">
        <f>[18]res_pais_dest_media_tek!B46</f>
        <v xml:space="preserve">Puerto Rico </v>
      </c>
      <c r="C30" s="21">
        <f>[18]res_pais_dest_media_tek!C46/1000000</f>
        <v>1.0968500000000001</v>
      </c>
      <c r="D30" s="24">
        <f>[18]res_pais_dest_media_tek!D46/1000000</f>
        <v>0.39230799999999999</v>
      </c>
      <c r="E30" s="21">
        <f t="shared" si="0"/>
        <v>-64.233213292610671</v>
      </c>
      <c r="F30" s="21">
        <f t="shared" si="1"/>
        <v>9.0692282439981162E-2</v>
      </c>
      <c r="G30" s="21">
        <f>[18]res_pais_dest_media_tek!E46/1000000</f>
        <v>3.5166999999999997E-2</v>
      </c>
      <c r="H30" s="24">
        <f>[18]res_pais_dest_media_tek!F46/1000000</f>
        <v>1.4200000000000001E-2</v>
      </c>
      <c r="I30" s="21">
        <f t="shared" si="3"/>
        <v>-59.621235817669969</v>
      </c>
      <c r="J30" s="21">
        <f t="shared" si="5"/>
        <v>2.8831439952706178E-2</v>
      </c>
      <c r="K30" s="16"/>
    </row>
    <row r="31" spans="1:11">
      <c r="A31" s="14"/>
      <c r="B31" s="10" t="s">
        <v>48</v>
      </c>
      <c r="C31" s="21">
        <f>SUM(C32:C42)</f>
        <v>60.788871000000007</v>
      </c>
      <c r="D31" s="24">
        <f>SUM(D32:D42)</f>
        <v>12.369571999999998</v>
      </c>
      <c r="E31" s="21">
        <f t="shared" si="0"/>
        <v>-79.651584580342032</v>
      </c>
      <c r="F31" s="21">
        <f t="shared" si="1"/>
        <v>2.8595509586490273</v>
      </c>
      <c r="G31" s="21">
        <f>SUM(G32:G42)</f>
        <v>5.7585679999999995</v>
      </c>
      <c r="H31" s="24">
        <f>SUM(H32:H42)</f>
        <v>1.0866309999999999</v>
      </c>
      <c r="I31" s="21">
        <f t="shared" si="3"/>
        <v>-81.130187227102297</v>
      </c>
      <c r="J31" s="21">
        <f t="shared" si="5"/>
        <v>2.2062772131865538</v>
      </c>
      <c r="K31" s="16"/>
    </row>
    <row r="32" spans="1:11">
      <c r="A32" s="14" t="s">
        <v>66</v>
      </c>
      <c r="B32" s="9" t="str">
        <f>CONCATENATE(A32,[18]res_pais_dest_media_tek!B60)</f>
        <v xml:space="preserve">   Alemania </v>
      </c>
      <c r="C32" s="21">
        <f>[18]res_pais_dest_media_tek!C60/1000000</f>
        <v>3.7306530000000002</v>
      </c>
      <c r="D32" s="24">
        <f>[18]res_pais_dest_media_tek!D60/1000000</f>
        <v>4.5562129999999996</v>
      </c>
      <c r="E32" s="21">
        <f t="shared" si="0"/>
        <v>22.129101795315709</v>
      </c>
      <c r="F32" s="21">
        <f t="shared" si="1"/>
        <v>1.0532881212025089</v>
      </c>
      <c r="G32" s="21">
        <f>[18]res_pais_dest_media_tek!E60/1000000</f>
        <v>0.45935399999999998</v>
      </c>
      <c r="H32" s="24">
        <f>[18]res_pais_dest_media_tek!F60/1000000</f>
        <v>0.18392900000000001</v>
      </c>
      <c r="I32" s="21">
        <f t="shared" si="3"/>
        <v>-59.959203577197542</v>
      </c>
      <c r="J32" s="21">
        <f t="shared" si="5"/>
        <v>0.37344633232826019</v>
      </c>
      <c r="K32" s="16"/>
    </row>
    <row r="33" spans="1:11">
      <c r="A33" s="14" t="s">
        <v>66</v>
      </c>
      <c r="B33" s="9" t="str">
        <f>CONCATENATE(A33,[18]res_pais_dest_media_tek!B61)</f>
        <v xml:space="preserve">   Austria </v>
      </c>
      <c r="C33" s="21">
        <f>[18]res_pais_dest_media_tek!C61/1000000</f>
        <v>0.140763</v>
      </c>
      <c r="D33" s="24">
        <f>[18]res_pais_dest_media_tek!D61/1000000</f>
        <v>0.22162999999999999</v>
      </c>
      <c r="E33" s="21">
        <f t="shared" si="0"/>
        <v>57.449045558847132</v>
      </c>
      <c r="F33" s="21">
        <f t="shared" si="1"/>
        <v>5.1235586725667144E-2</v>
      </c>
      <c r="G33" s="21">
        <f>[18]res_pais_dest_media_tek!E61/1000000</f>
        <v>3.1244000000000001E-2</v>
      </c>
      <c r="H33" s="24">
        <f>[18]res_pais_dest_media_tek!F61/1000000</f>
        <v>5.0210000000000003E-3</v>
      </c>
      <c r="I33" s="21">
        <f t="shared" si="3"/>
        <v>-83.92971450518499</v>
      </c>
      <c r="J33" s="21">
        <f t="shared" si="5"/>
        <v>1.0194553521305475E-2</v>
      </c>
      <c r="K33" s="16"/>
    </row>
    <row r="34" spans="1:11">
      <c r="A34" s="14" t="s">
        <v>66</v>
      </c>
      <c r="B34" s="9" t="str">
        <f>CONCATENATE(A34,[18]res_pais_dest_media_tek!B62)</f>
        <v xml:space="preserve">   Bélgica </v>
      </c>
      <c r="C34" s="21">
        <f>[18]res_pais_dest_media_tek!C62/1000000</f>
        <v>0.31450600000000001</v>
      </c>
      <c r="D34" s="24">
        <f>[18]res_pais_dest_media_tek!D62/1000000</f>
        <v>0.40149899999999999</v>
      </c>
      <c r="E34" s="21">
        <f t="shared" si="0"/>
        <v>27.660203620916612</v>
      </c>
      <c r="F34" s="21">
        <f t="shared" si="1"/>
        <v>9.2817023123081849E-2</v>
      </c>
      <c r="G34" s="21">
        <f>[18]res_pais_dest_media_tek!E62/1000000</f>
        <v>3.3028000000000002E-2</v>
      </c>
      <c r="H34" s="24">
        <f>[18]res_pais_dest_media_tek!F62/1000000</f>
        <v>8.0601999999999993E-2</v>
      </c>
      <c r="I34" s="21">
        <f t="shared" si="3"/>
        <v>144.04141940171971</v>
      </c>
      <c r="J34" s="21">
        <f t="shared" si="5"/>
        <v>0.16365293824422697</v>
      </c>
      <c r="K34" s="16"/>
    </row>
    <row r="35" spans="1:11">
      <c r="A35" s="14" t="s">
        <v>66</v>
      </c>
      <c r="B35" s="9" t="str">
        <f>CONCATENATE(A35,[18]res_pais_dest_media_tek!B63)</f>
        <v xml:space="preserve">   España </v>
      </c>
      <c r="C35" s="21">
        <f>[18]res_pais_dest_media_tek!C63/1000000</f>
        <v>5.0694229999999996</v>
      </c>
      <c r="D35" s="24">
        <f>[18]res_pais_dest_media_tek!D63/1000000</f>
        <v>4.4701639999999996</v>
      </c>
      <c r="E35" s="21">
        <f t="shared" si="0"/>
        <v>-11.821049456713318</v>
      </c>
      <c r="F35" s="21">
        <f t="shared" si="1"/>
        <v>1.0333956382256695</v>
      </c>
      <c r="G35" s="21">
        <f>[18]res_pais_dest_media_tek!E63/1000000</f>
        <v>0.84668100000000002</v>
      </c>
      <c r="H35" s="24">
        <f>[18]res_pais_dest_media_tek!F63/1000000</f>
        <v>0.37573899999999999</v>
      </c>
      <c r="I35" s="21">
        <f t="shared" si="3"/>
        <v>-55.622129231670492</v>
      </c>
      <c r="J35" s="21">
        <f t="shared" si="5"/>
        <v>0.76289411383027228</v>
      </c>
      <c r="K35" s="16"/>
    </row>
    <row r="36" spans="1:11">
      <c r="A36" s="14" t="s">
        <v>66</v>
      </c>
      <c r="B36" s="9" t="str">
        <f>CONCATENATE(A36,[18]res_pais_dest_media_tek!B64)</f>
        <v xml:space="preserve">   Francia </v>
      </c>
      <c r="C36" s="21">
        <f>[18]res_pais_dest_media_tek!C64/1000000</f>
        <v>1.2667310000000001</v>
      </c>
      <c r="D36" s="24">
        <f>[18]res_pais_dest_media_tek!D64/1000000</f>
        <v>0.84704999999999997</v>
      </c>
      <c r="E36" s="21">
        <f t="shared" si="0"/>
        <v>-33.131027818850256</v>
      </c>
      <c r="F36" s="21">
        <f t="shared" si="1"/>
        <v>0.19581782130567321</v>
      </c>
      <c r="G36" s="21">
        <f>[18]res_pais_dest_media_tek!E64/1000000</f>
        <v>0.220913</v>
      </c>
      <c r="H36" s="24">
        <f>[18]res_pais_dest_media_tek!F64/1000000</f>
        <v>0.20768700000000001</v>
      </c>
      <c r="I36" s="21">
        <f t="shared" si="3"/>
        <v>-5.9869722469931492</v>
      </c>
      <c r="J36" s="21">
        <f t="shared" si="5"/>
        <v>0.42168417390547103</v>
      </c>
      <c r="K36" s="16"/>
    </row>
    <row r="37" spans="1:11">
      <c r="A37" s="14" t="s">
        <v>66</v>
      </c>
      <c r="B37" s="9" t="str">
        <f>CONCATENATE(A37,[18]res_pais_dest_media_tek!B65)</f>
        <v xml:space="preserve">   Italia </v>
      </c>
      <c r="C37" s="21">
        <f>[18]res_pais_dest_media_tek!C65/1000000</f>
        <v>48.162885000000003</v>
      </c>
      <c r="D37" s="24">
        <f>[18]res_pais_dest_media_tek!D65/1000000</f>
        <v>0.62533300000000003</v>
      </c>
      <c r="E37" s="21">
        <f t="shared" si="0"/>
        <v>-98.701628857988894</v>
      </c>
      <c r="F37" s="21">
        <f t="shared" si="1"/>
        <v>0.14456212224843937</v>
      </c>
      <c r="G37" s="21">
        <f>[18]res_pais_dest_media_tek!E65/1000000</f>
        <v>3.2635369999999999</v>
      </c>
      <c r="H37" s="24">
        <f>[18]res_pais_dest_media_tek!F65/1000000</f>
        <v>0.12092</v>
      </c>
      <c r="I37" s="21">
        <f t="shared" si="3"/>
        <v>-96.294817555308853</v>
      </c>
      <c r="J37" s="21">
        <f t="shared" si="5"/>
        <v>0.24551392387895996</v>
      </c>
      <c r="K37" s="16"/>
    </row>
    <row r="38" spans="1:11">
      <c r="A38" s="14" t="s">
        <v>66</v>
      </c>
      <c r="B38" s="7" t="str">
        <f>CONCATENATE(A38,[18]res_pais_dest_media_tek!B66)</f>
        <v xml:space="preserve">   Países Bajos </v>
      </c>
      <c r="C38" s="21">
        <f>[18]res_pais_dest_media_tek!C66/1000000</f>
        <v>0.226545</v>
      </c>
      <c r="D38" s="24">
        <f>[18]res_pais_dest_media_tek!D66/1000000</f>
        <v>0.21112500000000001</v>
      </c>
      <c r="E38" s="21">
        <f t="shared" si="0"/>
        <v>-6.8065947162815332</v>
      </c>
      <c r="F38" s="21">
        <f t="shared" si="1"/>
        <v>4.8807080483041443E-2</v>
      </c>
      <c r="G38" s="21">
        <f>[18]res_pais_dest_media_tek!E66/1000000</f>
        <v>4.0767999999999999E-2</v>
      </c>
      <c r="H38" s="24">
        <f>[18]res_pais_dest_media_tek!F66/1000000</f>
        <v>6.4689999999999999E-3</v>
      </c>
      <c r="I38" s="21">
        <f t="shared" si="3"/>
        <v>-84.132162480376763</v>
      </c>
      <c r="J38" s="21">
        <f t="shared" si="5"/>
        <v>1.3134548243243397E-2</v>
      </c>
      <c r="K38" s="16"/>
    </row>
    <row r="39" spans="1:11">
      <c r="A39" s="14" t="s">
        <v>66</v>
      </c>
      <c r="B39" s="7" t="str">
        <f>CONCATENATE(A39,[18]res_pais_dest_media_tek!B67)</f>
        <v xml:space="preserve">   Polonia </v>
      </c>
      <c r="C39" s="21">
        <f>[18]res_pais_dest_media_tek!C67/1000000</f>
        <v>0.35408000000000001</v>
      </c>
      <c r="D39" s="24">
        <f>[18]res_pais_dest_media_tek!D67/1000000</f>
        <v>0.20480899999999999</v>
      </c>
      <c r="E39" s="21">
        <f t="shared" si="0"/>
        <v>-42.157422051513784</v>
      </c>
      <c r="F39" s="21">
        <f t="shared" si="1"/>
        <v>4.7346971446542263E-2</v>
      </c>
      <c r="G39" s="21">
        <f>[18]res_pais_dest_media_tek!E67/1000000</f>
        <v>0</v>
      </c>
      <c r="H39" s="24">
        <f>[18]res_pais_dest_media_tek!F67/1000000</f>
        <v>0.10119400000000001</v>
      </c>
      <c r="I39" s="21" t="str">
        <f t="shared" si="3"/>
        <v/>
      </c>
      <c r="J39" s="21">
        <f t="shared" si="5"/>
        <v>0.2054625869418415</v>
      </c>
      <c r="K39" s="16"/>
    </row>
    <row r="40" spans="1:11">
      <c r="A40" s="14" t="s">
        <v>66</v>
      </c>
      <c r="B40" s="7" t="str">
        <f>CONCATENATE(A40,[18]res_pais_dest_media_tek!B68)</f>
        <v xml:space="preserve">   Reino Unido </v>
      </c>
      <c r="C40" s="21">
        <f>[18]res_pais_dest_media_tek!C68/1000000</f>
        <v>0.39835900000000002</v>
      </c>
      <c r="D40" s="24">
        <f>[18]res_pais_dest_media_tek!D68/1000000</f>
        <v>0.170095</v>
      </c>
      <c r="E40" s="21">
        <f t="shared" si="0"/>
        <v>-57.301077671145876</v>
      </c>
      <c r="F40" s="21">
        <f t="shared" si="1"/>
        <v>3.9321919975194478E-2</v>
      </c>
      <c r="G40" s="21">
        <f>[18]res_pais_dest_media_tek!E68/1000000</f>
        <v>7.8589999999999993E-2</v>
      </c>
      <c r="H40" s="24">
        <f>[18]res_pais_dest_media_tek!F68/1000000</f>
        <v>5.4799999999999998E-4</v>
      </c>
      <c r="I40" s="21">
        <f t="shared" si="3"/>
        <v>-99.302710268482002</v>
      </c>
      <c r="J40" s="21">
        <f t="shared" si="5"/>
        <v>1.1126499362030271E-3</v>
      </c>
      <c r="K40" s="16"/>
    </row>
    <row r="41" spans="1:11">
      <c r="A41" s="14" t="s">
        <v>66</v>
      </c>
      <c r="B41" s="9" t="str">
        <f>CONCATENATE(A41,[18]res_pais_dest_media_tek!B69)</f>
        <v xml:space="preserve">   Suecia </v>
      </c>
      <c r="C41" s="21">
        <f>[18]res_pais_dest_media_tek!C69/1000000</f>
        <v>0.43395400000000001</v>
      </c>
      <c r="D41" s="24">
        <f>[18]res_pais_dest_media_tek!D69/1000000</f>
        <v>0.45636900000000002</v>
      </c>
      <c r="E41" s="21">
        <f t="shared" si="0"/>
        <v>5.1652940173382511</v>
      </c>
      <c r="F41" s="21">
        <f t="shared" si="1"/>
        <v>0.10550166258361227</v>
      </c>
      <c r="G41" s="21">
        <f>[18]res_pais_dest_media_tek!E69/1000000</f>
        <v>0.32137900000000003</v>
      </c>
      <c r="H41" s="24">
        <f>[18]res_pais_dest_media_tek!F69/1000000</f>
        <v>4.0000000000000001E-3</v>
      </c>
      <c r="I41" s="21">
        <f t="shared" si="3"/>
        <v>-98.755363604964856</v>
      </c>
      <c r="J41" s="21">
        <f t="shared" si="5"/>
        <v>8.121532381043994E-3</v>
      </c>
      <c r="K41" s="16"/>
    </row>
    <row r="42" spans="1:11">
      <c r="A42" s="14" t="s">
        <v>66</v>
      </c>
      <c r="B42" s="9" t="str">
        <f>CONCATENATE(A42,[18]res_pais_dest_media_tek!B70)</f>
        <v xml:space="preserve">   Resto </v>
      </c>
      <c r="C42" s="21">
        <f>[18]res_pais_dest_media_tek!C70/1000000</f>
        <v>0.69097200000000003</v>
      </c>
      <c r="D42" s="24">
        <f>[18]res_pais_dest_media_tek!D70/1000000</f>
        <v>0.205285</v>
      </c>
      <c r="E42" s="21">
        <f t="shared" si="0"/>
        <v>-70.290402505456086</v>
      </c>
      <c r="F42" s="21">
        <f t="shared" si="1"/>
        <v>4.7457011329596982E-2</v>
      </c>
      <c r="G42" s="21">
        <f>[18]res_pais_dest_media_tek!E70/1000000</f>
        <v>0.46307399999999999</v>
      </c>
      <c r="H42" s="24">
        <f>[18]res_pais_dest_media_tek!F70/1000000</f>
        <v>5.22E-4</v>
      </c>
      <c r="I42" s="21">
        <f t="shared" si="3"/>
        <v>-99.887275035955383</v>
      </c>
      <c r="J42" s="21">
        <f t="shared" si="5"/>
        <v>1.0598599757262414E-3</v>
      </c>
      <c r="K42" s="16"/>
    </row>
    <row r="43" spans="1:11">
      <c r="A43" s="14"/>
      <c r="B43" s="9" t="str">
        <f>[18]res_pais_dest_media_tek!B84</f>
        <v>Suiza</v>
      </c>
      <c r="C43" s="21">
        <f>[18]res_pais_dest_media_tek!C84/1000000</f>
        <v>5.4398000000000002E-2</v>
      </c>
      <c r="D43" s="24">
        <f>[18]res_pais_dest_media_tek!D84/1000000</f>
        <v>0.24198500000000001</v>
      </c>
      <c r="E43" s="21">
        <f t="shared" si="0"/>
        <v>344.84172212213684</v>
      </c>
      <c r="F43" s="21">
        <f t="shared" si="1"/>
        <v>5.5941178783605841E-2</v>
      </c>
      <c r="G43" s="21">
        <f>[18]res_pais_dest_media_tek!E84/1000000</f>
        <v>1.788E-2</v>
      </c>
      <c r="H43" s="24">
        <f>[18]res_pais_dest_media_tek!F84/1000000</f>
        <v>8.94E-3</v>
      </c>
      <c r="I43" s="21">
        <f t="shared" si="3"/>
        <v>-50</v>
      </c>
      <c r="J43" s="21">
        <f t="shared" si="5"/>
        <v>1.8151624871633326E-2</v>
      </c>
      <c r="K43" s="16"/>
    </row>
    <row r="44" spans="1:11">
      <c r="A44" s="14"/>
      <c r="B44" s="9" t="s">
        <v>2</v>
      </c>
      <c r="C44" s="21">
        <f>+C13-C14-C31-C43-C28-C29-C30</f>
        <v>77.723700799997729</v>
      </c>
      <c r="D44" s="24">
        <f>+D13-D14-D31-D43-D28-D29-D30</f>
        <v>63.92080626999838</v>
      </c>
      <c r="E44" s="21">
        <f t="shared" si="0"/>
        <v>-17.758926026332176</v>
      </c>
      <c r="F44" s="21">
        <f t="shared" si="1"/>
        <v>14.776970686374003</v>
      </c>
      <c r="G44" s="21">
        <f>+G13-G14-G31-G43-G28-G29-G30</f>
        <v>8.1703253800000972</v>
      </c>
      <c r="H44" s="24">
        <f>+H13-H14-H31-H43-H28-H29-H30</f>
        <v>7.5363451000000463</v>
      </c>
      <c r="I44" s="21">
        <f t="shared" si="3"/>
        <v>-7.7595475151081894</v>
      </c>
      <c r="J44" s="21">
        <f t="shared" si="5"/>
        <v>15.301667691093154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f>+'Resumen exportaciones totales'!C29</f>
        <v>219.19295612000016</v>
      </c>
      <c r="D13" s="24">
        <f>+'Resumen exportaciones totales'!D29</f>
        <v>271.07486498000145</v>
      </c>
      <c r="E13" s="24">
        <f>IF(OR(OR(D13=0,C13=0),D13=""),"",(D13/C13-1)*100)</f>
        <v>23.669514649730729</v>
      </c>
      <c r="F13" s="22">
        <f>(D13/D$13)*100</f>
        <v>100</v>
      </c>
      <c r="G13" s="24">
        <f>+'Resumen exportaciones totales'!G29</f>
        <v>29.476665810000004</v>
      </c>
      <c r="H13" s="24">
        <f>+'Resumen exportaciones totales'!H29</f>
        <v>32.101884779999978</v>
      </c>
      <c r="I13" s="24">
        <f>IF(OR(OR(H13=0,G13=0),H13=""),"",(H13/G13-1)*100)</f>
        <v>8.9060919810997277</v>
      </c>
      <c r="J13" s="22">
        <f>(H13/H$13)*100</f>
        <v>100</v>
      </c>
      <c r="K13" s="16"/>
    </row>
    <row r="14" spans="1:14">
      <c r="A14" s="14"/>
      <c r="B14" s="10" t="s">
        <v>47</v>
      </c>
      <c r="C14" s="21">
        <f>+C15+C19</f>
        <v>117.22233199999999</v>
      </c>
      <c r="D14" s="24">
        <f>+D15+D19</f>
        <v>120.26495199999999</v>
      </c>
      <c r="E14" s="21">
        <f t="shared" ref="E14:E43" si="0">IF(OR(OR(D14=0,C14=0),D14=""),"",(D14/C14-1)*100)</f>
        <v>2.5955975692413258</v>
      </c>
      <c r="F14" s="21">
        <f t="shared" ref="F14:F43" si="1">(D14/D$13)*100</f>
        <v>44.365954773738444</v>
      </c>
      <c r="G14" s="21">
        <f>+G15+G19</f>
        <v>18.871762999999998</v>
      </c>
      <c r="H14" s="24">
        <f t="shared" ref="H14" si="2">+H15+H19</f>
        <v>14.664096000000001</v>
      </c>
      <c r="I14" s="21">
        <f t="shared" ref="I14:I43" si="3">IF(OR(OR(H14=0,G14=0),H14=""),"",(H14/G14-1)*100)</f>
        <v>-22.296099203874054</v>
      </c>
      <c r="J14" s="21">
        <f>(H14/H$13)*100</f>
        <v>45.679859922542562</v>
      </c>
      <c r="K14" s="16"/>
    </row>
    <row r="15" spans="1:14">
      <c r="A15" s="14"/>
      <c r="B15" s="10" t="s">
        <v>57</v>
      </c>
      <c r="C15" s="21">
        <f>+SUM(C16:C18)</f>
        <v>53.597245999999998</v>
      </c>
      <c r="D15" s="24">
        <f>+SUM(D16:D18)</f>
        <v>57.973955000000004</v>
      </c>
      <c r="E15" s="21">
        <f t="shared" si="0"/>
        <v>8.1659214355901852</v>
      </c>
      <c r="F15" s="21">
        <f>(D15/D$13)*100</f>
        <v>21.3866951494293</v>
      </c>
      <c r="G15" s="21">
        <f t="shared" ref="G15:H15" si="4">+SUM(G16:G18)</f>
        <v>6.7809169999999996</v>
      </c>
      <c r="H15" s="24">
        <f t="shared" si="4"/>
        <v>6.3084210000000001</v>
      </c>
      <c r="I15" s="21">
        <f t="shared" si="3"/>
        <v>-6.9680251210861304</v>
      </c>
      <c r="J15" s="21">
        <f t="shared" ref="J15:J43" si="5">(H15/H$13)*100</f>
        <v>19.651248028683518</v>
      </c>
      <c r="K15" s="16"/>
    </row>
    <row r="16" spans="1:14">
      <c r="A16" s="14" t="s">
        <v>66</v>
      </c>
      <c r="B16" s="9" t="str">
        <f>CONCATENATE(A16,[19]res_pais_dest_alta_tek!B7)</f>
        <v xml:space="preserve">   Bolivia</v>
      </c>
      <c r="C16" s="21">
        <f>[19]res_pais_dest_alta_tek!C7/1000000</f>
        <v>2.4086599999999998</v>
      </c>
      <c r="D16" s="24">
        <f>[19]res_pais_dest_alta_tek!D7/1000000</f>
        <v>5.2102250000000003</v>
      </c>
      <c r="E16" s="21">
        <f t="shared" si="0"/>
        <v>116.31218187706031</v>
      </c>
      <c r="F16" s="21">
        <f t="shared" si="1"/>
        <v>1.9220612727721489</v>
      </c>
      <c r="G16" s="21">
        <f>[19]res_pais_dest_alta_tek!E7/1000000</f>
        <v>0.36896899999999999</v>
      </c>
      <c r="H16" s="24">
        <f>[19]res_pais_dest_alta_tek!F7/1000000</f>
        <v>0.44347199999999998</v>
      </c>
      <c r="I16" s="21">
        <f t="shared" si="3"/>
        <v>20.192211269781481</v>
      </c>
      <c r="J16" s="21">
        <f t="shared" si="5"/>
        <v>1.3814515971233272</v>
      </c>
      <c r="K16" s="16"/>
    </row>
    <row r="17" spans="1:11">
      <c r="A17" s="14" t="s">
        <v>66</v>
      </c>
      <c r="B17" s="9" t="str">
        <f>CONCATENATE(A17,[19]res_pais_dest_alta_tek!B8)</f>
        <v xml:space="preserve">   Ecuador</v>
      </c>
      <c r="C17" s="21">
        <f>[19]res_pais_dest_alta_tek!C8/1000000</f>
        <v>37.974556</v>
      </c>
      <c r="D17" s="24">
        <f>[19]res_pais_dest_alta_tek!D8/1000000</f>
        <v>36.123899000000002</v>
      </c>
      <c r="E17" s="21">
        <f t="shared" si="0"/>
        <v>-4.8734131348369125</v>
      </c>
      <c r="F17" s="21">
        <f t="shared" si="1"/>
        <v>13.326170614403901</v>
      </c>
      <c r="G17" s="21">
        <f>[19]res_pais_dest_alta_tek!E8/1000000</f>
        <v>4.6950349999999998</v>
      </c>
      <c r="H17" s="24">
        <f>[19]res_pais_dest_alta_tek!F8/1000000</f>
        <v>3.8887450000000001</v>
      </c>
      <c r="I17" s="21">
        <f t="shared" si="3"/>
        <v>-17.173247909759979</v>
      </c>
      <c r="J17" s="21">
        <f t="shared" si="5"/>
        <v>12.113759134861622</v>
      </c>
      <c r="K17" s="16"/>
    </row>
    <row r="18" spans="1:11">
      <c r="A18" s="14" t="s">
        <v>66</v>
      </c>
      <c r="B18" s="9" t="str">
        <f>CONCATENATE(A18,[19]res_pais_dest_alta_tek!B9)</f>
        <v xml:space="preserve">   Perú </v>
      </c>
      <c r="C18" s="21">
        <f>[19]res_pais_dest_alta_tek!C9/1000000</f>
        <v>13.214029999999999</v>
      </c>
      <c r="D18" s="24">
        <f>[19]res_pais_dest_alta_tek!D9/1000000</f>
        <v>16.639831000000001</v>
      </c>
      <c r="E18" s="21">
        <f t="shared" si="0"/>
        <v>25.925482233656204</v>
      </c>
      <c r="F18" s="21">
        <f t="shared" si="1"/>
        <v>6.1384632622532544</v>
      </c>
      <c r="G18" s="21">
        <f>[19]res_pais_dest_alta_tek!E9/1000000</f>
        <v>1.7169129999999999</v>
      </c>
      <c r="H18" s="24">
        <f>[19]res_pais_dest_alta_tek!F9/1000000</f>
        <v>1.9762040000000001</v>
      </c>
      <c r="I18" s="21">
        <f t="shared" si="3"/>
        <v>15.10216301000693</v>
      </c>
      <c r="J18" s="21">
        <f t="shared" si="5"/>
        <v>6.1560372966985692</v>
      </c>
      <c r="K18" s="16"/>
    </row>
    <row r="19" spans="1:11">
      <c r="A19" s="14"/>
      <c r="B19" s="10" t="s">
        <v>58</v>
      </c>
      <c r="C19" s="21">
        <f>SUM(C20:C27)</f>
        <v>63.625085999999996</v>
      </c>
      <c r="D19" s="24">
        <f>SUM(D20:D27)</f>
        <v>62.290996999999997</v>
      </c>
      <c r="E19" s="21">
        <f t="shared" si="0"/>
        <v>-2.096797165822295</v>
      </c>
      <c r="F19" s="21">
        <f t="shared" si="1"/>
        <v>22.979259624309144</v>
      </c>
      <c r="G19" s="21">
        <f>SUM(G20:G27)</f>
        <v>12.090845999999999</v>
      </c>
      <c r="H19" s="24">
        <f>SUM(H20:H27)</f>
        <v>8.3556750000000015</v>
      </c>
      <c r="I19" s="21">
        <f t="shared" si="3"/>
        <v>-30.892552928058116</v>
      </c>
      <c r="J19" s="21">
        <f t="shared" si="5"/>
        <v>26.02861189385905</v>
      </c>
      <c r="K19" s="16"/>
    </row>
    <row r="20" spans="1:11">
      <c r="A20" s="14" t="s">
        <v>66</v>
      </c>
      <c r="B20" s="9" t="str">
        <f>CONCATENATE(A20,[19]res_pais_dest_alta_tek!B23)</f>
        <v xml:space="preserve">   Argentina</v>
      </c>
      <c r="C20" s="21">
        <f>[19]res_pais_dest_alta_tek!C23/1000000</f>
        <v>2.4107530000000001</v>
      </c>
      <c r="D20" s="24">
        <f>[19]res_pais_dest_alta_tek!D23/1000000</f>
        <v>1.2320340000000001</v>
      </c>
      <c r="E20" s="21">
        <f t="shared" si="0"/>
        <v>-48.894225165332159</v>
      </c>
      <c r="F20" s="21">
        <f t="shared" si="1"/>
        <v>0.45449953469160387</v>
      </c>
      <c r="G20" s="21">
        <f>[19]res_pais_dest_alta_tek!E23/1000000</f>
        <v>0.26152399999999998</v>
      </c>
      <c r="H20" s="24">
        <f>[19]res_pais_dest_alta_tek!F23/1000000</f>
        <v>7.3564000000000004E-2</v>
      </c>
      <c r="I20" s="21">
        <f t="shared" si="3"/>
        <v>-71.871032868876284</v>
      </c>
      <c r="J20" s="21">
        <f t="shared" si="5"/>
        <v>0.22915788435522527</v>
      </c>
      <c r="K20" s="16"/>
    </row>
    <row r="21" spans="1:11">
      <c r="A21" s="14" t="s">
        <v>66</v>
      </c>
      <c r="B21" s="9" t="str">
        <f>CONCATENATE(A21,[19]res_pais_dest_alta_tek!B24)</f>
        <v xml:space="preserve">   Brasil </v>
      </c>
      <c r="C21" s="21">
        <f>[19]res_pais_dest_alta_tek!C24/1000000</f>
        <v>3.2374269999999998</v>
      </c>
      <c r="D21" s="24">
        <f>[19]res_pais_dest_alta_tek!D24/1000000</f>
        <v>3.157521</v>
      </c>
      <c r="E21" s="21">
        <f t="shared" si="0"/>
        <v>-2.4681946496399654</v>
      </c>
      <c r="F21" s="21">
        <f t="shared" si="1"/>
        <v>1.1648151149067052</v>
      </c>
      <c r="G21" s="21">
        <f>[19]res_pais_dest_alta_tek!E24/1000000</f>
        <v>0.47194700000000001</v>
      </c>
      <c r="H21" s="24">
        <f>[19]res_pais_dest_alta_tek!F24/1000000</f>
        <v>0.58394999999999997</v>
      </c>
      <c r="I21" s="21">
        <f t="shared" si="3"/>
        <v>23.732113987375691</v>
      </c>
      <c r="J21" s="21">
        <f t="shared" si="5"/>
        <v>1.8190520712472644</v>
      </c>
      <c r="K21" s="16"/>
    </row>
    <row r="22" spans="1:11">
      <c r="A22" s="14" t="s">
        <v>66</v>
      </c>
      <c r="B22" s="9" t="str">
        <f>CONCATENATE(A22,[19]res_pais_dest_alta_tek!B25)</f>
        <v xml:space="preserve">   Cuba </v>
      </c>
      <c r="C22" s="21">
        <f>[19]res_pais_dest_alta_tek!C25/1000000</f>
        <v>0.79760500000000001</v>
      </c>
      <c r="D22" s="24">
        <f>[19]res_pais_dest_alta_tek!D25/1000000</f>
        <v>0.64047799999999999</v>
      </c>
      <c r="E22" s="21">
        <f t="shared" si="0"/>
        <v>-19.699851430219219</v>
      </c>
      <c r="F22" s="21">
        <f t="shared" si="1"/>
        <v>0.23627347376793906</v>
      </c>
      <c r="G22" s="21">
        <f>[19]res_pais_dest_alta_tek!E25/1000000</f>
        <v>0.22909499999999999</v>
      </c>
      <c r="H22" s="24">
        <f>[19]res_pais_dest_alta_tek!F25/1000000</f>
        <v>0</v>
      </c>
      <c r="I22" s="21" t="str">
        <f t="shared" si="3"/>
        <v/>
      </c>
      <c r="J22" s="21">
        <f t="shared" si="5"/>
        <v>0</v>
      </c>
      <c r="K22" s="16"/>
    </row>
    <row r="23" spans="1:11">
      <c r="A23" s="14" t="s">
        <v>66</v>
      </c>
      <c r="B23" s="9" t="str">
        <f>CONCATENATE(A23,[19]res_pais_dest_alta_tek!B26)</f>
        <v xml:space="preserve">   Chile </v>
      </c>
      <c r="C23" s="21">
        <f>[19]res_pais_dest_alta_tek!C26/1000000</f>
        <v>8.5917720000000006</v>
      </c>
      <c r="D23" s="24">
        <f>[19]res_pais_dest_alta_tek!D26/1000000</f>
        <v>9.7215120000000006</v>
      </c>
      <c r="E23" s="21">
        <f t="shared" si="0"/>
        <v>13.149091945177304</v>
      </c>
      <c r="F23" s="21">
        <f t="shared" si="1"/>
        <v>3.5862830737616362</v>
      </c>
      <c r="G23" s="21">
        <f>[19]res_pais_dest_alta_tek!E26/1000000</f>
        <v>0.86664099999999999</v>
      </c>
      <c r="H23" s="24">
        <f>[19]res_pais_dest_alta_tek!F26/1000000</f>
        <v>1.2683329999999999</v>
      </c>
      <c r="I23" s="21">
        <f t="shared" si="3"/>
        <v>46.350449609469194</v>
      </c>
      <c r="J23" s="21">
        <f t="shared" si="5"/>
        <v>3.9509611622249454</v>
      </c>
      <c r="K23" s="16"/>
    </row>
    <row r="24" spans="1:11">
      <c r="A24" s="14" t="s">
        <v>66</v>
      </c>
      <c r="B24" s="9" t="str">
        <f>CONCATENATE(A24,[19]res_pais_dest_alta_tek!B27)</f>
        <v xml:space="preserve">   México </v>
      </c>
      <c r="C24" s="21">
        <f>[19]res_pais_dest_alta_tek!C27/1000000</f>
        <v>14.093871</v>
      </c>
      <c r="D24" s="24">
        <f>[19]res_pais_dest_alta_tek!D27/1000000</f>
        <v>16.834254999999999</v>
      </c>
      <c r="E24" s="21">
        <f t="shared" si="0"/>
        <v>19.443799364986369</v>
      </c>
      <c r="F24" s="21">
        <f t="shared" si="1"/>
        <v>6.2101866217813839</v>
      </c>
      <c r="G24" s="21">
        <f>[19]res_pais_dest_alta_tek!E27/1000000</f>
        <v>2.4190149999999999</v>
      </c>
      <c r="H24" s="24">
        <f>[19]res_pais_dest_alta_tek!F27/1000000</f>
        <v>2.1107339999999999</v>
      </c>
      <c r="I24" s="21">
        <f t="shared" si="3"/>
        <v>-12.744071450569761</v>
      </c>
      <c r="J24" s="21">
        <f t="shared" si="5"/>
        <v>6.5751092637246753</v>
      </c>
      <c r="K24" s="16"/>
    </row>
    <row r="25" spans="1:11">
      <c r="A25" s="14" t="s">
        <v>66</v>
      </c>
      <c r="B25" s="9" t="str">
        <f>CONCATENATE(A25,[19]res_pais_dest_alta_tek!B28)</f>
        <v xml:space="preserve">   Paraguay </v>
      </c>
      <c r="C25" s="21">
        <f>[19]res_pais_dest_alta_tek!C28/1000000</f>
        <v>0.434971</v>
      </c>
      <c r="D25" s="24">
        <f>[19]res_pais_dest_alta_tek!D28/1000000</f>
        <v>0.40095500000000001</v>
      </c>
      <c r="E25" s="21">
        <f t="shared" si="0"/>
        <v>-7.8202914677070412</v>
      </c>
      <c r="F25" s="21">
        <f t="shared" si="1"/>
        <v>0.14791301289759212</v>
      </c>
      <c r="G25" s="21">
        <f>[19]res_pais_dest_alta_tek!E28/1000000</f>
        <v>0.111861</v>
      </c>
      <c r="H25" s="24">
        <f>[19]res_pais_dest_alta_tek!F28/1000000</f>
        <v>2.8864000000000001E-2</v>
      </c>
      <c r="I25" s="21">
        <f t="shared" si="3"/>
        <v>-74.19654750091631</v>
      </c>
      <c r="J25" s="21">
        <f t="shared" si="5"/>
        <v>8.9913723751144869E-2</v>
      </c>
      <c r="K25" s="16"/>
    </row>
    <row r="26" spans="1:11">
      <c r="A26" s="14" t="s">
        <v>66</v>
      </c>
      <c r="B26" s="9" t="str">
        <f>CONCATENATE(A26,[19]res_pais_dest_alta_tek!B29)</f>
        <v xml:space="preserve">   Uruguay </v>
      </c>
      <c r="C26" s="21">
        <f>[19]res_pais_dest_alta_tek!C29/1000000</f>
        <v>0.30831500000000001</v>
      </c>
      <c r="D26" s="24">
        <f>[19]res_pais_dest_alta_tek!D29/1000000</f>
        <v>0.451233</v>
      </c>
      <c r="E26" s="21">
        <f t="shared" si="0"/>
        <v>46.354539999675652</v>
      </c>
      <c r="F26" s="21">
        <f t="shared" si="1"/>
        <v>0.16646065655452405</v>
      </c>
      <c r="G26" s="21">
        <f>[19]res_pais_dest_alta_tek!E29/1000000</f>
        <v>1.4400000000000001E-3</v>
      </c>
      <c r="H26" s="24">
        <f>[19]res_pais_dest_alta_tek!F29/1000000</f>
        <v>7.2150000000000001E-3</v>
      </c>
      <c r="I26" s="21">
        <f t="shared" si="3"/>
        <v>401.04166666666663</v>
      </c>
      <c r="J26" s="21">
        <f t="shared" si="5"/>
        <v>2.2475315855893508E-2</v>
      </c>
      <c r="K26" s="16"/>
    </row>
    <row r="27" spans="1:11">
      <c r="A27" s="14" t="s">
        <v>66</v>
      </c>
      <c r="B27" s="9" t="str">
        <f>CONCATENATE(A27,[19]res_pais_dest_alta_tek!B30)</f>
        <v xml:space="preserve">   Venezuela</v>
      </c>
      <c r="C27" s="21">
        <f>[19]res_pais_dest_alta_tek!C30/1000000</f>
        <v>33.750371999999999</v>
      </c>
      <c r="D27" s="24">
        <f>[19]res_pais_dest_alta_tek!D30/1000000</f>
        <v>29.853009</v>
      </c>
      <c r="E27" s="21">
        <f t="shared" si="0"/>
        <v>-11.547614941844198</v>
      </c>
      <c r="F27" s="21">
        <f>(D27/D$13)*100</f>
        <v>11.012828135947759</v>
      </c>
      <c r="G27" s="21">
        <f>[19]res_pais_dest_alta_tek!E30/1000000</f>
        <v>7.7293229999999999</v>
      </c>
      <c r="H27" s="24">
        <f>[19]res_pais_dest_alta_tek!F30/1000000</f>
        <v>4.2830149999999998</v>
      </c>
      <c r="I27" s="21">
        <f t="shared" si="3"/>
        <v>-44.587449638215404</v>
      </c>
      <c r="J27" s="21">
        <f t="shared" si="5"/>
        <v>13.341942472699895</v>
      </c>
      <c r="K27" s="16"/>
    </row>
    <row r="28" spans="1:11">
      <c r="A28" s="14" t="s">
        <v>66</v>
      </c>
      <c r="B28" s="9" t="str">
        <f>[19]res_pais_dest_alta_tek!B44</f>
        <v xml:space="preserve">Canadá </v>
      </c>
      <c r="C28" s="21">
        <f>[19]res_pais_dest_alta_tek!C44/1000000</f>
        <v>0.50641499999999995</v>
      </c>
      <c r="D28" s="24">
        <f>[19]res_pais_dest_alta_tek!D44/1000000</f>
        <v>0.77107199999999998</v>
      </c>
      <c r="E28" s="21">
        <f t="shared" si="0"/>
        <v>52.260892746067952</v>
      </c>
      <c r="F28" s="21">
        <f>(D28/D$13)*100</f>
        <v>0.28444983272679519</v>
      </c>
      <c r="G28" s="21">
        <f>[19]res_pais_dest_alta_tek!E44/1000000</f>
        <v>0.229071</v>
      </c>
      <c r="H28" s="24">
        <f>[19]res_pais_dest_alta_tek!F44/1000000</f>
        <v>0</v>
      </c>
      <c r="I28" s="21" t="str">
        <f t="shared" si="3"/>
        <v/>
      </c>
      <c r="J28" s="21">
        <f t="shared" si="5"/>
        <v>0</v>
      </c>
      <c r="K28" s="16"/>
    </row>
    <row r="29" spans="1:11">
      <c r="A29" s="14" t="s">
        <v>66</v>
      </c>
      <c r="B29" s="9" t="str">
        <f>[19]res_pais_dest_alta_tek!B45</f>
        <v>Estados Unidos</v>
      </c>
      <c r="C29" s="21">
        <f>[19]res_pais_dest_alta_tek!C45/1000000</f>
        <v>31.471119000000002</v>
      </c>
      <c r="D29" s="24">
        <f>[19]res_pais_dest_alta_tek!D45/1000000</f>
        <v>45.603695999999999</v>
      </c>
      <c r="E29" s="21">
        <f t="shared" si="0"/>
        <v>44.906496651739644</v>
      </c>
      <c r="F29" s="21">
        <f t="shared" si="1"/>
        <v>16.82328459459508</v>
      </c>
      <c r="G29" s="21">
        <f>[19]res_pais_dest_alta_tek!E45/1000000</f>
        <v>3.651389</v>
      </c>
      <c r="H29" s="24">
        <f>[19]res_pais_dest_alta_tek!F45/1000000</f>
        <v>5.7694229999999997</v>
      </c>
      <c r="I29" s="21">
        <f t="shared" si="3"/>
        <v>58.006254606123854</v>
      </c>
      <c r="J29" s="21">
        <f t="shared" si="5"/>
        <v>17.972225118677297</v>
      </c>
      <c r="K29" s="16"/>
    </row>
    <row r="30" spans="1:11">
      <c r="A30" s="14" t="s">
        <v>66</v>
      </c>
      <c r="B30" s="9" t="str">
        <f>[19]res_pais_dest_alta_tek!B46</f>
        <v xml:space="preserve">Puerto Rico </v>
      </c>
      <c r="C30" s="21">
        <f>[19]res_pais_dest_alta_tek!C46/1000000</f>
        <v>1.4867999999999999E-2</v>
      </c>
      <c r="D30" s="24">
        <f>[19]res_pais_dest_alta_tek!D46/1000000</f>
        <v>2.6594E-2</v>
      </c>
      <c r="E30" s="21">
        <f t="shared" si="0"/>
        <v>78.867366155501756</v>
      </c>
      <c r="F30" s="21">
        <f t="shared" si="1"/>
        <v>9.8105739172689339E-3</v>
      </c>
      <c r="G30" s="21">
        <f>[19]res_pais_dest_alta_tek!E46/1000000</f>
        <v>0</v>
      </c>
      <c r="H30" s="24">
        <f>[19]res_pais_dest_alta_tek!F46/1000000</f>
        <v>0</v>
      </c>
      <c r="I30" s="21" t="str">
        <f t="shared" si="3"/>
        <v/>
      </c>
      <c r="J30" s="21">
        <f t="shared" si="5"/>
        <v>0</v>
      </c>
      <c r="K30" s="16"/>
    </row>
    <row r="31" spans="1:11">
      <c r="A31" s="14"/>
      <c r="B31" s="10" t="s">
        <v>48</v>
      </c>
      <c r="C31" s="21">
        <f>SUM(C32:C42)</f>
        <v>10.456695000000002</v>
      </c>
      <c r="D31" s="24">
        <f>SUM(D32:D42)</f>
        <v>15.728700000000002</v>
      </c>
      <c r="E31" s="21">
        <f t="shared" si="0"/>
        <v>50.417507635060588</v>
      </c>
      <c r="F31" s="21">
        <f t="shared" si="1"/>
        <v>5.8023454152270393</v>
      </c>
      <c r="G31" s="21">
        <f>SUM(G32:G42)</f>
        <v>0.67550099999999991</v>
      </c>
      <c r="H31" s="24">
        <f>SUM(H32:H42)</f>
        <v>1.850878</v>
      </c>
      <c r="I31" s="21">
        <f t="shared" si="3"/>
        <v>174.00077868130475</v>
      </c>
      <c r="J31" s="21">
        <f t="shared" si="5"/>
        <v>5.7656365434129544</v>
      </c>
      <c r="K31" s="16"/>
    </row>
    <row r="32" spans="1:11">
      <c r="A32" s="14" t="s">
        <v>66</v>
      </c>
      <c r="B32" s="9" t="str">
        <f>CONCATENATE(A32,[19]res_pais_dest_alta_tek!B60)</f>
        <v xml:space="preserve">   Alemania </v>
      </c>
      <c r="C32" s="21">
        <f>[19]res_pais_dest_alta_tek!C60/1000000</f>
        <v>0.65016300000000005</v>
      </c>
      <c r="D32" s="24">
        <f>[19]res_pais_dest_alta_tek!D60/1000000</f>
        <v>4.0372250000000003</v>
      </c>
      <c r="E32" s="21">
        <f t="shared" si="0"/>
        <v>520.95582184775196</v>
      </c>
      <c r="F32" s="21">
        <f t="shared" si="1"/>
        <v>1.4893394857165554</v>
      </c>
      <c r="G32" s="21">
        <f>[19]res_pais_dest_alta_tek!E60/1000000</f>
        <v>4.5405000000000001E-2</v>
      </c>
      <c r="H32" s="24">
        <f>[19]res_pais_dest_alta_tek!F60/1000000</f>
        <v>0.42196499999999998</v>
      </c>
      <c r="I32" s="21">
        <f t="shared" si="3"/>
        <v>829.3359762140733</v>
      </c>
      <c r="J32" s="21">
        <f t="shared" si="5"/>
        <v>1.3144555308568404</v>
      </c>
      <c r="K32" s="16"/>
    </row>
    <row r="33" spans="1:11">
      <c r="A33" s="14" t="s">
        <v>66</v>
      </c>
      <c r="B33" s="9" t="str">
        <f>CONCATENATE(A33,[19]res_pais_dest_alta_tek!B61)</f>
        <v xml:space="preserve">   España </v>
      </c>
      <c r="C33" s="21">
        <f>[19]res_pais_dest_alta_tek!C61/1000000</f>
        <v>0.29653099999999999</v>
      </c>
      <c r="D33" s="24">
        <f>[19]res_pais_dest_alta_tek!D61/1000000</f>
        <v>0.18822800000000001</v>
      </c>
      <c r="E33" s="21">
        <f t="shared" si="0"/>
        <v>-36.523331456070352</v>
      </c>
      <c r="F33" s="21">
        <f t="shared" si="1"/>
        <v>6.9437644103921822E-2</v>
      </c>
      <c r="G33" s="21">
        <f>[19]res_pais_dest_alta_tek!E61/1000000</f>
        <v>1.3489999999999999E-3</v>
      </c>
      <c r="H33" s="24">
        <f>[19]res_pais_dest_alta_tek!F61/1000000</f>
        <v>1.0000000000000001E-5</v>
      </c>
      <c r="I33" s="21">
        <f t="shared" si="3"/>
        <v>-99.258710155670869</v>
      </c>
      <c r="J33" s="21">
        <f t="shared" si="5"/>
        <v>3.1150818927087328E-5</v>
      </c>
      <c r="K33" s="16"/>
    </row>
    <row r="34" spans="1:11">
      <c r="A34" s="14" t="s">
        <v>66</v>
      </c>
      <c r="B34" s="9" t="str">
        <f>CONCATENATE(A34,[19]res_pais_dest_alta_tek!B62)</f>
        <v xml:space="preserve">   Finlandia </v>
      </c>
      <c r="C34" s="21">
        <f>[19]res_pais_dest_alta_tek!C62/1000000</f>
        <v>7.1024000000000004E-2</v>
      </c>
      <c r="D34" s="24">
        <f>[19]res_pais_dest_alta_tek!D62/1000000</f>
        <v>1.8435E-2</v>
      </c>
      <c r="E34" s="21">
        <f t="shared" si="0"/>
        <v>-74.043985131786442</v>
      </c>
      <c r="F34" s="21">
        <f t="shared" si="1"/>
        <v>6.800704300400571E-3</v>
      </c>
      <c r="G34" s="21">
        <f>[19]res_pais_dest_alta_tek!E62/1000000</f>
        <v>0</v>
      </c>
      <c r="H34" s="24">
        <f>[19]res_pais_dest_alta_tek!F62/1000000</f>
        <v>0</v>
      </c>
      <c r="I34" s="21" t="str">
        <f t="shared" si="3"/>
        <v/>
      </c>
      <c r="J34" s="21">
        <f t="shared" si="5"/>
        <v>0</v>
      </c>
      <c r="K34" s="16"/>
    </row>
    <row r="35" spans="1:11">
      <c r="A35" s="14" t="s">
        <v>66</v>
      </c>
      <c r="B35" s="9" t="str">
        <f>CONCATENATE(A35,[19]res_pais_dest_alta_tek!B63)</f>
        <v xml:space="preserve">   Francia </v>
      </c>
      <c r="C35" s="21">
        <f>[19]res_pais_dest_alta_tek!C63/1000000</f>
        <v>6.5359E-2</v>
      </c>
      <c r="D35" s="24">
        <f>[19]res_pais_dest_alta_tek!D63/1000000</f>
        <v>1.7381040000000001</v>
      </c>
      <c r="E35" s="21">
        <f t="shared" si="0"/>
        <v>2559.3185330252913</v>
      </c>
      <c r="F35" s="21">
        <f t="shared" si="1"/>
        <v>0.64118965811464257</v>
      </c>
      <c r="G35" s="21">
        <f>[19]res_pais_dest_alta_tek!E63/1000000</f>
        <v>2.2750000000000001E-3</v>
      </c>
      <c r="H35" s="24">
        <f>[19]res_pais_dest_alta_tek!F63/1000000</f>
        <v>0.390602</v>
      </c>
      <c r="I35" s="21">
        <f t="shared" si="3"/>
        <v>17069.31868131868</v>
      </c>
      <c r="J35" s="21">
        <f t="shared" si="5"/>
        <v>1.2167572174558166</v>
      </c>
      <c r="K35" s="16"/>
    </row>
    <row r="36" spans="1:11">
      <c r="A36" s="14" t="s">
        <v>66</v>
      </c>
      <c r="B36" s="9" t="str">
        <f>CONCATENATE(A36,[19]res_pais_dest_alta_tek!B64)</f>
        <v xml:space="preserve">   Hungría </v>
      </c>
      <c r="C36" s="21">
        <f>[19]res_pais_dest_alta_tek!C64/1000000</f>
        <v>6.0278999999999999E-2</v>
      </c>
      <c r="D36" s="24">
        <f>[19]res_pais_dest_alta_tek!D64/1000000</f>
        <v>5.9216999999999999E-2</v>
      </c>
      <c r="E36" s="21">
        <f t="shared" si="0"/>
        <v>-1.7618075946847167</v>
      </c>
      <c r="F36" s="21">
        <f t="shared" si="1"/>
        <v>2.1845256661612182E-2</v>
      </c>
      <c r="G36" s="21">
        <f>[19]res_pais_dest_alta_tek!E64/1000000</f>
        <v>0</v>
      </c>
      <c r="H36" s="24">
        <f>[19]res_pais_dest_alta_tek!F64/1000000</f>
        <v>0</v>
      </c>
      <c r="I36" s="21" t="str">
        <f t="shared" si="3"/>
        <v/>
      </c>
      <c r="J36" s="21">
        <f t="shared" si="5"/>
        <v>0</v>
      </c>
      <c r="K36" s="16"/>
    </row>
    <row r="37" spans="1:11">
      <c r="A37" s="14" t="s">
        <v>66</v>
      </c>
      <c r="B37" s="9" t="str">
        <f>CONCATENATE(A37,[19]res_pais_dest_alta_tek!B65)</f>
        <v xml:space="preserve">   Irlanda </v>
      </c>
      <c r="C37" s="21">
        <f>[19]res_pais_dest_alta_tek!C65/1000000</f>
        <v>0.136992</v>
      </c>
      <c r="D37" s="24">
        <f>[19]res_pais_dest_alta_tek!D65/1000000</f>
        <v>0.30220399999999997</v>
      </c>
      <c r="E37" s="21">
        <f t="shared" si="0"/>
        <v>120.59974305068906</v>
      </c>
      <c r="F37" s="21">
        <f t="shared" si="1"/>
        <v>0.11148359329526737</v>
      </c>
      <c r="G37" s="21">
        <f>[19]res_pais_dest_alta_tek!E65/1000000</f>
        <v>0</v>
      </c>
      <c r="H37" s="24">
        <f>[19]res_pais_dest_alta_tek!F65/1000000</f>
        <v>0</v>
      </c>
      <c r="I37" s="21" t="str">
        <f t="shared" si="3"/>
        <v/>
      </c>
      <c r="J37" s="21">
        <f t="shared" si="5"/>
        <v>0</v>
      </c>
      <c r="K37" s="16"/>
    </row>
    <row r="38" spans="1:11">
      <c r="A38" s="14" t="s">
        <v>66</v>
      </c>
      <c r="B38" s="7" t="str">
        <f>CONCATENATE(A38,[19]res_pais_dest_alta_tek!B66)</f>
        <v xml:space="preserve">   Italia </v>
      </c>
      <c r="C38" s="21">
        <f>[19]res_pais_dest_alta_tek!C66/1000000</f>
        <v>6.7257999999999998E-2</v>
      </c>
      <c r="D38" s="24">
        <f>[19]res_pais_dest_alta_tek!D66/1000000</f>
        <v>0.26396199999999997</v>
      </c>
      <c r="E38" s="21">
        <f t="shared" si="0"/>
        <v>292.46186327277053</v>
      </c>
      <c r="F38" s="21">
        <f t="shared" si="1"/>
        <v>9.7376051453340676E-2</v>
      </c>
      <c r="G38" s="21">
        <f>[19]res_pais_dest_alta_tek!E66/1000000</f>
        <v>9.4899999999999997E-4</v>
      </c>
      <c r="H38" s="24">
        <f>[19]res_pais_dest_alta_tek!F66/1000000</f>
        <v>1.1920999999999999E-2</v>
      </c>
      <c r="I38" s="21">
        <f t="shared" si="3"/>
        <v>1156.1643835616439</v>
      </c>
      <c r="J38" s="21">
        <f t="shared" si="5"/>
        <v>3.7134891242980805E-2</v>
      </c>
      <c r="K38" s="16"/>
    </row>
    <row r="39" spans="1:11">
      <c r="A39" s="14" t="s">
        <v>66</v>
      </c>
      <c r="B39" s="7" t="str">
        <f>CONCATENATE(A39,[19]res_pais_dest_alta_tek!B67)</f>
        <v xml:space="preserve">   Países Bajos </v>
      </c>
      <c r="C39" s="21">
        <f>[19]res_pais_dest_alta_tek!C67/1000000</f>
        <v>8.2527270000000001</v>
      </c>
      <c r="D39" s="24">
        <f>[19]res_pais_dest_alta_tek!D67/1000000</f>
        <v>8.5778630000000007</v>
      </c>
      <c r="E39" s="21">
        <f t="shared" si="0"/>
        <v>3.9397401610401062</v>
      </c>
      <c r="F39" s="21">
        <f t="shared" si="1"/>
        <v>3.1643889228286923</v>
      </c>
      <c r="G39" s="21">
        <f>[19]res_pais_dest_alta_tek!E67/1000000</f>
        <v>0.598055</v>
      </c>
      <c r="H39" s="24">
        <f>[19]res_pais_dest_alta_tek!F67/1000000</f>
        <v>0.95400099999999999</v>
      </c>
      <c r="I39" s="21">
        <f t="shared" si="3"/>
        <v>59.517268478651616</v>
      </c>
      <c r="J39" s="21">
        <f t="shared" si="5"/>
        <v>2.9717912407260236</v>
      </c>
      <c r="K39" s="16"/>
    </row>
    <row r="40" spans="1:11">
      <c r="A40" s="14" t="s">
        <v>66</v>
      </c>
      <c r="B40" s="7" t="str">
        <f>CONCATENATE(A40,[19]res_pais_dest_alta_tek!B68)</f>
        <v xml:space="preserve">   Reino Unido </v>
      </c>
      <c r="C40" s="21">
        <f>[19]res_pais_dest_alta_tek!C68/1000000</f>
        <v>0.46850999999999998</v>
      </c>
      <c r="D40" s="24">
        <f>[19]res_pais_dest_alta_tek!D68/1000000</f>
        <v>0.25223099999999998</v>
      </c>
      <c r="E40" s="21">
        <f t="shared" si="0"/>
        <v>-46.163155535634246</v>
      </c>
      <c r="F40" s="21">
        <f t="shared" si="1"/>
        <v>9.3048464681005499E-2</v>
      </c>
      <c r="G40" s="21">
        <f>[19]res_pais_dest_alta_tek!E68/1000000</f>
        <v>8.5509999999999996E-3</v>
      </c>
      <c r="H40" s="24">
        <f>[19]res_pais_dest_alta_tek!F68/1000000</f>
        <v>7.1329000000000004E-2</v>
      </c>
      <c r="I40" s="21">
        <f t="shared" si="3"/>
        <v>734.15974739796525</v>
      </c>
      <c r="J40" s="21">
        <f t="shared" si="5"/>
        <v>0.22219567632502124</v>
      </c>
      <c r="K40" s="16"/>
    </row>
    <row r="41" spans="1:11">
      <c r="A41" s="14" t="s">
        <v>66</v>
      </c>
      <c r="B41" s="9" t="str">
        <f>CONCATENATE(A41,[19]res_pais_dest_alta_tek!B69)</f>
        <v xml:space="preserve">   Suecia </v>
      </c>
      <c r="C41" s="21">
        <f>[19]res_pais_dest_alta_tek!C69/1000000</f>
        <v>0.123929</v>
      </c>
      <c r="D41" s="24">
        <f>[19]res_pais_dest_alta_tek!D69/1000000</f>
        <v>0.25917800000000002</v>
      </c>
      <c r="E41" s="21">
        <f t="shared" si="0"/>
        <v>109.13426235989965</v>
      </c>
      <c r="F41" s="21">
        <f t="shared" si="1"/>
        <v>9.5611225341427686E-2</v>
      </c>
      <c r="G41" s="21">
        <f>[19]res_pais_dest_alta_tek!E69/1000000</f>
        <v>1.1898000000000001E-2</v>
      </c>
      <c r="H41" s="24">
        <f>[19]res_pais_dest_alta_tek!F69/1000000</f>
        <v>0</v>
      </c>
      <c r="I41" s="21" t="str">
        <f t="shared" si="3"/>
        <v/>
      </c>
      <c r="J41" s="21">
        <f t="shared" si="5"/>
        <v>0</v>
      </c>
      <c r="K41" s="16"/>
    </row>
    <row r="42" spans="1:11">
      <c r="A42" s="14" t="s">
        <v>66</v>
      </c>
      <c r="B42" s="9" t="str">
        <f>CONCATENATE(A42,[19]res_pais_dest_alta_tek!B70)</f>
        <v xml:space="preserve">   Resto </v>
      </c>
      <c r="C42" s="21">
        <f>[19]res_pais_dest_alta_tek!C70/1000000</f>
        <v>0.26392300000000002</v>
      </c>
      <c r="D42" s="24">
        <f>[19]res_pais_dest_alta_tek!D70/1000000</f>
        <v>3.2052999999999998E-2</v>
      </c>
      <c r="E42" s="21">
        <f t="shared" si="0"/>
        <v>-87.855169879093523</v>
      </c>
      <c r="F42" s="21">
        <f t="shared" si="1"/>
        <v>1.1824408730173012E-2</v>
      </c>
      <c r="G42" s="21">
        <f>[19]res_pais_dest_alta_tek!E70/1000000</f>
        <v>7.0190000000000001E-3</v>
      </c>
      <c r="H42" s="24">
        <f>[19]res_pais_dest_alta_tek!F70/1000000</f>
        <v>1.0499999999999999E-3</v>
      </c>
      <c r="I42" s="21">
        <f t="shared" si="3"/>
        <v>-85.04060407465451</v>
      </c>
      <c r="J42" s="21">
        <f t="shared" si="5"/>
        <v>3.2708359873441692E-3</v>
      </c>
      <c r="K42" s="16"/>
    </row>
    <row r="43" spans="1:11">
      <c r="A43" s="14"/>
      <c r="B43" s="9" t="s">
        <v>2</v>
      </c>
      <c r="C43" s="21">
        <f>+C13-C14-C31-C28-C29-C30</f>
        <v>59.521527120000165</v>
      </c>
      <c r="D43" s="24">
        <f>+D13-D14-D31-D28-D29-D30</f>
        <v>88.679850980001447</v>
      </c>
      <c r="E43" s="21">
        <f t="shared" si="0"/>
        <v>48.987862494212834</v>
      </c>
      <c r="F43" s="21">
        <f t="shared" si="1"/>
        <v>32.714154809795367</v>
      </c>
      <c r="G43" s="21">
        <f t="shared" ref="G43:H43" si="6">+G13-G14-G31-G28-G29-G30</f>
        <v>6.0489418100000059</v>
      </c>
      <c r="H43" s="24">
        <f t="shared" si="6"/>
        <v>9.8174877799999773</v>
      </c>
      <c r="I43" s="21">
        <f t="shared" si="3"/>
        <v>62.300912926123317</v>
      </c>
      <c r="J43" s="21">
        <f t="shared" si="5"/>
        <v>30.582278415367188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75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6"/>
    </row>
    <row r="14" spans="1:14">
      <c r="A14" s="14"/>
      <c r="B14" s="9" t="str">
        <f>+[20]cuadro1c!A7</f>
        <v xml:space="preserve">Armenia </v>
      </c>
      <c r="C14" s="21">
        <f>[20]cuadro1c!B7/1000000</f>
        <v>2.5884000000000001E-2</v>
      </c>
      <c r="D14" s="24">
        <f>[20]cuadro1c!C7/1000000</f>
        <v>0</v>
      </c>
      <c r="E14" s="21" t="str">
        <f t="shared" ref="E14:E28" si="0">IF(OR(OR(D14=0,C14=0),D14=""),"",(D14/C14-1)*100)</f>
        <v/>
      </c>
      <c r="F14" s="21">
        <f t="shared" ref="F14:F28" si="1">(D14/D$13)*100</f>
        <v>0</v>
      </c>
      <c r="G14" s="21">
        <f>[20]cuadro1c!D7/1000000</f>
        <v>0</v>
      </c>
      <c r="H14" s="24">
        <f>[20]cuadro1c!E7/1000000</f>
        <v>0</v>
      </c>
      <c r="I14" s="21" t="str">
        <f t="shared" ref="I14:I28" si="2">IF(OR(OR(H14=0,G14=0),H14=""),"",(H14/G14-1)*100)</f>
        <v/>
      </c>
      <c r="J14" s="21">
        <f>(H14/H$13)*100</f>
        <v>0</v>
      </c>
      <c r="K14" s="16"/>
    </row>
    <row r="15" spans="1:14">
      <c r="A15" s="14"/>
      <c r="B15" s="9" t="str">
        <f>+[20]cuadro1c!A8</f>
        <v xml:space="preserve">Barranquilla </v>
      </c>
      <c r="C15" s="21">
        <f>[20]cuadro1c!B8/1000000</f>
        <v>75.790965999999997</v>
      </c>
      <c r="D15" s="24">
        <f>[20]cuadro1c!C8/1000000</f>
        <v>71.765179000000003</v>
      </c>
      <c r="E15" s="21">
        <f t="shared" si="0"/>
        <v>-5.311697702863416</v>
      </c>
      <c r="F15" s="21">
        <f>(D15/D$13)*100</f>
        <v>3.3023969864593825</v>
      </c>
      <c r="G15" s="21">
        <f>[20]cuadro1c!D8/1000000</f>
        <v>17.390456</v>
      </c>
      <c r="H15" s="24">
        <f>[20]cuadro1c!E8/1000000</f>
        <v>9.9352479999999996</v>
      </c>
      <c r="I15" s="21">
        <f t="shared" si="2"/>
        <v>-42.869537176023456</v>
      </c>
      <c r="J15" s="21">
        <f t="shared" ref="J15:J28" si="3">(H15/H$13)*100</f>
        <v>4.0439813650772818</v>
      </c>
      <c r="K15" s="16"/>
    </row>
    <row r="16" spans="1:14">
      <c r="A16" s="14"/>
      <c r="B16" s="9" t="str">
        <f>+[20]cuadro1c!A9</f>
        <v xml:space="preserve">Bogotá </v>
      </c>
      <c r="C16" s="21">
        <f>[20]cuadro1c!B9/1000000</f>
        <v>980.238292</v>
      </c>
      <c r="D16" s="24">
        <f>[20]cuadro1c!C9/1000000</f>
        <v>963.50003900000002</v>
      </c>
      <c r="E16" s="21">
        <f t="shared" si="0"/>
        <v>-1.7075697956920877</v>
      </c>
      <c r="F16" s="21">
        <f t="shared" si="1"/>
        <v>44.337095922900126</v>
      </c>
      <c r="G16" s="21">
        <f>[20]cuadro1c!D9/1000000</f>
        <v>104.345668</v>
      </c>
      <c r="H16" s="24">
        <f>[20]cuadro1c!E9/1000000</f>
        <v>96.733361000000002</v>
      </c>
      <c r="I16" s="21">
        <f t="shared" si="2"/>
        <v>-7.2952784201831928</v>
      </c>
      <c r="J16" s="21">
        <f t="shared" si="3"/>
        <v>39.373743792333464</v>
      </c>
      <c r="K16" s="16"/>
    </row>
    <row r="17" spans="1:11">
      <c r="A17" s="14"/>
      <c r="B17" s="9" t="str">
        <f>+[20]cuadro1c!A10</f>
        <v xml:space="preserve">Bucaramanga </v>
      </c>
      <c r="C17" s="21">
        <f>[20]cuadro1c!B10/1000000</f>
        <v>0.16067699999999999</v>
      </c>
      <c r="D17" s="24">
        <f>[20]cuadro1c!C10/1000000</f>
        <v>0.46614100000000003</v>
      </c>
      <c r="E17" s="21">
        <f t="shared" si="0"/>
        <v>190.11059454682376</v>
      </c>
      <c r="F17" s="21">
        <f t="shared" si="1"/>
        <v>2.1450272334235566E-2</v>
      </c>
      <c r="G17" s="21">
        <f>[20]cuadro1c!D10/1000000</f>
        <v>6.9290000000000004E-2</v>
      </c>
      <c r="H17" s="24">
        <f>[20]cuadro1c!E10/1000000</f>
        <v>1.2159E-2</v>
      </c>
      <c r="I17" s="21">
        <f t="shared" si="2"/>
        <v>-82.452013277529218</v>
      </c>
      <c r="J17" s="21">
        <f t="shared" si="3"/>
        <v>4.9491235063256261E-3</v>
      </c>
      <c r="K17" s="16"/>
    </row>
    <row r="18" spans="1:11">
      <c r="A18" s="14"/>
      <c r="B18" s="9" t="str">
        <f>+[20]cuadro1c!A11</f>
        <v xml:space="preserve">Cali </v>
      </c>
      <c r="C18" s="21">
        <f>[20]cuadro1c!B11/1000000</f>
        <v>2.5053399999999999</v>
      </c>
      <c r="D18" s="24">
        <f>[20]cuadro1c!C11/1000000</f>
        <v>2.0895489999999999</v>
      </c>
      <c r="E18" s="21">
        <f t="shared" si="0"/>
        <v>-16.596190537012944</v>
      </c>
      <c r="F18" s="21">
        <f t="shared" si="1"/>
        <v>9.6154157445342905E-2</v>
      </c>
      <c r="G18" s="21">
        <f>[20]cuadro1c!D11/1000000</f>
        <v>0.385326</v>
      </c>
      <c r="H18" s="24">
        <f>[20]cuadro1c!E11/1000000</f>
        <v>0.35869200000000001</v>
      </c>
      <c r="I18" s="21">
        <f t="shared" si="2"/>
        <v>-6.912069260833686</v>
      </c>
      <c r="J18" s="21">
        <f t="shared" si="3"/>
        <v>0.14599975398724827</v>
      </c>
      <c r="K18" s="16"/>
    </row>
    <row r="19" spans="1:11">
      <c r="A19" s="14"/>
      <c r="B19" s="9" t="str">
        <f>+[20]cuadro1c!A12</f>
        <v xml:space="preserve">Cartagena </v>
      </c>
      <c r="C19" s="21">
        <f>[20]cuadro1c!B12/1000000</f>
        <v>499.27361000000002</v>
      </c>
      <c r="D19" s="24">
        <f>[20]cuadro1c!C12/1000000</f>
        <v>472.34150799999998</v>
      </c>
      <c r="E19" s="21">
        <f t="shared" si="0"/>
        <v>-5.3942570687843912</v>
      </c>
      <c r="F19" s="21">
        <f t="shared" si="1"/>
        <v>21.735599274390164</v>
      </c>
      <c r="G19" s="21">
        <f>[20]cuadro1c!D12/1000000</f>
        <v>62.728960000000001</v>
      </c>
      <c r="H19" s="24">
        <f>[20]cuadro1c!E12/1000000</f>
        <v>60.716085</v>
      </c>
      <c r="I19" s="21">
        <f t="shared" si="2"/>
        <v>-3.2088448461444319</v>
      </c>
      <c r="J19" s="21">
        <f t="shared" si="3"/>
        <v>24.713496462337755</v>
      </c>
      <c r="K19" s="16"/>
    </row>
    <row r="20" spans="1:11">
      <c r="A20" s="14"/>
      <c r="B20" s="9" t="str">
        <f>+[20]cuadro1c!A13</f>
        <v xml:space="preserve">Cúcuta </v>
      </c>
      <c r="C20" s="21">
        <f>[20]cuadro1c!B13/1000000</f>
        <v>208.60485399999999</v>
      </c>
      <c r="D20" s="24">
        <f>[20]cuadro1c!C13/1000000</f>
        <v>116.906255</v>
      </c>
      <c r="E20" s="21">
        <f t="shared" si="0"/>
        <v>-43.958037045485042</v>
      </c>
      <c r="F20" s="21">
        <f t="shared" si="1"/>
        <v>5.3796405107587359</v>
      </c>
      <c r="G20" s="21">
        <f>[20]cuadro1c!D13/1000000</f>
        <v>30.919363000000001</v>
      </c>
      <c r="H20" s="24">
        <f>[20]cuadro1c!E13/1000000</f>
        <v>15.831105000000001</v>
      </c>
      <c r="I20" s="21">
        <f t="shared" si="2"/>
        <v>-48.798734954533188</v>
      </c>
      <c r="J20" s="21">
        <f t="shared" si="3"/>
        <v>6.4437942171732185</v>
      </c>
      <c r="K20" s="16"/>
    </row>
    <row r="21" spans="1:11">
      <c r="A21" s="14"/>
      <c r="B21" s="9" t="str">
        <f>+[20]cuadro1c!A14</f>
        <v xml:space="preserve">Manizales </v>
      </c>
      <c r="C21" s="21">
        <f>[20]cuadro1c!B14/1000000</f>
        <v>0</v>
      </c>
      <c r="D21" s="24">
        <f>[20]cuadro1c!C14/1000000</f>
        <v>0.145344</v>
      </c>
      <c r="E21" s="21" t="str">
        <f t="shared" si="0"/>
        <v/>
      </c>
      <c r="F21" s="21">
        <f t="shared" si="1"/>
        <v>6.688251799663909E-3</v>
      </c>
      <c r="G21" s="21">
        <f>[20]cuadro1c!D14/1000000</f>
        <v>0</v>
      </c>
      <c r="H21" s="24">
        <f>[20]cuadro1c!E14/1000000</f>
        <v>0</v>
      </c>
      <c r="I21" s="21" t="str">
        <f t="shared" si="2"/>
        <v/>
      </c>
      <c r="J21" s="21">
        <f t="shared" si="3"/>
        <v>0</v>
      </c>
      <c r="K21" s="16"/>
    </row>
    <row r="22" spans="1:11">
      <c r="A22" s="14"/>
      <c r="B22" s="9" t="str">
        <f>+[20]cuadro1c!A15</f>
        <v xml:space="preserve">Medellín </v>
      </c>
      <c r="C22" s="21">
        <f>[20]cuadro1c!B15/1000000</f>
        <v>2.9002880000000002</v>
      </c>
      <c r="D22" s="24">
        <f>[20]cuadro1c!C15/1000000</f>
        <v>7.8865460000000001</v>
      </c>
      <c r="E22" s="21">
        <f t="shared" si="0"/>
        <v>171.92285731623892</v>
      </c>
      <c r="F22" s="21">
        <f t="shared" si="1"/>
        <v>0.36291285142580493</v>
      </c>
      <c r="G22" s="21">
        <f>[20]cuadro1c!D15/1000000</f>
        <v>0.17052899999999999</v>
      </c>
      <c r="H22" s="24">
        <f>[20]cuadro1c!E15/1000000</f>
        <v>1.058789</v>
      </c>
      <c r="I22" s="21">
        <f t="shared" si="2"/>
        <v>520.88501076063312</v>
      </c>
      <c r="J22" s="21">
        <f t="shared" si="3"/>
        <v>0.43096286932634298</v>
      </c>
      <c r="K22" s="16"/>
    </row>
    <row r="23" spans="1:11">
      <c r="A23" s="14"/>
      <c r="B23" s="9" t="str">
        <f>+[20]cuadro1c!A16</f>
        <v xml:space="preserve">Pereira </v>
      </c>
      <c r="C23" s="21">
        <f>[20]cuadro1c!B16/1000000</f>
        <v>4.9732999999999999E-2</v>
      </c>
      <c r="D23" s="24">
        <f>[20]cuadro1c!C16/1000000</f>
        <v>5.8775000000000001E-2</v>
      </c>
      <c r="E23" s="21">
        <f t="shared" si="0"/>
        <v>18.181087004604592</v>
      </c>
      <c r="F23" s="21">
        <f t="shared" si="1"/>
        <v>2.7046317668788958E-3</v>
      </c>
      <c r="G23" s="21">
        <f>[20]cuadro1c!D16/1000000</f>
        <v>1.2819999999999999E-3</v>
      </c>
      <c r="H23" s="24">
        <f>[20]cuadro1c!E16/1000000</f>
        <v>2.0590000000000001E-3</v>
      </c>
      <c r="I23" s="21">
        <f t="shared" si="2"/>
        <v>60.608424336973485</v>
      </c>
      <c r="J23" s="21">
        <f t="shared" si="3"/>
        <v>8.3808251497034824E-4</v>
      </c>
      <c r="K23" s="16"/>
    </row>
    <row r="24" spans="1:11">
      <c r="A24" s="14"/>
      <c r="B24" s="9" t="str">
        <f>+[20]cuadro1c!A17</f>
        <v xml:space="preserve">Santa Marta </v>
      </c>
      <c r="C24" s="21">
        <f>[20]cuadro1c!B17/1000000</f>
        <v>3.3884050000000001</v>
      </c>
      <c r="D24" s="24">
        <f>[20]cuadro1c!C17/1000000</f>
        <v>12.213365</v>
      </c>
      <c r="E24" s="21">
        <f t="shared" si="0"/>
        <v>260.44584398854329</v>
      </c>
      <c r="F24" s="21">
        <f t="shared" si="1"/>
        <v>0.56201879982112912</v>
      </c>
      <c r="G24" s="21">
        <f>[20]cuadro1c!D17/1000000</f>
        <v>0.179114</v>
      </c>
      <c r="H24" s="24">
        <f>[20]cuadro1c!E17/1000000</f>
        <v>0.19522800000000001</v>
      </c>
      <c r="I24" s="21">
        <f t="shared" si="2"/>
        <v>8.996505019149815</v>
      </c>
      <c r="J24" s="21">
        <f t="shared" si="3"/>
        <v>7.9464387194089936E-2</v>
      </c>
      <c r="K24" s="16"/>
    </row>
    <row r="25" spans="1:11">
      <c r="A25" s="14"/>
      <c r="B25" s="9" t="str">
        <f>+[20]cuadro1c!A18</f>
        <v xml:space="preserve">Riohacha </v>
      </c>
      <c r="C25" s="21">
        <f>[20]cuadro1c!B18/1000000</f>
        <v>3.6398839999999999</v>
      </c>
      <c r="D25" s="24">
        <f>[20]cuadro1c!C18/1000000</f>
        <v>4.9478850000000003</v>
      </c>
      <c r="E25" s="21">
        <f t="shared" si="0"/>
        <v>35.935238595515685</v>
      </c>
      <c r="F25" s="21">
        <f t="shared" si="1"/>
        <v>0.22768535856849997</v>
      </c>
      <c r="G25" s="21">
        <f>[20]cuadro1c!D18/1000000</f>
        <v>2.9999999999999997E-4</v>
      </c>
      <c r="H25" s="24">
        <f>[20]cuadro1c!E18/1000000</f>
        <v>0</v>
      </c>
      <c r="I25" s="21" t="str">
        <f t="shared" si="2"/>
        <v/>
      </c>
      <c r="J25" s="21">
        <f t="shared" si="3"/>
        <v>0</v>
      </c>
      <c r="K25" s="16"/>
    </row>
    <row r="26" spans="1:11">
      <c r="A26" s="14"/>
      <c r="B26" s="9" t="str">
        <f>+[20]cuadro1c!A19</f>
        <v xml:space="preserve">Buenaventura </v>
      </c>
      <c r="C26" s="21">
        <f>[20]cuadro1c!B19/1000000</f>
        <v>241.60934900000001</v>
      </c>
      <c r="D26" s="24">
        <f>[20]cuadro1c!C19/1000000</f>
        <v>275.33180499999997</v>
      </c>
      <c r="E26" s="21">
        <f t="shared" si="0"/>
        <v>13.957430099279788</v>
      </c>
      <c r="F26" s="21">
        <f t="shared" si="1"/>
        <v>12.669862122247647</v>
      </c>
      <c r="G26" s="21">
        <f>[20]cuadro1c!D19/1000000</f>
        <v>24.996196999999999</v>
      </c>
      <c r="H26" s="24">
        <f>[20]cuadro1c!E19/1000000</f>
        <v>32.861004000000001</v>
      </c>
      <c r="I26" s="21">
        <f t="shared" si="2"/>
        <v>31.464014305856214</v>
      </c>
      <c r="J26" s="21">
        <f t="shared" si="3"/>
        <v>13.375538065454432</v>
      </c>
      <c r="K26" s="16"/>
    </row>
    <row r="27" spans="1:11">
      <c r="A27" s="14"/>
      <c r="B27" s="9" t="str">
        <f>+[20]cuadro1c!A20</f>
        <v xml:space="preserve">Ipiales </v>
      </c>
      <c r="C27" s="21">
        <f>[20]cuadro1c!B20/1000000</f>
        <v>196.781689</v>
      </c>
      <c r="D27" s="24">
        <f>[20]cuadro1c!C20/1000000</f>
        <v>224.19001600000001</v>
      </c>
      <c r="E27" s="21">
        <f t="shared" si="0"/>
        <v>13.92829136658138</v>
      </c>
      <c r="F27" s="21">
        <f>(D27/D$13)*100</f>
        <v>10.316485565132929</v>
      </c>
      <c r="G27" s="21">
        <f>[20]cuadro1c!D20/1000000</f>
        <v>26.332177999999999</v>
      </c>
      <c r="H27" s="24">
        <f>[20]cuadro1c!E20/1000000</f>
        <v>24.694241999999999</v>
      </c>
      <c r="I27" s="21">
        <f t="shared" si="2"/>
        <v>-6.2202830316580693</v>
      </c>
      <c r="J27" s="21">
        <f t="shared" si="3"/>
        <v>10.051390209153183</v>
      </c>
      <c r="K27" s="16"/>
    </row>
    <row r="28" spans="1:11">
      <c r="A28" s="14"/>
      <c r="B28" s="9" t="str">
        <f>+[20]cuadro1c!A21</f>
        <v xml:space="preserve">Leticia </v>
      </c>
      <c r="C28" s="21">
        <f>[20]cuadro1c!B21/1000000</f>
        <v>0.116282</v>
      </c>
      <c r="D28" s="24">
        <f>[20]cuadro1c!C21/1000000</f>
        <v>8.1178E-2</v>
      </c>
      <c r="E28" s="21">
        <f t="shared" si="0"/>
        <v>-30.188679245283012</v>
      </c>
      <c r="F28" s="21">
        <f t="shared" si="1"/>
        <v>3.7355439825043808E-3</v>
      </c>
      <c r="G28" s="21">
        <f>[20]cuadro1c!D21/1000000</f>
        <v>1.3245E-2</v>
      </c>
      <c r="H28" s="24">
        <f>[20]cuadro1c!E21/1000000</f>
        <v>2.6858E-2</v>
      </c>
      <c r="I28" s="21">
        <f t="shared" si="2"/>
        <v>102.77840694601737</v>
      </c>
      <c r="J28" s="21">
        <f t="shared" si="3"/>
        <v>1.0932112766912878E-2</v>
      </c>
      <c r="K28" s="16"/>
    </row>
    <row r="29" spans="1:11" s="147" customFormat="1">
      <c r="A29" s="104"/>
      <c r="B29" s="128" t="str">
        <f>+[20]cuadro1c!A22</f>
        <v xml:space="preserve">Maicao </v>
      </c>
      <c r="C29" s="21">
        <f>[20]cuadro1c!B22/1000000</f>
        <v>22.348872</v>
      </c>
      <c r="D29" s="24">
        <f>[20]cuadro1c!C22/1000000</f>
        <v>21.194195000000001</v>
      </c>
      <c r="E29" s="21">
        <f t="shared" ref="E29" si="4">IF(OR(OR(D29=0,C29=0),D29=""),"",(D29/C29-1)*100)</f>
        <v>-5.1666008020449521</v>
      </c>
      <c r="F29" s="21">
        <f t="shared" ref="F29" si="5">(D29/D$13)*100</f>
        <v>0.97528699396726248</v>
      </c>
      <c r="G29" s="21">
        <f>[20]cuadro1c!D22/1000000</f>
        <v>3.7722989999999998</v>
      </c>
      <c r="H29" s="24">
        <f>[20]cuadro1c!E22/1000000</f>
        <v>3.255036</v>
      </c>
      <c r="I29" s="21">
        <f t="shared" ref="I29" si="6">IF(OR(OR(H29=0,G29=0),H29=""),"",(H29/G29-1)*100)</f>
        <v>-13.712142118108872</v>
      </c>
      <c r="J29" s="21">
        <f t="shared" ref="J29" si="7">(H29/H$13)*100</f>
        <v>1.3249095469640713</v>
      </c>
      <c r="K29" s="106"/>
    </row>
    <row r="30" spans="1:11" s="147" customFormat="1">
      <c r="A30" s="104"/>
      <c r="B30" s="128" t="str">
        <f>+[20]cuadro1c!A23</f>
        <v xml:space="preserve">Turbo </v>
      </c>
      <c r="C30" s="21">
        <f>[20]cuadro1c!B23/1000000</f>
        <v>0.148337</v>
      </c>
      <c r="D30" s="24">
        <f>[20]cuadro1c!C23/1000000</f>
        <v>0</v>
      </c>
      <c r="E30" s="21" t="str">
        <f t="shared" ref="E30:E31" si="8">IF(OR(OR(D30=0,C30=0),D30=""),"",(D30/C30-1)*100)</f>
        <v/>
      </c>
      <c r="F30" s="21">
        <f t="shared" ref="F30:F31" si="9">(D30/D$13)*100</f>
        <v>0</v>
      </c>
      <c r="G30" s="21">
        <f>[20]cuadro1c!D23/1000000</f>
        <v>2.7300000000000002E-4</v>
      </c>
      <c r="H30" s="24">
        <f>[20]cuadro1c!E23/1000000</f>
        <v>0</v>
      </c>
      <c r="I30" s="21" t="str">
        <f t="shared" ref="I30:I31" si="10">IF(OR(OR(H30=0,G30=0),H30=""),"",(H30/G30-1)*100)</f>
        <v/>
      </c>
      <c r="J30" s="21">
        <f t="shared" ref="J30:J31" si="11">(H30/H$13)*100</f>
        <v>0</v>
      </c>
      <c r="K30" s="106"/>
    </row>
    <row r="31" spans="1:11" s="147" customFormat="1">
      <c r="A31" s="104"/>
      <c r="B31" s="128" t="str">
        <f>+[20]cuadro1c!A24</f>
        <v xml:space="preserve">Puerto Asis </v>
      </c>
      <c r="C31" s="21">
        <f>[20]cuadro1c!B24/1000000</f>
        <v>5.3695E-2</v>
      </c>
      <c r="D31" s="24">
        <f>[20]cuadro1c!C24/1000000</f>
        <v>6.1450000000000003E-3</v>
      </c>
      <c r="E31" s="21">
        <f t="shared" si="8"/>
        <v>-88.55573144613092</v>
      </c>
      <c r="F31" s="21">
        <f t="shared" si="9"/>
        <v>2.8277264495909506E-4</v>
      </c>
      <c r="G31" s="21">
        <f>[20]cuadro1c!D24/1000000</f>
        <v>0</v>
      </c>
      <c r="H31" s="24">
        <f>[20]cuadro1c!E24/1000000</f>
        <v>0</v>
      </c>
      <c r="I31" s="21" t="str">
        <f t="shared" si="10"/>
        <v/>
      </c>
      <c r="J31" s="21">
        <f t="shared" si="11"/>
        <v>0</v>
      </c>
      <c r="K31" s="10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127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92"/>
    </row>
    <row r="45" spans="1:12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  <c r="L45" s="92"/>
    </row>
    <row r="46" spans="1:12">
      <c r="B46" s="20"/>
      <c r="C46" s="157" t="str">
        <f>+B16</f>
        <v xml:space="preserve">Bogotá </v>
      </c>
      <c r="D46" s="158">
        <f>+D16</f>
        <v>963.50003900000002</v>
      </c>
      <c r="E46" s="135"/>
      <c r="J46" s="91"/>
    </row>
    <row r="47" spans="1:12">
      <c r="B47" s="20"/>
      <c r="C47" s="157" t="str">
        <f>+B19</f>
        <v xml:space="preserve">Cartagena </v>
      </c>
      <c r="D47" s="158">
        <f>+D19</f>
        <v>472.34150799999998</v>
      </c>
      <c r="E47" s="135"/>
    </row>
    <row r="48" spans="1:12">
      <c r="C48" s="157" t="str">
        <f>+B26</f>
        <v xml:space="preserve">Buenaventura </v>
      </c>
      <c r="D48" s="158">
        <f>+D26</f>
        <v>275.33180499999997</v>
      </c>
      <c r="E48" s="135"/>
    </row>
    <row r="49" spans="3:8">
      <c r="C49" s="157" t="s">
        <v>51</v>
      </c>
      <c r="D49" s="158">
        <f>+D13-SUM(D46:D48)</f>
        <v>461.9505726600089</v>
      </c>
      <c r="E49" s="135"/>
    </row>
    <row r="50" spans="3:8">
      <c r="C50" s="159"/>
      <c r="D50" s="160"/>
      <c r="E50" s="135"/>
    </row>
    <row r="51" spans="3:8">
      <c r="C51" s="135"/>
      <c r="D51" s="136"/>
      <c r="E51" s="135"/>
    </row>
    <row r="52" spans="3:8">
      <c r="C52" s="20"/>
      <c r="D52" s="82"/>
    </row>
    <row r="53" spans="3:8">
      <c r="C53" s="20"/>
      <c r="D53" s="82"/>
      <c r="F53" s="9"/>
      <c r="G53" s="9"/>
      <c r="H53" s="9"/>
    </row>
    <row r="54" spans="3:8">
      <c r="C54" s="20"/>
      <c r="D54" s="82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6"/>
    </row>
    <row r="14" spans="1:14">
      <c r="A14" s="14"/>
      <c r="B14" s="9" t="str">
        <f>[7]XX!E2</f>
        <v>Agricultura</v>
      </c>
      <c r="C14" s="21">
        <f>[7]XX!C2/1000000</f>
        <v>488.5051983900002</v>
      </c>
      <c r="D14" s="24">
        <f>[7]XX!G2/1000000</f>
        <v>500.94147612999916</v>
      </c>
      <c r="E14" s="21">
        <f t="shared" ref="E14:E47" si="0">IF(OR(OR(D14=0,C14=0),D14=""),"",(D14/C14-1)*100)</f>
        <v>2.5457820676189513</v>
      </c>
      <c r="F14" s="21">
        <f t="shared" ref="F14:F47" si="1">(D14/D$13)*100</f>
        <v>23.05167553702087</v>
      </c>
      <c r="G14" s="21">
        <f>[7]XX!D2/1000000</f>
        <v>44.838158179999965</v>
      </c>
      <c r="H14" s="24">
        <f>[7]XX!H2/1000000</f>
        <v>46.01909321000003</v>
      </c>
      <c r="I14" s="21">
        <f t="shared" ref="I14" si="2">IF(OR(OR(H14=0,G14=0),H14=""),"",(H14/G14-1)*100)</f>
        <v>2.6337723892655873</v>
      </c>
      <c r="J14" s="21">
        <f>(H14/H$13)*100</f>
        <v>18.731324611020742</v>
      </c>
      <c r="K14" s="16"/>
    </row>
    <row r="15" spans="1:14">
      <c r="A15" s="14"/>
      <c r="B15" s="9" t="str">
        <f>[7]XX!E3</f>
        <v>Productos quimicos</v>
      </c>
      <c r="C15" s="21">
        <f>[7]XX!C3/1000000</f>
        <v>359.67484552999997</v>
      </c>
      <c r="D15" s="24">
        <f>[7]XX!G3/1000000</f>
        <v>343.45810191000032</v>
      </c>
      <c r="E15" s="21">
        <f t="shared" si="0"/>
        <v>-4.5087233153887745</v>
      </c>
      <c r="F15" s="21">
        <f t="shared" si="1"/>
        <v>15.804809749344381</v>
      </c>
      <c r="G15" s="21">
        <f>[7]XX!D3/1000000</f>
        <v>48.358125690000108</v>
      </c>
      <c r="H15" s="24">
        <f>[7]XX!H3/1000000</f>
        <v>44.627687389999942</v>
      </c>
      <c r="I15" s="21">
        <f t="shared" ref="I15:I47" si="3">IF(OR(OR(H15=0,G15=0),H15=""),"",(H15/G15-1)*100)</f>
        <v>-7.7141912486727637</v>
      </c>
      <c r="J15" s="21">
        <f t="shared" ref="J15:J47" si="4">(H15/H$13)*100</f>
        <v>18.164975466304835</v>
      </c>
      <c r="K15" s="16"/>
    </row>
    <row r="16" spans="1:14">
      <c r="A16" s="14"/>
      <c r="B16" s="9" t="str">
        <f>[7]XX!E4</f>
        <v>Alimentos y bebidas</v>
      </c>
      <c r="C16" s="21">
        <f>[7]XX!C4/1000000</f>
        <v>203.9086676299998</v>
      </c>
      <c r="D16" s="24">
        <f>[7]XX!G4/1000000</f>
        <v>241.29765062999954</v>
      </c>
      <c r="E16" s="21">
        <f t="shared" si="0"/>
        <v>18.336142075060536</v>
      </c>
      <c r="F16" s="21">
        <f t="shared" si="1"/>
        <v>11.103722520921176</v>
      </c>
      <c r="G16" s="21">
        <f>[7]XX!D4/1000000</f>
        <v>25.482383819999999</v>
      </c>
      <c r="H16" s="24">
        <f>[7]XX!H4/1000000</f>
        <v>34.974826109999967</v>
      </c>
      <c r="I16" s="21">
        <f t="shared" si="3"/>
        <v>37.25099801122127</v>
      </c>
      <c r="J16" s="21">
        <f t="shared" si="4"/>
        <v>14.235935030072547</v>
      </c>
      <c r="K16" s="16"/>
    </row>
    <row r="17" spans="1:11">
      <c r="A17" s="14"/>
      <c r="B17" s="9" t="str">
        <f>[7]XX!E5</f>
        <v>Caucho y de plastico</v>
      </c>
      <c r="C17" s="21">
        <f>[7]XX!C5/1000000</f>
        <v>165.08390200000045</v>
      </c>
      <c r="D17" s="24">
        <f>[7]XX!G5/1000000</f>
        <v>162.38605489999992</v>
      </c>
      <c r="E17" s="21">
        <f t="shared" si="0"/>
        <v>-1.634227848576375</v>
      </c>
      <c r="F17" s="21">
        <f t="shared" si="1"/>
        <v>7.472470992440325</v>
      </c>
      <c r="G17" s="21">
        <f>[7]XX!D5/1000000</f>
        <v>21.659321889999994</v>
      </c>
      <c r="H17" s="24">
        <f>[7]XX!H5/1000000</f>
        <v>18.559161990000028</v>
      </c>
      <c r="I17" s="21">
        <f t="shared" si="3"/>
        <v>-14.313282362876256</v>
      </c>
      <c r="J17" s="21">
        <f t="shared" si="4"/>
        <v>7.5542055154547443</v>
      </c>
      <c r="K17" s="16"/>
    </row>
    <row r="18" spans="1:11">
      <c r="A18" s="14"/>
      <c r="B18" s="9" t="str">
        <f>[7]XX!E6</f>
        <v>Textiles</v>
      </c>
      <c r="C18" s="21">
        <f>[7]XX!C6/1000000</f>
        <v>153.5573270900002</v>
      </c>
      <c r="D18" s="24">
        <f>[7]XX!G6/1000000</f>
        <v>139.226668910001</v>
      </c>
      <c r="E18" s="21">
        <f t="shared" si="0"/>
        <v>-9.3324483120235442</v>
      </c>
      <c r="F18" s="21">
        <f t="shared" si="1"/>
        <v>6.4067523867412852</v>
      </c>
      <c r="G18" s="21">
        <f>[7]XX!D6/1000000</f>
        <v>21.460008819999977</v>
      </c>
      <c r="H18" s="24">
        <f>[7]XX!H6/1000000</f>
        <v>16.860284499999981</v>
      </c>
      <c r="I18" s="21">
        <f t="shared" si="3"/>
        <v>-21.433934899939157</v>
      </c>
      <c r="J18" s="21">
        <f t="shared" si="4"/>
        <v>6.8627050203378168</v>
      </c>
      <c r="K18" s="16"/>
    </row>
    <row r="19" spans="1:11">
      <c r="A19" s="14"/>
      <c r="B19" s="9" t="str">
        <f>[7]XX!E7</f>
        <v>Maquinaria y equipo</v>
      </c>
      <c r="C19" s="21">
        <f>[7]XX!C7/1000000</f>
        <v>111.42112502000001</v>
      </c>
      <c r="D19" s="24">
        <f>[7]XX!G7/1000000</f>
        <v>112.47245260999991</v>
      </c>
      <c r="E19" s="21">
        <f t="shared" si="0"/>
        <v>0.94356217441817769</v>
      </c>
      <c r="F19" s="21">
        <f t="shared" si="1"/>
        <v>5.1756115393923761</v>
      </c>
      <c r="G19" s="21">
        <f>[7]XX!D7/1000000</f>
        <v>13.686496279999989</v>
      </c>
      <c r="H19" s="24">
        <f>[7]XX!H7/1000000</f>
        <v>11.453470709999998</v>
      </c>
      <c r="I19" s="21">
        <f t="shared" si="3"/>
        <v>-16.315538500990211</v>
      </c>
      <c r="J19" s="21">
        <f t="shared" si="4"/>
        <v>4.6619492655541617</v>
      </c>
      <c r="K19" s="16"/>
    </row>
    <row r="20" spans="1:11">
      <c r="A20" s="14"/>
      <c r="B20" s="9" t="str">
        <f>[7]XX!E8</f>
        <v>Productos metalúrgicos</v>
      </c>
      <c r="C20" s="21">
        <f>[7]XX!C8/1000000</f>
        <v>71.27351847000007</v>
      </c>
      <c r="D20" s="24">
        <f>[7]XX!G8/1000000</f>
        <v>60.381866589999994</v>
      </c>
      <c r="E20" s="21">
        <f t="shared" si="0"/>
        <v>-15.281484783979771</v>
      </c>
      <c r="F20" s="21">
        <f t="shared" si="1"/>
        <v>2.7785744708253075</v>
      </c>
      <c r="G20" s="21">
        <f>[7]XX!D8/1000000</f>
        <v>13.136901999999994</v>
      </c>
      <c r="H20" s="24">
        <f>[7]XX!H8/1000000</f>
        <v>7.3300359599999991</v>
      </c>
      <c r="I20" s="21">
        <f t="shared" si="3"/>
        <v>-44.202705021320831</v>
      </c>
      <c r="J20" s="21">
        <f t="shared" si="4"/>
        <v>2.9835721088780431</v>
      </c>
      <c r="K20" s="16"/>
    </row>
    <row r="21" spans="1:11">
      <c r="A21" s="14"/>
      <c r="B21" s="9" t="str">
        <f>[7]XX!E9</f>
        <v>Edición</v>
      </c>
      <c r="C21" s="21">
        <f>[7]XX!C9/1000000</f>
        <v>69.721992759999978</v>
      </c>
      <c r="D21" s="24">
        <f>[7]XX!G9/1000000</f>
        <v>58.247743759999963</v>
      </c>
      <c r="E21" s="21">
        <f t="shared" si="0"/>
        <v>-16.457144361173327</v>
      </c>
      <c r="F21" s="21">
        <f t="shared" si="1"/>
        <v>2.6803691726468371</v>
      </c>
      <c r="G21" s="21">
        <f>[7]XX!D9/1000000</f>
        <v>9.5842437099999991</v>
      </c>
      <c r="H21" s="24">
        <f>[7]XX!H9/1000000</f>
        <v>5.2843928499999979</v>
      </c>
      <c r="I21" s="21">
        <f t="shared" si="3"/>
        <v>-44.863747105195451</v>
      </c>
      <c r="J21" s="21">
        <f t="shared" si="4"/>
        <v>2.1509262990866076</v>
      </c>
      <c r="K21" s="16"/>
    </row>
    <row r="22" spans="1:11">
      <c r="A22" s="14"/>
      <c r="B22" s="9" t="str">
        <f>[7]XX!E10</f>
        <v>Aparatos electricos</v>
      </c>
      <c r="C22" s="21">
        <f>[7]XX!C10/1000000</f>
        <v>58.621311399999904</v>
      </c>
      <c r="D22" s="24">
        <f>[7]XX!G10/1000000</f>
        <v>54.943069179999952</v>
      </c>
      <c r="E22" s="21">
        <f t="shared" si="0"/>
        <v>-6.2745819432486467</v>
      </c>
      <c r="F22" s="21">
        <f t="shared" si="1"/>
        <v>2.5282989412854557</v>
      </c>
      <c r="G22" s="21">
        <f>[7]XX!D10/1000000</f>
        <v>7.7448724000000011</v>
      </c>
      <c r="H22" s="24">
        <f>[7]XX!H10/1000000</f>
        <v>6.9544242199999973</v>
      </c>
      <c r="I22" s="21">
        <f t="shared" si="3"/>
        <v>-10.206083963371738</v>
      </c>
      <c r="J22" s="21">
        <f t="shared" si="4"/>
        <v>2.8306854494746481</v>
      </c>
      <c r="K22" s="16"/>
    </row>
    <row r="23" spans="1:11">
      <c r="A23" s="14"/>
      <c r="B23" s="9" t="str">
        <f>[7]XX!E11</f>
        <v>Minerales no metálicos</v>
      </c>
      <c r="C23" s="21">
        <f>[7]XX!C11/1000000</f>
        <v>63.058335249999956</v>
      </c>
      <c r="D23" s="24">
        <f>[7]XX!G11/1000000</f>
        <v>53.292377349999953</v>
      </c>
      <c r="E23" s="21">
        <f t="shared" si="0"/>
        <v>-15.487180023516412</v>
      </c>
      <c r="F23" s="21">
        <f t="shared" si="1"/>
        <v>2.4523395442502292</v>
      </c>
      <c r="G23" s="21">
        <f>[7]XX!D11/1000000</f>
        <v>7.7340312700000045</v>
      </c>
      <c r="H23" s="24">
        <f>[7]XX!H11/1000000</f>
        <v>6.8204878899999999</v>
      </c>
      <c r="I23" s="21">
        <f t="shared" si="3"/>
        <v>-11.811994910643852</v>
      </c>
      <c r="J23" s="21">
        <f t="shared" si="4"/>
        <v>2.7761688412705219</v>
      </c>
      <c r="K23" s="16"/>
    </row>
    <row r="24" spans="1:11">
      <c r="A24" s="14"/>
      <c r="B24" s="9" t="str">
        <f>[7]XX!E12</f>
        <v>Prendas de vestir</v>
      </c>
      <c r="C24" s="21">
        <f>[7]XX!C12/1000000</f>
        <v>63.03399718999998</v>
      </c>
      <c r="D24" s="24">
        <f>[7]XX!G12/1000000</f>
        <v>53.243534679999925</v>
      </c>
      <c r="E24" s="21">
        <f t="shared" si="0"/>
        <v>-15.532035007218713</v>
      </c>
      <c r="F24" s="21">
        <f t="shared" si="1"/>
        <v>2.4500919655711773</v>
      </c>
      <c r="G24" s="21">
        <f>[7]XX!D12/1000000</f>
        <v>6.9099170900000084</v>
      </c>
      <c r="H24" s="24">
        <f>[7]XX!H12/1000000</f>
        <v>6.1043993299999979</v>
      </c>
      <c r="I24" s="21">
        <f t="shared" si="3"/>
        <v>-11.657415704245588</v>
      </c>
      <c r="J24" s="21">
        <f t="shared" si="4"/>
        <v>2.4846966211120485</v>
      </c>
      <c r="K24" s="16"/>
    </row>
    <row r="25" spans="1:11">
      <c r="A25" s="14"/>
      <c r="B25" s="9" t="str">
        <f>[7]XX!E13</f>
        <v>Cueros</v>
      </c>
      <c r="C25" s="21">
        <f>[7]XX!C13/1000000</f>
        <v>57.416298549999972</v>
      </c>
      <c r="D25" s="24">
        <f>[7]XX!G13/1000000</f>
        <v>50.993247499999917</v>
      </c>
      <c r="E25" s="21">
        <f t="shared" si="0"/>
        <v>-11.186807948629173</v>
      </c>
      <c r="F25" s="21">
        <f t="shared" si="1"/>
        <v>2.3465411669045957</v>
      </c>
      <c r="G25" s="21">
        <f>[7]XX!D13/1000000</f>
        <v>8.1558699400000041</v>
      </c>
      <c r="H25" s="24">
        <f>[7]XX!H13/1000000</f>
        <v>6.3903353599999972</v>
      </c>
      <c r="I25" s="21">
        <f t="shared" si="3"/>
        <v>-21.64740969373533</v>
      </c>
      <c r="J25" s="21">
        <f t="shared" si="4"/>
        <v>2.6010822389571366</v>
      </c>
      <c r="K25" s="16"/>
    </row>
    <row r="26" spans="1:11">
      <c r="A26" s="14"/>
      <c r="B26" s="9" t="str">
        <f>[7]XX!E14</f>
        <v>Equipo de radio</v>
      </c>
      <c r="C26" s="21">
        <f>[7]XX!C14/1000000</f>
        <v>37.019284489999983</v>
      </c>
      <c r="D26" s="24">
        <f>[7]XX!G14/1000000</f>
        <v>48.618595780000014</v>
      </c>
      <c r="E26" s="21">
        <f t="shared" si="0"/>
        <v>31.333159054258196</v>
      </c>
      <c r="F26" s="21">
        <f t="shared" si="1"/>
        <v>2.2372675220354274</v>
      </c>
      <c r="G26" s="21">
        <f>[7]XX!D14/1000000</f>
        <v>3.2498435700000008</v>
      </c>
      <c r="H26" s="24">
        <f>[7]XX!H14/1000000</f>
        <v>5.4594147100000008</v>
      </c>
      <c r="I26" s="21">
        <f t="shared" si="3"/>
        <v>67.990076826990148</v>
      </c>
      <c r="J26" s="21">
        <f t="shared" si="4"/>
        <v>2.2221661051106922</v>
      </c>
      <c r="K26" s="16"/>
    </row>
    <row r="27" spans="1:11">
      <c r="A27" s="14"/>
      <c r="B27" s="9" t="str">
        <f>[7]XX!E15</f>
        <v>Productos de metal</v>
      </c>
      <c r="C27" s="21">
        <f>[7]XX!C15/1000000</f>
        <v>48.840813009999898</v>
      </c>
      <c r="D27" s="24">
        <f>[7]XX!G15/1000000</f>
        <v>45.008938950000108</v>
      </c>
      <c r="E27" s="21">
        <f t="shared" si="0"/>
        <v>-7.8456393819964383</v>
      </c>
      <c r="F27" s="21">
        <f t="shared" si="1"/>
        <v>2.0711630128061786</v>
      </c>
      <c r="G27" s="21">
        <f>[7]XX!D15/1000000</f>
        <v>6.1703084000000006</v>
      </c>
      <c r="H27" s="24">
        <f>[7]XX!H15/1000000</f>
        <v>5.7904464800000026</v>
      </c>
      <c r="I27" s="21">
        <f t="shared" si="3"/>
        <v>-6.1562874231699372</v>
      </c>
      <c r="J27" s="21">
        <f t="shared" si="4"/>
        <v>2.3569072116365239</v>
      </c>
      <c r="K27" s="16"/>
    </row>
    <row r="28" spans="1:11">
      <c r="A28" s="14"/>
      <c r="B28" s="9" t="str">
        <f>[7]XX!E16</f>
        <v>Refinación del petroleo</v>
      </c>
      <c r="C28" s="21">
        <f>[7]XX!C16/1000000</f>
        <v>52.796363730000017</v>
      </c>
      <c r="D28" s="24">
        <f>[7]XX!G16/1000000</f>
        <v>43.690978780000002</v>
      </c>
      <c r="E28" s="21">
        <f t="shared" si="0"/>
        <v>-17.246234980433208</v>
      </c>
      <c r="F28" s="21">
        <f t="shared" si="1"/>
        <v>2.0105148300199023</v>
      </c>
      <c r="G28" s="21">
        <f>[7]XX!D16/1000000</f>
        <v>6.188054049999999</v>
      </c>
      <c r="H28" s="24">
        <f>[7]XX!H16/1000000</f>
        <v>4.2818686100000001</v>
      </c>
      <c r="I28" s="21">
        <f t="shared" si="3"/>
        <v>-30.804279093198929</v>
      </c>
      <c r="J28" s="21">
        <f t="shared" si="4"/>
        <v>1.7428650866641038</v>
      </c>
      <c r="K28" s="16"/>
    </row>
    <row r="29" spans="1:11">
      <c r="A29" s="14"/>
      <c r="B29" s="9" t="str">
        <f>[7]XX!E17</f>
        <v>Muebles industrias</v>
      </c>
      <c r="C29" s="21">
        <f>[7]XX!C17/1000000</f>
        <v>46.98722372999999</v>
      </c>
      <c r="D29" s="24">
        <f>[7]XX!G17/1000000</f>
        <v>43.465758629999947</v>
      </c>
      <c r="E29" s="21">
        <f t="shared" si="0"/>
        <v>-7.4945162119712361</v>
      </c>
      <c r="F29" s="21">
        <f t="shared" si="1"/>
        <v>2.000150941083596</v>
      </c>
      <c r="G29" s="21">
        <f>[7]XX!D17/1000000</f>
        <v>6.6032062899999984</v>
      </c>
      <c r="H29" s="24">
        <f>[7]XX!H17/1000000</f>
        <v>5.0485253999999973</v>
      </c>
      <c r="I29" s="21">
        <f t="shared" si="3"/>
        <v>-23.54433318787018</v>
      </c>
      <c r="J29" s="21">
        <f t="shared" si="4"/>
        <v>2.0549202836928999</v>
      </c>
      <c r="K29" s="16"/>
    </row>
    <row r="30" spans="1:11">
      <c r="A30" s="14"/>
      <c r="B30" s="9" t="str">
        <f>[7]XX!E18</f>
        <v>Vehículos automotores</v>
      </c>
      <c r="C30" s="21">
        <f>[7]XX!C18/1000000</f>
        <v>67.163840739999955</v>
      </c>
      <c r="D30" s="24">
        <f>[7]XX!G18/1000000</f>
        <v>41.401432839999927</v>
      </c>
      <c r="E30" s="21">
        <f t="shared" si="0"/>
        <v>-38.357556113757241</v>
      </c>
      <c r="F30" s="21">
        <f t="shared" si="1"/>
        <v>1.9051574726221512</v>
      </c>
      <c r="G30" s="21">
        <f>[7]XX!D18/1000000</f>
        <v>6.3889748300000022</v>
      </c>
      <c r="H30" s="24">
        <f>[7]XX!H18/1000000</f>
        <v>5.4621243700000024</v>
      </c>
      <c r="I30" s="21">
        <f t="shared" si="3"/>
        <v>-14.507029447790131</v>
      </c>
      <c r="J30" s="21">
        <f t="shared" si="4"/>
        <v>2.2232690282129339</v>
      </c>
      <c r="K30" s="16"/>
    </row>
    <row r="31" spans="1:11">
      <c r="A31" s="14"/>
      <c r="B31" s="9" t="str">
        <f>[7]XX!E19</f>
        <v>Instrumentos médicos</v>
      </c>
      <c r="C31" s="21">
        <f>[7]XX!C19/1000000</f>
        <v>24.844178269999976</v>
      </c>
      <c r="D31" s="24">
        <f>[7]XX!G19/1000000</f>
        <v>36.174382810000054</v>
      </c>
      <c r="E31" s="21">
        <f t="shared" si="0"/>
        <v>45.605068587362418</v>
      </c>
      <c r="F31" s="21">
        <f t="shared" si="1"/>
        <v>1.6646258595519183</v>
      </c>
      <c r="G31" s="21">
        <f>[7]XX!D19/1000000</f>
        <v>2.0292380400000001</v>
      </c>
      <c r="H31" s="24">
        <f>[7]XX!H19/1000000</f>
        <v>2.2578664700000011</v>
      </c>
      <c r="I31" s="21">
        <f t="shared" si="3"/>
        <v>11.266713194475741</v>
      </c>
      <c r="J31" s="21">
        <f t="shared" si="4"/>
        <v>0.91902788229471755</v>
      </c>
      <c r="K31" s="16"/>
    </row>
    <row r="32" spans="1:11">
      <c r="A32" s="14"/>
      <c r="B32" s="9" t="str">
        <f>[7]XX!E20</f>
        <v>Equipos de transporte</v>
      </c>
      <c r="C32" s="21">
        <f>[7]XX!C20/1000000</f>
        <v>15.049985670000003</v>
      </c>
      <c r="D32" s="24">
        <f>[7]XX!G20/1000000</f>
        <v>21.883904830000002</v>
      </c>
      <c r="E32" s="21">
        <f t="shared" si="0"/>
        <v>45.408143966691213</v>
      </c>
      <c r="F32" s="21">
        <f t="shared" si="1"/>
        <v>1.0070251669344534</v>
      </c>
      <c r="G32" s="21">
        <f>[7]XX!D20/1000000</f>
        <v>3.2706944499999997</v>
      </c>
      <c r="H32" s="24">
        <f>[7]XX!H20/1000000</f>
        <v>0.31666067999999997</v>
      </c>
      <c r="I32" s="21">
        <f t="shared" si="3"/>
        <v>-90.318243270935938</v>
      </c>
      <c r="J32" s="21">
        <f t="shared" si="4"/>
        <v>0.1288915877059838</v>
      </c>
      <c r="K32" s="16"/>
    </row>
    <row r="33" spans="1:11">
      <c r="A33" s="14"/>
      <c r="B33" s="9" t="str">
        <f>[7]XX!E21</f>
        <v>Papel</v>
      </c>
      <c r="C33" s="21">
        <f>[7]XX!C21/1000000</f>
        <v>18.195251090000014</v>
      </c>
      <c r="D33" s="24">
        <f>[7]XX!G21/1000000</f>
        <v>14.765793929999983</v>
      </c>
      <c r="E33" s="21">
        <f t="shared" si="0"/>
        <v>-18.848089224142871</v>
      </c>
      <c r="F33" s="21">
        <f t="shared" si="1"/>
        <v>0.67947316590838835</v>
      </c>
      <c r="G33" s="21">
        <f>[7]XX!D21/1000000</f>
        <v>2.4640001000000034</v>
      </c>
      <c r="H33" s="24">
        <f>[7]XX!H21/1000000</f>
        <v>1.5510931799999996</v>
      </c>
      <c r="I33" s="21">
        <f t="shared" si="3"/>
        <v>-37.04979232752477</v>
      </c>
      <c r="J33" s="21">
        <f t="shared" si="4"/>
        <v>0.63134729152392177</v>
      </c>
      <c r="K33" s="16"/>
    </row>
    <row r="34" spans="1:11">
      <c r="A34" s="14"/>
      <c r="B34" s="9" t="str">
        <f>[7]XX!E22</f>
        <v>Carbón</v>
      </c>
      <c r="C34" s="21">
        <f>[7]XX!C22/1000000</f>
        <v>31.992921790000004</v>
      </c>
      <c r="D34" s="24">
        <f>[7]XX!G22/1000000</f>
        <v>14.62191529</v>
      </c>
      <c r="E34" s="21">
        <f t="shared" si="0"/>
        <v>-54.296405354979612</v>
      </c>
      <c r="F34" s="21">
        <f t="shared" si="1"/>
        <v>0.67285234514583148</v>
      </c>
      <c r="G34" s="21">
        <f>[7]XX!D22/1000000</f>
        <v>0.19292658000000001</v>
      </c>
      <c r="H34" s="24">
        <f>[7]XX!H22/1000000</f>
        <v>0.122087</v>
      </c>
      <c r="I34" s="21">
        <f t="shared" si="3"/>
        <v>-36.718413813171836</v>
      </c>
      <c r="J34" s="21">
        <f t="shared" si="4"/>
        <v>4.969353084273187E-2</v>
      </c>
      <c r="K34" s="16"/>
    </row>
    <row r="35" spans="1:11">
      <c r="A35" s="14"/>
      <c r="B35" s="9" t="str">
        <f>[7]XX!E23</f>
        <v>Pesca</v>
      </c>
      <c r="C35" s="21">
        <f>[7]XX!C23/1000000</f>
        <v>6.0352948799999924</v>
      </c>
      <c r="D35" s="24">
        <f>[7]XX!G23/1000000</f>
        <v>7.7938772199999988</v>
      </c>
      <c r="E35" s="21">
        <f t="shared" si="0"/>
        <v>29.138300198515044</v>
      </c>
      <c r="F35" s="21">
        <f t="shared" si="1"/>
        <v>0.35864853962340743</v>
      </c>
      <c r="G35" s="21">
        <f>[7]XX!D23/1000000</f>
        <v>0.68659439000000022</v>
      </c>
      <c r="H35" s="24">
        <f>[7]XX!H23/1000000</f>
        <v>0.89855631000000036</v>
      </c>
      <c r="I35" s="21">
        <f t="shared" si="3"/>
        <v>30.871490225837704</v>
      </c>
      <c r="J35" s="21">
        <f t="shared" si="4"/>
        <v>0.36574275479712298</v>
      </c>
      <c r="K35" s="16"/>
    </row>
    <row r="36" spans="1:11">
      <c r="A36" s="14"/>
      <c r="B36" s="9" t="str">
        <f>[7]XX!E24</f>
        <v>Maquinaria de oficina</v>
      </c>
      <c r="C36" s="21">
        <f>[7]XX!C24/1000000</f>
        <v>4.6770760499999993</v>
      </c>
      <c r="D36" s="24">
        <f>[7]XX!G24/1000000</f>
        <v>7.6707092199999929</v>
      </c>
      <c r="E36" s="21">
        <f t="shared" si="0"/>
        <v>64.006510435082504</v>
      </c>
      <c r="F36" s="21">
        <f t="shared" si="1"/>
        <v>0.35298075424760211</v>
      </c>
      <c r="G36" s="21">
        <f>[7]XX!D24/1000000</f>
        <v>0.60207873999999995</v>
      </c>
      <c r="H36" s="24">
        <f>[7]XX!H24/1000000</f>
        <v>1.1347998200000005</v>
      </c>
      <c r="I36" s="21">
        <f t="shared" si="3"/>
        <v>88.480300765976324</v>
      </c>
      <c r="J36" s="21">
        <f t="shared" si="4"/>
        <v>0.46190183930718742</v>
      </c>
      <c r="K36" s="16"/>
    </row>
    <row r="37" spans="1:11">
      <c r="A37" s="14"/>
      <c r="B37" s="9" t="str">
        <f>[7]XX!E25</f>
        <v>Sin información</v>
      </c>
      <c r="C37" s="21">
        <f>[7]XX!C25/1000000</f>
        <v>4.9239071299999999</v>
      </c>
      <c r="D37" s="24">
        <f>[7]XX!G25/1000000</f>
        <v>5.40452245</v>
      </c>
      <c r="E37" s="21">
        <f t="shared" si="0"/>
        <v>9.7608526584862751</v>
      </c>
      <c r="F37" s="21">
        <f t="shared" si="1"/>
        <v>0.24869830885716984</v>
      </c>
      <c r="G37" s="21">
        <f>[7]XX!D25/1000000</f>
        <v>1.2787450300000001</v>
      </c>
      <c r="H37" s="24">
        <f>[7]XX!H25/1000000</f>
        <v>1.089037</v>
      </c>
      <c r="I37" s="21">
        <f t="shared" si="3"/>
        <v>-14.835485225698196</v>
      </c>
      <c r="J37" s="21">
        <f t="shared" si="4"/>
        <v>0.44327482654480976</v>
      </c>
      <c r="K37" s="16"/>
    </row>
    <row r="38" spans="1:11">
      <c r="A38" s="14"/>
      <c r="B38" s="9" t="str">
        <f>[7]XX!E26</f>
        <v>Madera</v>
      </c>
      <c r="C38" s="21">
        <f>[7]XX!C26/1000000</f>
        <v>5.1194359899999995</v>
      </c>
      <c r="D38" s="24">
        <f>[7]XX!G26/1000000</f>
        <v>4.3248672300000024</v>
      </c>
      <c r="E38" s="21">
        <f t="shared" si="0"/>
        <v>-15.520630818552284</v>
      </c>
      <c r="F38" s="21">
        <f t="shared" si="1"/>
        <v>0.1990161343733142</v>
      </c>
      <c r="G38" s="21">
        <f>[7]XX!D26/1000000</f>
        <v>2.0628999200000004</v>
      </c>
      <c r="H38" s="24">
        <f>[7]XX!H26/1000000</f>
        <v>0.22066388000000006</v>
      </c>
      <c r="I38" s="21">
        <f t="shared" si="3"/>
        <v>-89.30321932437711</v>
      </c>
      <c r="J38" s="21">
        <f t="shared" si="4"/>
        <v>8.9817649108069553E-2</v>
      </c>
      <c r="K38" s="16"/>
    </row>
    <row r="39" spans="1:11">
      <c r="A39" s="14"/>
      <c r="B39" s="9" t="str">
        <f>[7]XX!E27</f>
        <v>Reciclaje</v>
      </c>
      <c r="C39" s="21">
        <f>[7]XX!C27/1000000</f>
        <v>4.6337438500000019</v>
      </c>
      <c r="D39" s="24">
        <f>[7]XX!G27/1000000</f>
        <v>3.6960326899999987</v>
      </c>
      <c r="E39" s="21">
        <f t="shared" si="0"/>
        <v>-20.236577384397346</v>
      </c>
      <c r="F39" s="21">
        <f t="shared" si="1"/>
        <v>0.1700792415958631</v>
      </c>
      <c r="G39" s="21">
        <f>[7]XX!D27/1000000</f>
        <v>0.90267382000000007</v>
      </c>
      <c r="H39" s="24">
        <f>[7]XX!H27/1000000</f>
        <v>0.37504633999999998</v>
      </c>
      <c r="I39" s="21">
        <f t="shared" si="3"/>
        <v>-58.451620985307848</v>
      </c>
      <c r="J39" s="21">
        <f t="shared" si="4"/>
        <v>0.15265652251463055</v>
      </c>
      <c r="K39" s="16"/>
    </row>
    <row r="40" spans="1:11">
      <c r="A40" s="14"/>
      <c r="B40" s="9" t="str">
        <f>[7]XX!E28</f>
        <v>Explot. minerales no metalicos</v>
      </c>
      <c r="C40" s="21">
        <f>[7]XX!C28/1000000</f>
        <v>1.6629771500000001</v>
      </c>
      <c r="D40" s="24">
        <f>[7]XX!G28/1000000</f>
        <v>1.3927884500000003</v>
      </c>
      <c r="E40" s="21">
        <f t="shared" si="0"/>
        <v>-16.247288785657688</v>
      </c>
      <c r="F40" s="21">
        <f t="shared" si="1"/>
        <v>6.4091533584211297E-2</v>
      </c>
      <c r="G40" s="21">
        <f>[7]XX!D28/1000000</f>
        <v>9.5427089999999992E-2</v>
      </c>
      <c r="H40" s="24">
        <f>[7]XX!H28/1000000</f>
        <v>0.10558680000000001</v>
      </c>
      <c r="I40" s="21">
        <f t="shared" si="3"/>
        <v>10.646567971421961</v>
      </c>
      <c r="J40" s="21">
        <f t="shared" si="4"/>
        <v>4.2977392370894214E-2</v>
      </c>
      <c r="K40" s="16"/>
    </row>
    <row r="41" spans="1:11">
      <c r="A41" s="14"/>
      <c r="B41" s="9" t="str">
        <f>[7]XX!E29</f>
        <v>Silvicultura</v>
      </c>
      <c r="C41" s="21">
        <f>[7]XX!C29/1000000</f>
        <v>0.40464228000000013</v>
      </c>
      <c r="D41" s="24">
        <f>[7]XX!G29/1000000</f>
        <v>1.2744146700000003</v>
      </c>
      <c r="E41" s="21">
        <f t="shared" si="0"/>
        <v>214.94847004124233</v>
      </c>
      <c r="F41" s="21">
        <f t="shared" si="1"/>
        <v>5.864436241018265E-2</v>
      </c>
      <c r="G41" s="21">
        <f>[7]XX!D29/1000000</f>
        <v>2.4970309999999999E-2</v>
      </c>
      <c r="H41" s="24">
        <f>[7]XX!H29/1000000</f>
        <v>9.3398050000000024E-2</v>
      </c>
      <c r="I41" s="21">
        <f t="shared" si="3"/>
        <v>274.03640563533264</v>
      </c>
      <c r="J41" s="21">
        <f t="shared" si="4"/>
        <v>3.8016159610163358E-2</v>
      </c>
      <c r="K41" s="16"/>
    </row>
    <row r="42" spans="1:11">
      <c r="A42" s="14"/>
      <c r="B42" s="9" t="str">
        <f>[7]XX!E30</f>
        <v>Esparcimiento</v>
      </c>
      <c r="C42" s="21">
        <f>[7]XX!C30/1000000</f>
        <v>0.63731782999999997</v>
      </c>
      <c r="D42" s="24">
        <f>[7]XX!G30/1000000</f>
        <v>0.68326286000000003</v>
      </c>
      <c r="E42" s="21">
        <f t="shared" si="0"/>
        <v>7.2091235859508274</v>
      </c>
      <c r="F42" s="21">
        <f t="shared" si="1"/>
        <v>3.1441504658179971E-2</v>
      </c>
      <c r="G42" s="21">
        <f>[7]XX!D30/1000000</f>
        <v>4.8710000000000003E-2</v>
      </c>
      <c r="H42" s="24">
        <f>[7]XX!H30/1000000</f>
        <v>4.4074479999999999E-2</v>
      </c>
      <c r="I42" s="21">
        <f t="shared" si="3"/>
        <v>-9.5165674399507409</v>
      </c>
      <c r="J42" s="21">
        <f t="shared" si="4"/>
        <v>1.7939801381452312E-2</v>
      </c>
      <c r="K42" s="16"/>
    </row>
    <row r="43" spans="1:11">
      <c r="A43" s="14"/>
      <c r="B43" s="9" t="str">
        <f>[7]XX!E31</f>
        <v>Minerales metaliferos</v>
      </c>
      <c r="C43" s="21">
        <f>[7]XX!C31/1000000</f>
        <v>1.1737349500000001</v>
      </c>
      <c r="D43" s="24">
        <f>[7]XX!G31/1000000</f>
        <v>0.27071921000000004</v>
      </c>
      <c r="E43" s="21">
        <f t="shared" si="0"/>
        <v>-76.935234824523206</v>
      </c>
      <c r="F43" s="21">
        <f t="shared" si="1"/>
        <v>1.2457605704302151E-2</v>
      </c>
      <c r="G43" s="21">
        <f>[7]XX!D31/1000000</f>
        <v>0.19431000000000001</v>
      </c>
      <c r="H43" s="24">
        <f>[7]XX!H31/1000000</f>
        <v>1.72E-3</v>
      </c>
      <c r="I43" s="21">
        <f t="shared" si="3"/>
        <v>-99.11481653028666</v>
      </c>
      <c r="J43" s="21">
        <f t="shared" si="4"/>
        <v>7.0009806981495819E-4</v>
      </c>
      <c r="K43" s="16"/>
    </row>
    <row r="44" spans="1:11">
      <c r="A44" s="14"/>
      <c r="B44" s="9" t="str">
        <f>[7]XX!E32</f>
        <v>Tabaco</v>
      </c>
      <c r="C44" s="21">
        <f>[7]XX!C32/1000000</f>
        <v>2.7085999999999999E-2</v>
      </c>
      <c r="D44" s="24">
        <f>[7]XX!G32/1000000</f>
        <v>3.485485E-2</v>
      </c>
      <c r="E44" s="21">
        <f t="shared" si="0"/>
        <v>28.682160525732847</v>
      </c>
      <c r="F44" s="21">
        <f t="shared" si="1"/>
        <v>1.6039053090565526E-3</v>
      </c>
      <c r="G44" s="21">
        <f>[7]XX!D32/1000000</f>
        <v>2.7E-4</v>
      </c>
      <c r="H44" s="24">
        <f>[7]XX!H32/1000000</f>
        <v>2.0906599999999997E-2</v>
      </c>
      <c r="I44" s="21">
        <f t="shared" si="3"/>
        <v>7643.1851851851843</v>
      </c>
      <c r="J44" s="21">
        <f t="shared" si="4"/>
        <v>8.5096920386008162E-3</v>
      </c>
      <c r="K44" s="16"/>
    </row>
    <row r="45" spans="1:11">
      <c r="A45" s="14"/>
      <c r="B45" s="9" t="str">
        <f>[7]XX!E33</f>
        <v>Electricidad, gas y agua</v>
      </c>
      <c r="C45" s="21">
        <f>[7]XX!C33/1000000</f>
        <v>0</v>
      </c>
      <c r="D45" s="24">
        <f>[7]XX!G33/1000000</f>
        <v>2.5857900000000003E-2</v>
      </c>
      <c r="E45" s="21" t="str">
        <f t="shared" si="0"/>
        <v/>
      </c>
      <c r="F45" s="21">
        <f t="shared" si="1"/>
        <v>1.1898953256448796E-3</v>
      </c>
      <c r="G45" s="21">
        <f>[7]XX!D33/1000000</f>
        <v>0</v>
      </c>
      <c r="H45" s="24">
        <f>[7]XX!H33/1000000</f>
        <v>2.5857900000000003E-2</v>
      </c>
      <c r="I45" s="21" t="str">
        <f t="shared" si="3"/>
        <v/>
      </c>
      <c r="J45" s="21">
        <f t="shared" si="4"/>
        <v>1.0525038302016402E-2</v>
      </c>
      <c r="K45" s="16"/>
    </row>
    <row r="46" spans="1:11">
      <c r="A46" s="14"/>
      <c r="B46" s="9" t="str">
        <f>[7]XX!E34</f>
        <v>Comercio al por mayor</v>
      </c>
      <c r="C46" s="21">
        <f>[7]XX!C34/1000000</f>
        <v>5.7150429999999995E-2</v>
      </c>
      <c r="D46" s="24">
        <f>[7]XX!G34/1000000</f>
        <v>1.632602E-2</v>
      </c>
      <c r="E46" s="21">
        <f t="shared" si="0"/>
        <v>-71.433250808436611</v>
      </c>
      <c r="F46" s="21">
        <f t="shared" si="1"/>
        <v>7.5126962686006271E-4</v>
      </c>
      <c r="G46" s="21">
        <f>[7]XX!D34/1000000</f>
        <v>0</v>
      </c>
      <c r="H46" s="24">
        <f>[7]XX!H34/1000000</f>
        <v>0</v>
      </c>
      <c r="I46" s="21" t="str">
        <f t="shared" si="3"/>
        <v/>
      </c>
      <c r="J46" s="21">
        <f t="shared" si="4"/>
        <v>0</v>
      </c>
      <c r="K46" s="16"/>
    </row>
    <row r="47" spans="1:11">
      <c r="A47" s="14"/>
      <c r="B47" s="9" t="str">
        <f>[7]XX!E35</f>
        <v>Telecomunicaciones</v>
      </c>
      <c r="C47" s="21">
        <f>[7]XX!C35/1000000</f>
        <v>4.272216999999999E-2</v>
      </c>
      <c r="D47" s="24">
        <f>[7]XX!G35/1000000</f>
        <v>1.46009E-2</v>
      </c>
      <c r="E47" s="21">
        <f t="shared" si="0"/>
        <v>-65.823599316233228</v>
      </c>
      <c r="F47" s="21">
        <f t="shared" si="1"/>
        <v>6.7188529077026062E-4</v>
      </c>
      <c r="G47" s="21">
        <f>[7]XX!D35/1000000</f>
        <v>2.6682000000000004E-2</v>
      </c>
      <c r="H47" s="24">
        <f>[7]XX!H35/1000000</f>
        <v>1.53243E-3</v>
      </c>
      <c r="I47" s="21">
        <f t="shared" si="3"/>
        <v>-94.256689903305599</v>
      </c>
      <c r="J47" s="21">
        <f t="shared" si="4"/>
        <v>6.2375074716659103E-4</v>
      </c>
      <c r="K47" s="16"/>
    </row>
    <row r="48" spans="1:11" s="147" customFormat="1">
      <c r="A48" s="104"/>
      <c r="B48" s="128" t="str">
        <f>[7]XX!E36</f>
        <v>Activ. empresariales</v>
      </c>
      <c r="C48" s="21">
        <f>[7]XX!C36/1000000</f>
        <v>7.4686229999999992E-2</v>
      </c>
      <c r="D48" s="24">
        <f>[7]XX!G36/1000000</f>
        <v>5.1450000000000003E-3</v>
      </c>
      <c r="E48" s="21">
        <f t="shared" ref="E48" si="5">IF(OR(OR(D48=0,C48=0),D48=""),"",(D48/C48-1)*100)</f>
        <v>-93.111179932365047</v>
      </c>
      <c r="F48" s="21">
        <f t="shared" ref="F48" si="6">(D48/D$13)*100</f>
        <v>2.3675594114150433E-4</v>
      </c>
      <c r="G48" s="21">
        <f>[7]XX!D36/1000000</f>
        <v>7.3541600000000013E-2</v>
      </c>
      <c r="H48" s="24">
        <f>[7]XX!H36/1000000</f>
        <v>0</v>
      </c>
      <c r="I48" s="21" t="str">
        <f t="shared" ref="I48" si="7">IF(OR(OR(H48=0,G48=0),H48=""),"",(H48/G48-1)*100)</f>
        <v/>
      </c>
      <c r="J48" s="21">
        <f t="shared" ref="J48" si="8">(H48/H$13)*100</f>
        <v>0</v>
      </c>
      <c r="K48" s="10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7" t="s">
        <v>107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 t="str">
        <f>+B14</f>
        <v>Agricultura</v>
      </c>
      <c r="D51" s="82">
        <f>F14</f>
        <v>23.05167553702087</v>
      </c>
      <c r="E51" s="20"/>
    </row>
    <row r="52" spans="1:11">
      <c r="B52" s="20"/>
      <c r="C52" s="20" t="str">
        <f t="shared" ref="C52:C54" si="9">+B15</f>
        <v>Productos quimicos</v>
      </c>
      <c r="D52" s="82">
        <f>F15</f>
        <v>15.804809749344381</v>
      </c>
      <c r="E52" s="20"/>
    </row>
    <row r="53" spans="1:11">
      <c r="C53" s="20" t="str">
        <f t="shared" si="9"/>
        <v>Alimentos y bebidas</v>
      </c>
      <c r="D53" s="82">
        <f>F16</f>
        <v>11.103722520921176</v>
      </c>
    </row>
    <row r="54" spans="1:11">
      <c r="C54" s="20" t="str">
        <f t="shared" si="9"/>
        <v>Caucho y de plastico</v>
      </c>
      <c r="D54" s="82">
        <f>F17</f>
        <v>7.472470992440325</v>
      </c>
    </row>
    <row r="55" spans="1:11">
      <c r="C55" s="20" t="str">
        <f>+B18</f>
        <v>Textiles</v>
      </c>
      <c r="D55" s="82">
        <f>F18</f>
        <v>6.4067523867412852</v>
      </c>
    </row>
    <row r="56" spans="1:11">
      <c r="C56" s="20" t="str">
        <f t="shared" ref="C56:C58" si="10">+B39</f>
        <v>Reciclaje</v>
      </c>
      <c r="D56" s="82">
        <f>F39</f>
        <v>0.1700792415958631</v>
      </c>
    </row>
    <row r="57" spans="1:11">
      <c r="C57" s="20" t="str">
        <f t="shared" si="10"/>
        <v>Explot. minerales no metalicos</v>
      </c>
      <c r="D57" s="82">
        <f>F40</f>
        <v>6.4091533584211297E-2</v>
      </c>
    </row>
    <row r="58" spans="1:11">
      <c r="C58" s="20" t="str">
        <f t="shared" si="10"/>
        <v>Silvicultura</v>
      </c>
      <c r="D58" s="82">
        <f>F41</f>
        <v>5.864436241018265E-2</v>
      </c>
    </row>
    <row r="59" spans="1:11">
      <c r="C59" s="20" t="s">
        <v>51</v>
      </c>
      <c r="D59" s="82">
        <f>SUM(D42:D47)</f>
        <v>1.0456217400000001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77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totales'!$C$11</f>
        <v>2012</v>
      </c>
      <c r="D11" s="94">
        <f>+'Resumen exportaciones totales'!$D$11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f>+'Resumen exportaciones totales'!C13</f>
        <v>2237.6361567400195</v>
      </c>
      <c r="D13" s="24">
        <f>+'Resumen exportaciones totales'!D13</f>
        <v>2173.1239246600089</v>
      </c>
      <c r="E13" s="24">
        <f>IF(OR(OR(D13=0,C13=0),D13=""),"",(D13/C13-1)*100)</f>
        <v>-2.8830528093538477</v>
      </c>
      <c r="F13" s="22">
        <f>(D13/D$13)*100</f>
        <v>100</v>
      </c>
      <c r="G13" s="24">
        <f>+'Resumen exportaciones totales'!G13</f>
        <v>271.30448030000099</v>
      </c>
      <c r="H13" s="24">
        <f>+'Resumen exportaciones totales'!H13</f>
        <v>245.67986602999923</v>
      </c>
      <c r="I13" s="24">
        <f>IF(OR(OR(H13=0,G13=0),H13=""),"",(H13/G13-1)*100)</f>
        <v>-9.4449653915286476</v>
      </c>
      <c r="J13" s="22">
        <f>(H13/H$13)*100</f>
        <v>100</v>
      </c>
      <c r="K13" s="16"/>
    </row>
    <row r="14" spans="1:14">
      <c r="A14" s="14"/>
      <c r="B14" s="9" t="str">
        <f>+[21]XX!J2</f>
        <v>Rosas frescas</v>
      </c>
      <c r="C14" s="21">
        <f>+[21]XX!C2/1000000</f>
        <v>166.98630652000017</v>
      </c>
      <c r="D14" s="24">
        <f>+[21]XX!F2/1000000</f>
        <v>182.64289252999967</v>
      </c>
      <c r="E14" s="21">
        <f t="shared" ref="E14:E34" si="0">IF(OR(OR(D14=0,C14=0),D14=""),"",(D14/C14-1)*100)</f>
        <v>9.3759700039381944</v>
      </c>
      <c r="F14" s="21">
        <f t="shared" ref="F14:F34" si="1">(D14/D$13)*100</f>
        <v>8.4046238899410515</v>
      </c>
      <c r="G14" s="21">
        <f>+[21]XX!D2/1000000</f>
        <v>15.524026409999991</v>
      </c>
      <c r="H14" s="24">
        <f>+[21]XX!G2/1000000</f>
        <v>16.64580437</v>
      </c>
      <c r="I14" s="21">
        <f t="shared" ref="I14:I34" si="2">IF(OR(OR(H14=0,G14=0),H14=""),"",(H14/G14-1)*100)</f>
        <v>7.2260760860172413</v>
      </c>
      <c r="J14" s="21">
        <f>(H14/H$13)*100</f>
        <v>6.7754043662525572</v>
      </c>
      <c r="K14" s="16"/>
    </row>
    <row r="15" spans="1:14">
      <c r="A15" s="14"/>
      <c r="B15" s="128" t="str">
        <f>+[21]XX!J3</f>
        <v>Capullos frescos</v>
      </c>
      <c r="C15" s="21">
        <f>+[21]XX!C3/1000000</f>
        <v>183.82058799000006</v>
      </c>
      <c r="D15" s="24">
        <f>+[21]XX!F3/1000000</f>
        <v>169.88578278999984</v>
      </c>
      <c r="E15" s="21">
        <f t="shared" si="0"/>
        <v>-7.5806553294010204</v>
      </c>
      <c r="F15" s="21">
        <f t="shared" si="1"/>
        <v>7.8175837494669764</v>
      </c>
      <c r="G15" s="21">
        <f>+[21]XX!D3/1000000</f>
        <v>12.073816799999987</v>
      </c>
      <c r="H15" s="24">
        <f>+[21]XX!G3/1000000</f>
        <v>12.80840707999999</v>
      </c>
      <c r="I15" s="21">
        <f t="shared" si="2"/>
        <v>6.0841595675031668</v>
      </c>
      <c r="J15" s="21">
        <f t="shared" ref="J15:J34" si="3">(H15/H$13)*100</f>
        <v>5.2134541128559526</v>
      </c>
      <c r="K15" s="16"/>
    </row>
    <row r="16" spans="1:14">
      <c r="A16" s="14"/>
      <c r="B16" s="128" t="str">
        <f>+[21]XX!J4</f>
        <v>Cafés sin tostar</v>
      </c>
      <c r="C16" s="21">
        <f>+[21]XX!C4/1000000</f>
        <v>101.07061009999998</v>
      </c>
      <c r="D16" s="24">
        <f>+[21]XX!F4/1000000</f>
        <v>103.91329231999994</v>
      </c>
      <c r="E16" s="21">
        <f t="shared" si="0"/>
        <v>2.8125705555624769</v>
      </c>
      <c r="F16" s="21">
        <f t="shared" si="1"/>
        <v>4.7817471954001638</v>
      </c>
      <c r="G16" s="21">
        <f>+[21]XX!D4/1000000</f>
        <v>9.5159692699999994</v>
      </c>
      <c r="H16" s="24">
        <f>+[21]XX!G4/1000000</f>
        <v>17.094241969999995</v>
      </c>
      <c r="I16" s="21">
        <f t="shared" si="2"/>
        <v>79.637422998950029</v>
      </c>
      <c r="J16" s="21">
        <f t="shared" si="3"/>
        <v>6.9579336093877009</v>
      </c>
      <c r="K16" s="16"/>
    </row>
    <row r="17" spans="1:11">
      <c r="A17" s="14"/>
      <c r="B17" s="128" t="str">
        <f>+[21]XX!J5</f>
        <v>Medicamentos</v>
      </c>
      <c r="C17" s="21">
        <f>+[21]XX!C5/1000000</f>
        <v>75.663403680000059</v>
      </c>
      <c r="D17" s="24">
        <f>+[21]XX!F5/1000000</f>
        <v>95.76149832999981</v>
      </c>
      <c r="E17" s="21">
        <f t="shared" si="0"/>
        <v>26.562504027706368</v>
      </c>
      <c r="F17" s="21">
        <f t="shared" si="1"/>
        <v>4.4066285057803114</v>
      </c>
      <c r="G17" s="21">
        <f>+[21]XX!D5/1000000</f>
        <v>12.339570959999994</v>
      </c>
      <c r="H17" s="24">
        <f>+[21]XX!G5/1000000</f>
        <v>12.463086939999998</v>
      </c>
      <c r="I17" s="21">
        <f t="shared" si="2"/>
        <v>1.0009746724614077</v>
      </c>
      <c r="J17" s="21">
        <f t="shared" si="3"/>
        <v>5.0728971573430313</v>
      </c>
      <c r="K17" s="16"/>
    </row>
    <row r="18" spans="1:11">
      <c r="A18" s="14"/>
      <c r="B18" s="128" t="str">
        <f>+[21]XX!J6</f>
        <v>Claveles</v>
      </c>
      <c r="C18" s="21">
        <f>+[21]XX!C6/1000000</f>
        <v>49.134418839999924</v>
      </c>
      <c r="D18" s="24">
        <f>+[21]XX!F6/1000000</f>
        <v>49.978072249999911</v>
      </c>
      <c r="E18" s="21">
        <f t="shared" si="0"/>
        <v>1.7170314209825843</v>
      </c>
      <c r="F18" s="21">
        <f t="shared" si="1"/>
        <v>2.2998261481023965</v>
      </c>
      <c r="G18" s="21">
        <f>+[21]XX!D6/1000000</f>
        <v>6.3603141000000019</v>
      </c>
      <c r="H18" s="24">
        <f>+[21]XX!G6/1000000</f>
        <v>5.130384260000004</v>
      </c>
      <c r="I18" s="21">
        <f t="shared" si="2"/>
        <v>-19.337564476571956</v>
      </c>
      <c r="J18" s="21">
        <f t="shared" si="3"/>
        <v>2.0882396033924686</v>
      </c>
      <c r="K18" s="16"/>
    </row>
    <row r="19" spans="1:11">
      <c r="A19" s="14"/>
      <c r="B19" s="128" t="str">
        <f>+[21]XX!J7</f>
        <v>Desechos de cobre</v>
      </c>
      <c r="C19" s="21">
        <f>+[21]XX!C7/1000000</f>
        <v>42.501377549999994</v>
      </c>
      <c r="D19" s="24">
        <f>+[21]XX!F7/1000000</f>
        <v>35.81301633999999</v>
      </c>
      <c r="E19" s="21">
        <f t="shared" si="0"/>
        <v>-15.736810417807279</v>
      </c>
      <c r="F19" s="21">
        <f t="shared" si="1"/>
        <v>1.6479969657323168</v>
      </c>
      <c r="G19" s="21">
        <f>+[21]XX!D7/1000000</f>
        <v>8.0786580299999997</v>
      </c>
      <c r="H19" s="24">
        <f>+[21]XX!G7/1000000</f>
        <v>4.6705062399999999</v>
      </c>
      <c r="I19" s="21">
        <f t="shared" si="2"/>
        <v>-42.187103072612665</v>
      </c>
      <c r="J19" s="21">
        <f t="shared" si="3"/>
        <v>1.9010537230713478</v>
      </c>
      <c r="K19" s="16"/>
    </row>
    <row r="20" spans="1:11">
      <c r="A20" s="14"/>
      <c r="B20" s="128" t="str">
        <f>+[21]XX!J8</f>
        <v>Libros</v>
      </c>
      <c r="C20" s="21">
        <f>+[21]XX!C8/1000000</f>
        <v>43.726193220000049</v>
      </c>
      <c r="D20" s="24">
        <f>+[21]XX!F8/1000000</f>
        <v>33.704769229999968</v>
      </c>
      <c r="E20" s="21">
        <f t="shared" si="0"/>
        <v>-22.918583238150159</v>
      </c>
      <c r="F20" s="21">
        <f t="shared" si="1"/>
        <v>1.5509823828971543</v>
      </c>
      <c r="G20" s="21">
        <f>+[21]XX!D8/1000000</f>
        <v>6.2023546199999942</v>
      </c>
      <c r="H20" s="24">
        <f>+[21]XX!G8/1000000</f>
        <v>3.2709799299999998</v>
      </c>
      <c r="I20" s="21">
        <f t="shared" si="2"/>
        <v>-47.262287785795735</v>
      </c>
      <c r="J20" s="21">
        <f t="shared" si="3"/>
        <v>1.3313992647653878</v>
      </c>
      <c r="K20" s="16"/>
    </row>
    <row r="21" spans="1:11">
      <c r="A21" s="14"/>
      <c r="B21" s="128" t="str">
        <f>+[21]XX!J9</f>
        <v>Preparaciones capilares</v>
      </c>
      <c r="C21" s="21">
        <f>+[21]XX!C9/1000000</f>
        <v>24.095434500000003</v>
      </c>
      <c r="D21" s="24">
        <f>+[21]XX!F9/1000000</f>
        <v>30.091214400000045</v>
      </c>
      <c r="E21" s="21">
        <f t="shared" si="0"/>
        <v>24.883468691963362</v>
      </c>
      <c r="F21" s="21">
        <f t="shared" si="1"/>
        <v>1.3846985005564234</v>
      </c>
      <c r="G21" s="21">
        <f>+[21]XX!D9/1000000</f>
        <v>4.365395229999999</v>
      </c>
      <c r="H21" s="24">
        <f>+[21]XX!G9/1000000</f>
        <v>4.8212108400000027</v>
      </c>
      <c r="I21" s="21">
        <f t="shared" si="2"/>
        <v>10.441565676975451</v>
      </c>
      <c r="J21" s="21">
        <f t="shared" si="3"/>
        <v>1.9623955832877646</v>
      </c>
      <c r="K21" s="16"/>
    </row>
    <row r="22" spans="1:11">
      <c r="A22" s="14"/>
      <c r="B22" s="128" t="str">
        <f>+[21]XX!J10</f>
        <v>Carburorreactores</v>
      </c>
      <c r="C22" s="21">
        <f>+[21]XX!C10/1000000</f>
        <v>39.096467589999989</v>
      </c>
      <c r="D22" s="24">
        <f>+[21]XX!F10/1000000</f>
        <v>29.27525352</v>
      </c>
      <c r="E22" s="21">
        <f t="shared" si="0"/>
        <v>-25.120464009674471</v>
      </c>
      <c r="F22" s="21">
        <f t="shared" si="1"/>
        <v>1.3471506704147207</v>
      </c>
      <c r="G22" s="21">
        <f>+[21]XX!D10/1000000</f>
        <v>4.553854620000001</v>
      </c>
      <c r="H22" s="24">
        <f>+[21]XX!G10/1000000</f>
        <v>3.21970373</v>
      </c>
      <c r="I22" s="21">
        <f t="shared" si="2"/>
        <v>-29.297177914739859</v>
      </c>
      <c r="J22" s="21">
        <f t="shared" si="3"/>
        <v>1.3105281202029195</v>
      </c>
      <c r="K22" s="16"/>
    </row>
    <row r="23" spans="1:11">
      <c r="A23" s="14"/>
      <c r="B23" s="128" t="str">
        <f>+[21]XX!J11</f>
        <v>Recipientes</v>
      </c>
      <c r="C23" s="21">
        <f>+[21]XX!C11/1000000</f>
        <v>33.017289500000018</v>
      </c>
      <c r="D23" s="24">
        <f>+[21]XX!F11/1000000</f>
        <v>29.177405749999938</v>
      </c>
      <c r="E23" s="21">
        <f t="shared" si="0"/>
        <v>-11.629918167571196</v>
      </c>
      <c r="F23" s="21">
        <f t="shared" si="1"/>
        <v>1.3426480385634161</v>
      </c>
      <c r="G23" s="21">
        <f>+[21]XX!D11/1000000</f>
        <v>4.2548899699999998</v>
      </c>
      <c r="H23" s="24">
        <f>+[21]XX!G11/1000000</f>
        <v>2.5912031400000002</v>
      </c>
      <c r="I23" s="21">
        <f t="shared" si="2"/>
        <v>-39.100584074563031</v>
      </c>
      <c r="J23" s="21">
        <f t="shared" si="3"/>
        <v>1.0547071609374763</v>
      </c>
      <c r="K23" s="16"/>
    </row>
    <row r="24" spans="1:11">
      <c r="A24" s="14"/>
      <c r="B24" s="128" t="str">
        <f>+[21]XX!J12</f>
        <v>Claveles miniatura</v>
      </c>
      <c r="C24" s="21">
        <f>+[21]XX!C12/1000000</f>
        <v>22.809387839999996</v>
      </c>
      <c r="D24" s="24">
        <f>+[21]XX!F12/1000000</f>
        <v>27.670678910000003</v>
      </c>
      <c r="E24" s="21">
        <f t="shared" si="0"/>
        <v>21.31267662289007</v>
      </c>
      <c r="F24" s="21">
        <f t="shared" si="1"/>
        <v>1.2733134358331246</v>
      </c>
      <c r="G24" s="21">
        <f>+[21]XX!D12/1000000</f>
        <v>3.6308775499999992</v>
      </c>
      <c r="H24" s="24">
        <f>+[21]XX!G12/1000000</f>
        <v>2.2278722799999988</v>
      </c>
      <c r="I24" s="21">
        <f t="shared" si="2"/>
        <v>-38.640941499115023</v>
      </c>
      <c r="J24" s="21">
        <f t="shared" si="3"/>
        <v>0.90681923431526135</v>
      </c>
      <c r="K24" s="16"/>
    </row>
    <row r="25" spans="1:11">
      <c r="A25" s="14"/>
      <c r="B25" s="128" t="str">
        <f>+[21]XX!J13</f>
        <v>Tejido de punto</v>
      </c>
      <c r="C25" s="21">
        <f>+[21]XX!C13/1000000</f>
        <v>25.478614630000013</v>
      </c>
      <c r="D25" s="24">
        <f>+[21]XX!F13/1000000</f>
        <v>25.280636360000024</v>
      </c>
      <c r="E25" s="21">
        <f t="shared" si="0"/>
        <v>-0.77703702840608013</v>
      </c>
      <c r="F25" s="21">
        <f t="shared" si="1"/>
        <v>1.1633315556983364</v>
      </c>
      <c r="G25" s="21">
        <f>+[21]XX!D13/1000000</f>
        <v>3.6289811599999982</v>
      </c>
      <c r="H25" s="24">
        <f>+[21]XX!G13/1000000</f>
        <v>2.9300927899999976</v>
      </c>
      <c r="I25" s="21">
        <f t="shared" si="2"/>
        <v>-19.258528473595081</v>
      </c>
      <c r="J25" s="21">
        <f t="shared" si="3"/>
        <v>1.1926466899172814</v>
      </c>
      <c r="K25" s="16"/>
    </row>
    <row r="26" spans="1:11">
      <c r="A26" s="14"/>
      <c r="B26" s="128" t="str">
        <f>+[21]XX!J14</f>
        <v>Alstroemerias frescas</v>
      </c>
      <c r="C26" s="21">
        <f>+[21]XX!C14/1000000</f>
        <v>15.819791040000023</v>
      </c>
      <c r="D26" s="24">
        <f>+[21]XX!F14/1000000</f>
        <v>21.601069099999979</v>
      </c>
      <c r="E26" s="21">
        <f t="shared" si="0"/>
        <v>36.544591805176886</v>
      </c>
      <c r="F26" s="21">
        <f t="shared" si="1"/>
        <v>0.99400999891801034</v>
      </c>
      <c r="G26" s="21">
        <f>+[21]XX!D14/1000000</f>
        <v>1.7574370399999992</v>
      </c>
      <c r="H26" s="24">
        <f>+[21]XX!G14/1000000</f>
        <v>2.6709539699999985</v>
      </c>
      <c r="I26" s="21">
        <f t="shared" si="2"/>
        <v>51.98006581220114</v>
      </c>
      <c r="J26" s="21">
        <f t="shared" si="3"/>
        <v>1.0871684412567437</v>
      </c>
      <c r="K26" s="16"/>
    </row>
    <row r="27" spans="1:11">
      <c r="A27" s="14"/>
      <c r="B27" s="128" t="str">
        <f>+[21]XX!J15</f>
        <v>Láminas de polímeros</v>
      </c>
      <c r="C27" s="21">
        <f>+[21]XX!C15/1000000</f>
        <v>21.475732010000012</v>
      </c>
      <c r="D27" s="24">
        <f>+[21]XX!F15/1000000</f>
        <v>19.27385875000002</v>
      </c>
      <c r="E27" s="21">
        <f t="shared" si="0"/>
        <v>-10.252843809816149</v>
      </c>
      <c r="F27" s="21">
        <f t="shared" si="1"/>
        <v>0.88691944952083057</v>
      </c>
      <c r="G27" s="21">
        <f>+[21]XX!D15/1000000</f>
        <v>4.0394466400000004</v>
      </c>
      <c r="H27" s="24">
        <f>+[21]XX!G15/1000000</f>
        <v>2.2650433199999997</v>
      </c>
      <c r="I27" s="21">
        <f t="shared" si="2"/>
        <v>-43.926890936724952</v>
      </c>
      <c r="J27" s="21">
        <f t="shared" si="3"/>
        <v>0.9219491025460842</v>
      </c>
      <c r="K27" s="16"/>
    </row>
    <row r="28" spans="1:11">
      <c r="A28" s="14"/>
      <c r="B28" s="128" t="str">
        <f>+[21]XX!J16</f>
        <v>Medicamentos con antibióticos</v>
      </c>
      <c r="C28" s="21">
        <f>+[21]XX!C16/1000000</f>
        <v>14.969999299999987</v>
      </c>
      <c r="D28" s="24">
        <f>+[21]XX!F16/1000000</f>
        <v>18.117490399999994</v>
      </c>
      <c r="E28" s="21">
        <f t="shared" si="0"/>
        <v>21.025325632446812</v>
      </c>
      <c r="F28" s="21">
        <f t="shared" si="1"/>
        <v>0.83370718965484325</v>
      </c>
      <c r="G28" s="21">
        <f>+[21]XX!D16/1000000</f>
        <v>2.6621870700000012</v>
      </c>
      <c r="H28" s="24">
        <f>+[21]XX!G16/1000000</f>
        <v>2.8430960500000002</v>
      </c>
      <c r="I28" s="21">
        <f t="shared" si="2"/>
        <v>6.7955021658188342</v>
      </c>
      <c r="J28" s="21">
        <f t="shared" si="3"/>
        <v>1.1572360795950769</v>
      </c>
      <c r="K28" s="16"/>
    </row>
    <row r="29" spans="1:11">
      <c r="A29" s="14"/>
      <c r="B29" s="128" t="str">
        <f>+[21]XX!J17</f>
        <v>Cueros y pieles enteros</v>
      </c>
      <c r="C29" s="21">
        <f>+[21]XX!C17/1000000</f>
        <v>6.1213758</v>
      </c>
      <c r="D29" s="24">
        <f>+[21]XX!F17/1000000</f>
        <v>17.665029420000007</v>
      </c>
      <c r="E29" s="21">
        <f t="shared" si="0"/>
        <v>188.57939778832082</v>
      </c>
      <c r="F29" s="21">
        <f t="shared" si="1"/>
        <v>0.81288642674916711</v>
      </c>
      <c r="G29" s="21">
        <f>+[21]XX!D17/1000000</f>
        <v>0.97075400000000001</v>
      </c>
      <c r="H29" s="24">
        <f>+[21]XX!G17/1000000</f>
        <v>2.5063634999999995</v>
      </c>
      <c r="I29" s="21">
        <f t="shared" si="2"/>
        <v>158.18729564853706</v>
      </c>
      <c r="J29" s="21">
        <f t="shared" si="3"/>
        <v>1.0201745631422459</v>
      </c>
      <c r="K29" s="16"/>
    </row>
    <row r="30" spans="1:11">
      <c r="A30" s="14"/>
      <c r="B30" s="128" t="str">
        <f>+[21]XX!J18</f>
        <v>Teléfonos móviles</v>
      </c>
      <c r="C30" s="21">
        <f>+[21]XX!C18/1000000</f>
        <v>6.3858610900000006</v>
      </c>
      <c r="D30" s="24">
        <f>+[21]XX!F18/1000000</f>
        <v>16.802397920000001</v>
      </c>
      <c r="E30" s="21">
        <f t="shared" si="0"/>
        <v>163.11875067736557</v>
      </c>
      <c r="F30" s="21">
        <f t="shared" si="1"/>
        <v>0.77319096850994273</v>
      </c>
      <c r="G30" s="21">
        <f>+[21]XX!D18/1000000</f>
        <v>1.0456454799999999</v>
      </c>
      <c r="H30" s="24">
        <f>+[21]XX!G18/1000000</f>
        <v>2.184301</v>
      </c>
      <c r="I30" s="21">
        <f t="shared" si="2"/>
        <v>108.89498800300848</v>
      </c>
      <c r="J30" s="21">
        <f t="shared" si="3"/>
        <v>0.88908425232260646</v>
      </c>
      <c r="K30" s="16"/>
    </row>
    <row r="31" spans="1:11">
      <c r="A31" s="14"/>
      <c r="B31" s="128" t="str">
        <f>+[21]XX!J19</f>
        <v>Láminas de polímeros</v>
      </c>
      <c r="C31" s="21">
        <f>+[21]XX!C19/1000000</f>
        <v>14.706078070000006</v>
      </c>
      <c r="D31" s="24">
        <f>+[21]XX!F19/1000000</f>
        <v>16.100352200000014</v>
      </c>
      <c r="E31" s="21">
        <f t="shared" si="0"/>
        <v>9.4809379044729081</v>
      </c>
      <c r="F31" s="21">
        <f t="shared" si="1"/>
        <v>0.74088513854629612</v>
      </c>
      <c r="G31" s="21">
        <f>+[21]XX!D19/1000000</f>
        <v>1.6934821500000001</v>
      </c>
      <c r="H31" s="24">
        <f>+[21]XX!G19/1000000</f>
        <v>2.51286078</v>
      </c>
      <c r="I31" s="21">
        <f t="shared" si="2"/>
        <v>48.384249577121309</v>
      </c>
      <c r="J31" s="21">
        <f t="shared" si="3"/>
        <v>1.0228191754602969</v>
      </c>
      <c r="K31" s="16"/>
    </row>
    <row r="32" spans="1:11">
      <c r="A32" s="14"/>
      <c r="B32" s="128" t="str">
        <f>+[21]XX!J20</f>
        <v>Manufacturas de cuero</v>
      </c>
      <c r="C32" s="21">
        <f>+[21]XX!C20/1000000</f>
        <v>13.878576679999998</v>
      </c>
      <c r="D32" s="24">
        <f>+[21]XX!F20/1000000</f>
        <v>15.416539620000005</v>
      </c>
      <c r="E32" s="21">
        <f t="shared" si="0"/>
        <v>11.081560994769157</v>
      </c>
      <c r="F32" s="21">
        <f t="shared" si="1"/>
        <v>0.70941833758569306</v>
      </c>
      <c r="G32" s="21">
        <f>+[21]XX!D20/1000000</f>
        <v>2.5955517999999991</v>
      </c>
      <c r="H32" s="24">
        <f>+[21]XX!G20/1000000</f>
        <v>2.4735242599999996</v>
      </c>
      <c r="I32" s="21">
        <f t="shared" si="2"/>
        <v>-4.7014103128282585</v>
      </c>
      <c r="J32" s="21">
        <f t="shared" si="3"/>
        <v>1.0068078837595771</v>
      </c>
      <c r="K32" s="16"/>
    </row>
    <row r="33" spans="1:11">
      <c r="A33" s="14"/>
      <c r="B33" s="128" t="str">
        <f>+[21]XX!J21</f>
        <v>Vidrio de seguridad</v>
      </c>
      <c r="C33" s="21">
        <f>+[21]XX!C21/1000000</f>
        <v>16.648280039999992</v>
      </c>
      <c r="D33" s="24">
        <f>+[21]XX!F21/1000000</f>
        <v>14.398983489999997</v>
      </c>
      <c r="E33" s="21">
        <f t="shared" si="0"/>
        <v>-13.510684254443838</v>
      </c>
      <c r="F33" s="21">
        <f t="shared" si="1"/>
        <v>0.66259375853370883</v>
      </c>
      <c r="G33" s="21">
        <f>+[21]XX!D21/1000000</f>
        <v>1.93379005</v>
      </c>
      <c r="H33" s="24">
        <f>+[21]XX!G21/1000000</f>
        <v>1.8791619899999998</v>
      </c>
      <c r="I33" s="21">
        <f t="shared" si="2"/>
        <v>-2.824921971234684</v>
      </c>
      <c r="J33" s="21">
        <f t="shared" si="3"/>
        <v>0.76488237329571851</v>
      </c>
      <c r="K33" s="16"/>
    </row>
    <row r="34" spans="1:11">
      <c r="A34" s="14"/>
      <c r="B34" s="9" t="s">
        <v>51</v>
      </c>
      <c r="C34" s="21">
        <f>+C13-SUM(C14:C33)</f>
        <v>1320.2303707500189</v>
      </c>
      <c r="D34" s="24">
        <f>+D13-SUM(D14:D33)</f>
        <v>1220.55369103001</v>
      </c>
      <c r="E34" s="21">
        <f t="shared" si="0"/>
        <v>-7.549945973700245</v>
      </c>
      <c r="F34" s="21">
        <f t="shared" si="1"/>
        <v>56.165857693595122</v>
      </c>
      <c r="G34" s="21">
        <f t="shared" ref="G34:H34" si="4">+G13-SUM(G14:G33)</f>
        <v>164.07747735000106</v>
      </c>
      <c r="H34" s="24">
        <f t="shared" si="4"/>
        <v>138.47106758999922</v>
      </c>
      <c r="I34" s="21">
        <f t="shared" si="2"/>
        <v>-15.606291718746778</v>
      </c>
      <c r="J34" s="21">
        <f t="shared" si="3"/>
        <v>56.362399502892494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710937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111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+'Principales paises'!C14</f>
        <v>595.80915367999796</v>
      </c>
      <c r="D13" s="24">
        <f>+'Principales paises'!D14</f>
        <v>641.94223883000518</v>
      </c>
      <c r="E13" s="24">
        <f>IF(OR(OR(D13=0,C13=0),D13=""),"",(D13/C13-1)*100)</f>
        <v>7.7429299071804403</v>
      </c>
      <c r="F13" s="22">
        <f>(D13/D$13)*100</f>
        <v>100</v>
      </c>
      <c r="G13" s="24">
        <f>+'Principales paises'!G14</f>
        <v>62.743188860000046</v>
      </c>
      <c r="H13" s="24">
        <f>+'Principales paises'!H14</f>
        <v>66.676301970000083</v>
      </c>
      <c r="I13" s="24">
        <f>IF(OR(OR(H13=0,G13=0),H13=""),"",(H13/G13-1)*100)</f>
        <v>6.268589756851628</v>
      </c>
      <c r="J13" s="22">
        <f>(H13/H$13)*100</f>
        <v>100</v>
      </c>
      <c r="K13" s="106"/>
    </row>
    <row r="14" spans="1:14">
      <c r="A14" s="104"/>
      <c r="B14" s="128" t="str">
        <f>+[8]Pais1!B2</f>
        <v>Capullos frescos</v>
      </c>
      <c r="C14" s="21">
        <f>+[8]Pais1!C2</f>
        <v>178.96798391000002</v>
      </c>
      <c r="D14" s="24">
        <f>+[8]Pais1!E2</f>
        <v>165.33520577999988</v>
      </c>
      <c r="E14" s="21">
        <f t="shared" ref="E14:E44" si="0">IF(OR(OR(D14=0,C14=0),D14=""),"",(D14/C14-1)*100)</f>
        <v>-7.6174396292332585</v>
      </c>
      <c r="F14" s="21">
        <f t="shared" ref="F14:F44" si="1">(D14/D$13)*100</f>
        <v>25.755464554153264</v>
      </c>
      <c r="G14" s="21">
        <f>+[8]Pais1!D2</f>
        <v>11.327675460000002</v>
      </c>
      <c r="H14" s="24">
        <f>+[8]Pais1!F2</f>
        <v>12.45196176000001</v>
      </c>
      <c r="I14" s="21">
        <f t="shared" ref="I14:I44" si="2">IF(OR(OR(H14=0,G14=0),H14=""),"",(H14/G14-1)*100)</f>
        <v>9.9251280986117472</v>
      </c>
      <c r="J14" s="21">
        <f>(H14/H$13)*100</f>
        <v>18.675243515458561</v>
      </c>
      <c r="K14" s="106"/>
    </row>
    <row r="15" spans="1:14">
      <c r="A15" s="104"/>
      <c r="B15" s="128" t="str">
        <f>+[8]Pais1!B3</f>
        <v>Rosas frescas</v>
      </c>
      <c r="C15" s="21">
        <f>+[8]Pais1!C3</f>
        <v>120.84104221000034</v>
      </c>
      <c r="D15" s="24">
        <f>+[8]Pais1!E3</f>
        <v>137.81197619999978</v>
      </c>
      <c r="E15" s="21">
        <f t="shared" si="0"/>
        <v>14.044014913829495</v>
      </c>
      <c r="F15" s="21">
        <f t="shared" si="1"/>
        <v>21.467971394307053</v>
      </c>
      <c r="G15" s="21">
        <f>+[8]Pais1!D3</f>
        <v>11.337426350000012</v>
      </c>
      <c r="H15" s="24">
        <f>+[8]Pais1!F3</f>
        <v>12.683593709999995</v>
      </c>
      <c r="I15" s="21">
        <f t="shared" si="2"/>
        <v>11.873659139580495</v>
      </c>
      <c r="J15" s="21">
        <f t="shared" ref="J15:J44" si="3">(H15/H$13)*100</f>
        <v>19.022641231223009</v>
      </c>
      <c r="K15" s="106"/>
    </row>
    <row r="16" spans="1:14">
      <c r="A16" s="104"/>
      <c r="B16" s="128" t="str">
        <f>+[8]Pais1!B4</f>
        <v>Cafés sin tostar</v>
      </c>
      <c r="C16" s="21">
        <f>+[8]Pais1!C4</f>
        <v>50.487789530000008</v>
      </c>
      <c r="D16" s="24">
        <f>+[8]Pais1!E4</f>
        <v>41.886207199999987</v>
      </c>
      <c r="E16" s="21">
        <f t="shared" si="0"/>
        <v>-17.036955687847911</v>
      </c>
      <c r="F16" s="21">
        <f t="shared" si="1"/>
        <v>6.5249183908417052</v>
      </c>
      <c r="G16" s="21">
        <f>+[8]Pais1!D4</f>
        <v>4.3126892400000001</v>
      </c>
      <c r="H16" s="24">
        <f>+[8]Pais1!F4</f>
        <v>5.8628019700000022</v>
      </c>
      <c r="I16" s="21">
        <f t="shared" si="2"/>
        <v>35.943065770257121</v>
      </c>
      <c r="J16" s="21">
        <f t="shared" si="3"/>
        <v>8.7929321164780188</v>
      </c>
      <c r="K16" s="106"/>
    </row>
    <row r="17" spans="1:11">
      <c r="A17" s="104"/>
      <c r="B17" s="128" t="str">
        <f>+[8]Pais1!B5</f>
        <v>Claveles</v>
      </c>
      <c r="C17" s="21">
        <f>+[8]Pais1!C5</f>
        <v>17.719353369999993</v>
      </c>
      <c r="D17" s="24">
        <f>+[8]Pais1!E5</f>
        <v>25.777281779999996</v>
      </c>
      <c r="E17" s="21">
        <f t="shared" si="0"/>
        <v>45.47529608864054</v>
      </c>
      <c r="F17" s="21">
        <f t="shared" si="1"/>
        <v>4.0155142037360401</v>
      </c>
      <c r="G17" s="21">
        <f>+[8]Pais1!D5</f>
        <v>2.3256253800000022</v>
      </c>
      <c r="H17" s="24">
        <f>+[8]Pais1!F5</f>
        <v>2.8831544199999986</v>
      </c>
      <c r="I17" s="21">
        <f t="shared" si="2"/>
        <v>23.973295303476426</v>
      </c>
      <c r="J17" s="21">
        <f t="shared" si="3"/>
        <v>4.324106668808998</v>
      </c>
      <c r="K17" s="106"/>
    </row>
    <row r="18" spans="1:11">
      <c r="A18" s="104"/>
      <c r="B18" s="128" t="str">
        <f>+[8]Pais1!B6</f>
        <v>Claveles miniatura</v>
      </c>
      <c r="C18" s="21">
        <f>+[8]Pais1!C6</f>
        <v>8.5324746300000207</v>
      </c>
      <c r="D18" s="24">
        <f>+[8]Pais1!E6</f>
        <v>17.648080749999988</v>
      </c>
      <c r="E18" s="21">
        <f t="shared" si="0"/>
        <v>106.83425987520275</v>
      </c>
      <c r="F18" s="21">
        <f t="shared" si="1"/>
        <v>2.7491695798309097</v>
      </c>
      <c r="G18" s="21">
        <f>+[8]Pais1!D6</f>
        <v>1.4675749199999994</v>
      </c>
      <c r="H18" s="24">
        <f>+[8]Pais1!F6</f>
        <v>1.4289867000000009</v>
      </c>
      <c r="I18" s="21">
        <f t="shared" si="2"/>
        <v>-2.6293867164204787</v>
      </c>
      <c r="J18" s="21">
        <f t="shared" si="3"/>
        <v>2.143170298561174</v>
      </c>
      <c r="K18" s="106"/>
    </row>
    <row r="19" spans="1:11">
      <c r="A19" s="104"/>
      <c r="B19" s="128" t="str">
        <f>+[8]Pais1!B7</f>
        <v>Teléfonos móviles</v>
      </c>
      <c r="C19" s="21">
        <f>+[8]Pais1!C7</f>
        <v>6.3313521599999998</v>
      </c>
      <c r="D19" s="24">
        <f>+[8]Pais1!E7</f>
        <v>16.533589920000004</v>
      </c>
      <c r="E19" s="21">
        <f t="shared" si="0"/>
        <v>161.13837142807114</v>
      </c>
      <c r="F19" s="21">
        <f t="shared" si="1"/>
        <v>2.5755572573217629</v>
      </c>
      <c r="G19" s="21">
        <f>+[8]Pais1!D7</f>
        <v>1.03416548</v>
      </c>
      <c r="H19" s="24">
        <f>+[8]Pais1!F7</f>
        <v>2.184301</v>
      </c>
      <c r="I19" s="21">
        <f t="shared" si="2"/>
        <v>111.21387652583414</v>
      </c>
      <c r="J19" s="21">
        <f t="shared" si="3"/>
        <v>3.2759780243703238</v>
      </c>
      <c r="K19" s="106"/>
    </row>
    <row r="20" spans="1:11">
      <c r="A20" s="104"/>
      <c r="B20" s="128" t="str">
        <f>+[8]Pais1!B8</f>
        <v>Alstroemerias frescas</v>
      </c>
      <c r="C20" s="21">
        <f>+[8]Pais1!C8</f>
        <v>10.070461170000003</v>
      </c>
      <c r="D20" s="24">
        <f>+[8]Pais1!E8</f>
        <v>14.794983090000004</v>
      </c>
      <c r="E20" s="21">
        <f t="shared" si="0"/>
        <v>46.914653065486164</v>
      </c>
      <c r="F20" s="21">
        <f t="shared" si="1"/>
        <v>2.3047218573691506</v>
      </c>
      <c r="G20" s="21">
        <f>+[8]Pais1!D8</f>
        <v>1.1630393299999999</v>
      </c>
      <c r="H20" s="24">
        <f>+[8]Pais1!F8</f>
        <v>1.6490654699999998</v>
      </c>
      <c r="I20" s="21">
        <f t="shared" si="2"/>
        <v>41.789312490403915</v>
      </c>
      <c r="J20" s="21">
        <f t="shared" si="3"/>
        <v>2.4732407486275561</v>
      </c>
      <c r="K20" s="106"/>
    </row>
    <row r="21" spans="1:11">
      <c r="A21" s="104"/>
      <c r="B21" s="128" t="str">
        <f>+[8]Pais1!B9</f>
        <v>Manufacturas de cuero</v>
      </c>
      <c r="C21" s="21">
        <f>+[8]Pais1!C9</f>
        <v>12.067023009999994</v>
      </c>
      <c r="D21" s="24">
        <f>+[8]Pais1!E9</f>
        <v>13.04187181999999</v>
      </c>
      <c r="E21" s="21">
        <f t="shared" si="0"/>
        <v>8.0786189699989297</v>
      </c>
      <c r="F21" s="21">
        <f t="shared" si="1"/>
        <v>2.0316269955642614</v>
      </c>
      <c r="G21" s="21">
        <f>+[8]Pais1!D9</f>
        <v>2.45415311</v>
      </c>
      <c r="H21" s="24">
        <f>+[8]Pais1!F9</f>
        <v>2.2497140299999998</v>
      </c>
      <c r="I21" s="21">
        <f t="shared" si="2"/>
        <v>-8.3303311096185162</v>
      </c>
      <c r="J21" s="21">
        <f t="shared" si="3"/>
        <v>3.3740833902459411</v>
      </c>
      <c r="K21" s="106"/>
    </row>
    <row r="22" spans="1:11">
      <c r="A22" s="104"/>
      <c r="B22" s="128" t="str">
        <f>+[8]Pais1!B10</f>
        <v>Recipientes</v>
      </c>
      <c r="C22" s="21">
        <f>+[8]Pais1!C10</f>
        <v>13.055547439999987</v>
      </c>
      <c r="D22" s="24">
        <f>+[8]Pais1!E10</f>
        <v>11.487700519999981</v>
      </c>
      <c r="E22" s="21">
        <f t="shared" si="0"/>
        <v>-12.009047703326392</v>
      </c>
      <c r="F22" s="21">
        <f t="shared" si="1"/>
        <v>1.7895224562473566</v>
      </c>
      <c r="G22" s="21">
        <f>+[8]Pais1!D10</f>
        <v>1.7772103100000001</v>
      </c>
      <c r="H22" s="24">
        <f>+[8]Pais1!F10</f>
        <v>0.57930707999999986</v>
      </c>
      <c r="I22" s="21">
        <f t="shared" si="2"/>
        <v>-67.403571949793616</v>
      </c>
      <c r="J22" s="21">
        <f t="shared" si="3"/>
        <v>0.86883504766153596</v>
      </c>
      <c r="K22" s="106"/>
    </row>
    <row r="23" spans="1:11">
      <c r="A23" s="104"/>
      <c r="B23" s="128" t="str">
        <f>+[8]Pais1!B11</f>
        <v>Carburorreactores</v>
      </c>
      <c r="C23" s="21">
        <f>+[8]Pais1!C11</f>
        <v>6.3323995799999997</v>
      </c>
      <c r="D23" s="24">
        <f>+[8]Pais1!E11</f>
        <v>10.97994456</v>
      </c>
      <c r="E23" s="21">
        <f t="shared" si="0"/>
        <v>73.393109851731751</v>
      </c>
      <c r="F23" s="21">
        <f t="shared" si="1"/>
        <v>1.7104256264569677</v>
      </c>
      <c r="G23" s="21">
        <f>+[8]Pais1!D11</f>
        <v>0.85616428999999994</v>
      </c>
      <c r="H23" s="24">
        <f>+[8]Pais1!F11</f>
        <v>1.6250159500000001</v>
      </c>
      <c r="I23" s="21">
        <f t="shared" si="2"/>
        <v>89.801883701549869</v>
      </c>
      <c r="J23" s="21">
        <f t="shared" si="3"/>
        <v>2.437171681673572</v>
      </c>
      <c r="K23" s="106"/>
    </row>
    <row r="24" spans="1:11">
      <c r="A24" s="104"/>
      <c r="B24" s="128" t="str">
        <f>+[8]Pais1!B12</f>
        <v>Láminas de polímeros</v>
      </c>
      <c r="C24" s="21">
        <f>+[8]Pais1!C12</f>
        <v>10.774386640000003</v>
      </c>
      <c r="D24" s="24">
        <f>+[8]Pais1!E12</f>
        <v>10.154037699999995</v>
      </c>
      <c r="E24" s="21">
        <f t="shared" si="0"/>
        <v>-5.757626496314483</v>
      </c>
      <c r="F24" s="21">
        <f t="shared" si="1"/>
        <v>1.5817681227062734</v>
      </c>
      <c r="G24" s="21">
        <f>+[8]Pais1!D12</f>
        <v>2.9067315799999993</v>
      </c>
      <c r="H24" s="24">
        <f>+[8]Pais1!F12</f>
        <v>1.47937545</v>
      </c>
      <c r="I24" s="21">
        <f t="shared" si="2"/>
        <v>-49.105192231062475</v>
      </c>
      <c r="J24" s="21">
        <f t="shared" si="3"/>
        <v>2.218742501144741</v>
      </c>
      <c r="K24" s="106"/>
    </row>
    <row r="25" spans="1:11">
      <c r="A25" s="104"/>
      <c r="B25" s="128" t="str">
        <f>+[8]Pais1!B13</f>
        <v>Tilapias</v>
      </c>
      <c r="C25" s="21">
        <f>+[8]Pais1!C13</f>
        <v>2.2145408399999997</v>
      </c>
      <c r="D25" s="24">
        <f>+[8]Pais1!E13</f>
        <v>9.0921858900000014</v>
      </c>
      <c r="E25" s="21">
        <f t="shared" ref="E25:E40" si="4">IF(OR(OR(D25=0,C25=0),D25=""),"",(D25/C25-1)*100)</f>
        <v>310.56754184763662</v>
      </c>
      <c r="F25" s="21">
        <f t="shared" ref="F25:F40" si="5">(D25/D$13)*100</f>
        <v>1.4163557622522689</v>
      </c>
      <c r="G25" s="21">
        <f>+[8]Pais1!D13</f>
        <v>2.9940000000000001E-2</v>
      </c>
      <c r="H25" s="24">
        <f>+[8]Pais1!F13</f>
        <v>0.52601239</v>
      </c>
      <c r="I25" s="21">
        <f t="shared" ref="I25:I40" si="6">IF(OR(OR(H25=0,G25=0),H25=""),"",(H25/G25-1)*100)</f>
        <v>1656.8884101536405</v>
      </c>
      <c r="J25" s="21">
        <f t="shared" ref="J25:J40" si="7">(H25/H$13)*100</f>
        <v>0.78890456497822981</v>
      </c>
      <c r="K25" s="106"/>
    </row>
    <row r="26" spans="1:11">
      <c r="A26" s="104"/>
      <c r="B26" s="128" t="str">
        <f>+[8]Pais1!B14</f>
        <v>Telas impregnadas</v>
      </c>
      <c r="C26" s="21">
        <f>+[8]Pais1!C14</f>
        <v>6.7073071900000008</v>
      </c>
      <c r="D26" s="24">
        <f>+[8]Pais1!E14</f>
        <v>8.3807555399999973</v>
      </c>
      <c r="E26" s="21">
        <f t="shared" si="4"/>
        <v>24.949630344871633</v>
      </c>
      <c r="F26" s="21">
        <f t="shared" si="5"/>
        <v>1.3055310950210479</v>
      </c>
      <c r="G26" s="21">
        <f>+[8]Pais1!D14</f>
        <v>2.1372685200000001</v>
      </c>
      <c r="H26" s="24">
        <f>+[8]Pais1!F14</f>
        <v>1.0054512400000004</v>
      </c>
      <c r="I26" s="21">
        <f t="shared" si="6"/>
        <v>-52.956250906647881</v>
      </c>
      <c r="J26" s="21">
        <f t="shared" si="7"/>
        <v>1.5079589153765409</v>
      </c>
      <c r="K26" s="106"/>
    </row>
    <row r="27" spans="1:11">
      <c r="A27" s="104"/>
      <c r="B27" s="128" t="str">
        <f>+[8]Pais1!B15</f>
        <v>Motores para la aviación</v>
      </c>
      <c r="C27" s="21">
        <f>+[8]Pais1!C15</f>
        <v>3.2463794499999992</v>
      </c>
      <c r="D27" s="24">
        <f>+[8]Pais1!E15</f>
        <v>6.9046900000000013</v>
      </c>
      <c r="E27" s="21">
        <f t="shared" si="4"/>
        <v>112.68893874990499</v>
      </c>
      <c r="F27" s="21">
        <f t="shared" si="5"/>
        <v>1.0755936566168931</v>
      </c>
      <c r="G27" s="21">
        <f>+[8]Pais1!D15</f>
        <v>2.8753794499999996</v>
      </c>
      <c r="H27" s="24">
        <f>+[8]Pais1!F15</f>
        <v>2E-3</v>
      </c>
      <c r="I27" s="21">
        <f t="shared" si="6"/>
        <v>-99.930443962795934</v>
      </c>
      <c r="J27" s="21">
        <f t="shared" si="7"/>
        <v>2.999566474007313E-3</v>
      </c>
      <c r="K27" s="106"/>
    </row>
    <row r="28" spans="1:11">
      <c r="A28" s="104"/>
      <c r="B28" s="128" t="str">
        <f>+[8]Pais1!B16</f>
        <v>Plantas y semillas</v>
      </c>
      <c r="C28" s="21">
        <f>+[8]Pais1!C16</f>
        <v>6.600265399999997</v>
      </c>
      <c r="D28" s="24">
        <f>+[8]Pais1!E16</f>
        <v>6.4425745200000017</v>
      </c>
      <c r="E28" s="21">
        <f t="shared" si="4"/>
        <v>-2.3891596843968577</v>
      </c>
      <c r="F28" s="21">
        <f t="shared" si="5"/>
        <v>1.0036065755296217</v>
      </c>
      <c r="G28" s="21">
        <f>+[8]Pais1!D16</f>
        <v>0.84040409999999977</v>
      </c>
      <c r="H28" s="24">
        <f>+[8]Pais1!F16</f>
        <v>1.7031270700000003</v>
      </c>
      <c r="I28" s="21">
        <f t="shared" si="6"/>
        <v>102.65573073715379</v>
      </c>
      <c r="J28" s="21">
        <f t="shared" si="7"/>
        <v>2.5543214300731534</v>
      </c>
      <c r="K28" s="106"/>
    </row>
    <row r="29" spans="1:11">
      <c r="A29" s="104"/>
      <c r="B29" s="128" t="str">
        <f>+[8]Pais1!B17</f>
        <v>Turbinas de gas</v>
      </c>
      <c r="C29" s="21">
        <f>+[8]Pais1!C17</f>
        <v>1.1784558000000001</v>
      </c>
      <c r="D29" s="24">
        <f>+[8]Pais1!E17</f>
        <v>5.1136789400000007</v>
      </c>
      <c r="E29" s="21">
        <f t="shared" si="4"/>
        <v>333.93048258577033</v>
      </c>
      <c r="F29" s="21">
        <f t="shared" si="5"/>
        <v>0.79659486955089909</v>
      </c>
      <c r="G29" s="21">
        <f>+[8]Pais1!D17</f>
        <v>0</v>
      </c>
      <c r="H29" s="24">
        <f>+[8]Pais1!F17</f>
        <v>0</v>
      </c>
      <c r="I29" s="21" t="str">
        <f t="shared" si="6"/>
        <v/>
      </c>
      <c r="J29" s="21">
        <f t="shared" si="7"/>
        <v>0</v>
      </c>
      <c r="K29" s="106"/>
    </row>
    <row r="30" spans="1:11">
      <c r="A30" s="104"/>
      <c r="B30" s="128" t="str">
        <f>+[8]Pais1!B18</f>
        <v>Autolizados de levaduras.</v>
      </c>
      <c r="C30" s="21">
        <f>+[8]Pais1!C18</f>
        <v>3.8367117799999995</v>
      </c>
      <c r="D30" s="24">
        <f>+[8]Pais1!E18</f>
        <v>4.5350833500000007</v>
      </c>
      <c r="E30" s="21">
        <f t="shared" si="4"/>
        <v>18.202346437396489</v>
      </c>
      <c r="F30" s="21">
        <f t="shared" si="5"/>
        <v>0.70646283663551712</v>
      </c>
      <c r="G30" s="21">
        <f>+[8]Pais1!D18</f>
        <v>0.23258600000000001</v>
      </c>
      <c r="H30" s="24">
        <f>+[8]Pais1!F18</f>
        <v>0.37704799999999999</v>
      </c>
      <c r="I30" s="21">
        <f t="shared" si="6"/>
        <v>62.111219075954693</v>
      </c>
      <c r="J30" s="21">
        <f t="shared" si="7"/>
        <v>0.56549026994575469</v>
      </c>
      <c r="K30" s="106"/>
    </row>
    <row r="31" spans="1:11">
      <c r="A31" s="104"/>
      <c r="B31" s="128" t="str">
        <f>+[8]Pais1!B19</f>
        <v>Pompones frescos</v>
      </c>
      <c r="C31" s="21">
        <f>+[8]Pais1!C19</f>
        <v>1.4835976900000005</v>
      </c>
      <c r="D31" s="24">
        <f>+[8]Pais1!E19</f>
        <v>4.0912071199999991</v>
      </c>
      <c r="E31" s="21">
        <f t="shared" si="4"/>
        <v>175.76257010753352</v>
      </c>
      <c r="F31" s="21">
        <f t="shared" si="5"/>
        <v>0.63731701585123535</v>
      </c>
      <c r="G31" s="21">
        <f>+[8]Pais1!D19</f>
        <v>0.13062580999999998</v>
      </c>
      <c r="H31" s="24">
        <f>+[8]Pais1!F19</f>
        <v>0.41528017999999994</v>
      </c>
      <c r="I31" s="21">
        <f t="shared" si="6"/>
        <v>217.9158697657071</v>
      </c>
      <c r="J31" s="21">
        <f t="shared" si="7"/>
        <v>0.62283025262386105</v>
      </c>
      <c r="K31" s="106"/>
    </row>
    <row r="32" spans="1:11">
      <c r="A32" s="104"/>
      <c r="B32" s="128" t="str">
        <f>+[8]Pais1!B20</f>
        <v>Aparatos radiodifusión</v>
      </c>
      <c r="C32" s="21">
        <f>+[8]Pais1!C20</f>
        <v>3.5714219900000002</v>
      </c>
      <c r="D32" s="24">
        <f>+[8]Pais1!E20</f>
        <v>3.2705145699999996</v>
      </c>
      <c r="E32" s="21">
        <f t="shared" si="4"/>
        <v>-8.425423286370048</v>
      </c>
      <c r="F32" s="21">
        <f t="shared" si="5"/>
        <v>0.5094717830004134</v>
      </c>
      <c r="G32" s="21">
        <f>+[8]Pais1!D20</f>
        <v>0</v>
      </c>
      <c r="H32" s="24">
        <f>+[8]Pais1!F20</f>
        <v>0.79767467000000003</v>
      </c>
      <c r="I32" s="21" t="str">
        <f t="shared" si="6"/>
        <v/>
      </c>
      <c r="J32" s="21">
        <f t="shared" si="7"/>
        <v>1.1963390986484235</v>
      </c>
      <c r="K32" s="106"/>
    </row>
    <row r="33" spans="1:11">
      <c r="A33" s="104"/>
      <c r="B33" s="128" t="str">
        <f>+[8]Pais1!B21</f>
        <v>Guarniciones para frenos</v>
      </c>
      <c r="C33" s="21">
        <f>+[8]Pais1!C21</f>
        <v>4.6035990800000013</v>
      </c>
      <c r="D33" s="24">
        <f>+[8]Pais1!E21</f>
        <v>2.8875226000000001</v>
      </c>
      <c r="E33" s="21">
        <f t="shared" si="4"/>
        <v>-37.276844707337133</v>
      </c>
      <c r="F33" s="21">
        <f t="shared" si="5"/>
        <v>0.4498103451274304</v>
      </c>
      <c r="G33" s="21">
        <f>+[8]Pais1!D21</f>
        <v>0.6116026200000001</v>
      </c>
      <c r="H33" s="24">
        <f>+[8]Pais1!F21</f>
        <v>0.61015259999999993</v>
      </c>
      <c r="I33" s="21">
        <f t="shared" si="6"/>
        <v>-0.23708531529837984</v>
      </c>
      <c r="J33" s="21">
        <f t="shared" si="7"/>
        <v>0.91509664149419712</v>
      </c>
      <c r="K33" s="106"/>
    </row>
    <row r="34" spans="1:11">
      <c r="A34" s="104"/>
      <c r="B34" s="128" t="str">
        <f>+[8]Pais1!B22</f>
        <v>Aparatos navegación aérea</v>
      </c>
      <c r="C34" s="21">
        <f>+[8]Pais1!C22</f>
        <v>0.64035599999999993</v>
      </c>
      <c r="D34" s="24">
        <f>+[8]Pais1!E22</f>
        <v>2.8560438399999994</v>
      </c>
      <c r="E34" s="21">
        <f t="shared" si="4"/>
        <v>346.00875762856907</v>
      </c>
      <c r="F34" s="21">
        <f t="shared" si="5"/>
        <v>0.44490667029566155</v>
      </c>
      <c r="G34" s="21">
        <f>+[8]Pais1!D22</f>
        <v>6.0000000000000001E-3</v>
      </c>
      <c r="H34" s="24">
        <f>+[8]Pais1!F22</f>
        <v>1.4999999999999999E-2</v>
      </c>
      <c r="I34" s="21">
        <f t="shared" si="6"/>
        <v>150</v>
      </c>
      <c r="J34" s="21">
        <f t="shared" si="7"/>
        <v>2.2496748555054846E-2</v>
      </c>
      <c r="K34" s="106"/>
    </row>
    <row r="35" spans="1:11">
      <c r="A35" s="104"/>
      <c r="B35" s="128" t="str">
        <f>+[8]Pais1!B23</f>
        <v>Harina de maíz</v>
      </c>
      <c r="C35" s="21">
        <f>+[8]Pais1!C23</f>
        <v>2.4429936099999967</v>
      </c>
      <c r="D35" s="24">
        <f>+[8]Pais1!E23</f>
        <v>2.7198284000000013</v>
      </c>
      <c r="E35" s="21">
        <f t="shared" si="4"/>
        <v>11.331785268157324</v>
      </c>
      <c r="F35" s="21">
        <f t="shared" si="5"/>
        <v>0.42368740292851298</v>
      </c>
      <c r="G35" s="21">
        <f>+[8]Pais1!D23</f>
        <v>0.53904200000000013</v>
      </c>
      <c r="H35" s="24">
        <f>+[8]Pais1!F23</f>
        <v>0.63674440000000021</v>
      </c>
      <c r="I35" s="21">
        <f t="shared" si="6"/>
        <v>18.125192471087615</v>
      </c>
      <c r="J35" s="21">
        <f t="shared" si="7"/>
        <v>0.95497857737595127</v>
      </c>
      <c r="K35" s="106"/>
    </row>
    <row r="36" spans="1:11">
      <c r="A36" s="104"/>
      <c r="B36" s="128" t="str">
        <f>+[8]Pais1!B24</f>
        <v>Armas largas</v>
      </c>
      <c r="C36" s="21">
        <f>+[8]Pais1!C24</f>
        <v>3.02042762</v>
      </c>
      <c r="D36" s="24">
        <f>+[8]Pais1!E24</f>
        <v>2.6534251200000001</v>
      </c>
      <c r="E36" s="21">
        <f t="shared" si="4"/>
        <v>-12.150680174219829</v>
      </c>
      <c r="F36" s="21">
        <f t="shared" si="5"/>
        <v>0.41334328222989269</v>
      </c>
      <c r="G36" s="21">
        <f>+[8]Pais1!D24</f>
        <v>0</v>
      </c>
      <c r="H36" s="24">
        <f>+[8]Pais1!F24</f>
        <v>0.57647899999999996</v>
      </c>
      <c r="I36" s="21" t="str">
        <f t="shared" si="6"/>
        <v/>
      </c>
      <c r="J36" s="21">
        <f t="shared" si="7"/>
        <v>0.8645935406846309</v>
      </c>
      <c r="K36" s="106"/>
    </row>
    <row r="37" spans="1:11">
      <c r="A37" s="104"/>
      <c r="B37" s="128" t="str">
        <f>+[8]Pais1!B25</f>
        <v>Gerbera frescas</v>
      </c>
      <c r="C37" s="21">
        <f>+[8]Pais1!C25</f>
        <v>1.8910906800000007</v>
      </c>
      <c r="D37" s="24">
        <f>+[8]Pais1!E25</f>
        <v>2.4793734999999995</v>
      </c>
      <c r="E37" s="21">
        <f t="shared" si="4"/>
        <v>31.10812327624599</v>
      </c>
      <c r="F37" s="21">
        <f t="shared" si="5"/>
        <v>0.38622999859284385</v>
      </c>
      <c r="G37" s="21">
        <f>+[8]Pais1!D25</f>
        <v>0.1453469</v>
      </c>
      <c r="H37" s="24">
        <f>+[8]Pais1!F25</f>
        <v>0.39671755999999997</v>
      </c>
      <c r="I37" s="21">
        <f t="shared" si="6"/>
        <v>172.94531909521288</v>
      </c>
      <c r="J37" s="21">
        <f t="shared" si="7"/>
        <v>0.5949903463129923</v>
      </c>
      <c r="K37" s="106"/>
    </row>
    <row r="38" spans="1:11">
      <c r="A38" s="104"/>
      <c r="B38" s="128" t="str">
        <f>+[8]Pais1!B26</f>
        <v>camisetas interiores</v>
      </c>
      <c r="C38" s="21">
        <f>+[8]Pais1!C26</f>
        <v>1.82249507</v>
      </c>
      <c r="D38" s="24">
        <f>+[8]Pais1!E26</f>
        <v>2.4465532300000006</v>
      </c>
      <c r="E38" s="21">
        <f t="shared" si="4"/>
        <v>34.241966975526616</v>
      </c>
      <c r="F38" s="21">
        <f t="shared" si="5"/>
        <v>0.38111734701537225</v>
      </c>
      <c r="G38" s="21">
        <f>+[8]Pais1!D26</f>
        <v>0.28271346999999997</v>
      </c>
      <c r="H38" s="24">
        <f>+[8]Pais1!F26</f>
        <v>0.40724878999999997</v>
      </c>
      <c r="I38" s="21">
        <f t="shared" si="6"/>
        <v>44.050012898218128</v>
      </c>
      <c r="J38" s="21">
        <f t="shared" si="7"/>
        <v>0.61078490853202227</v>
      </c>
      <c r="K38" s="106"/>
    </row>
    <row r="39" spans="1:11">
      <c r="A39" s="104"/>
      <c r="B39" s="128" t="str">
        <f>+[8]Pais1!B27</f>
        <v>Preparaciones capilares</v>
      </c>
      <c r="C39" s="21">
        <f>+[8]Pais1!C27</f>
        <v>0.18627628000000002</v>
      </c>
      <c r="D39" s="24">
        <f>+[8]Pais1!E27</f>
        <v>2.3742648500000003</v>
      </c>
      <c r="E39" s="21">
        <f t="shared" si="4"/>
        <v>1174.5932278656198</v>
      </c>
      <c r="F39" s="21">
        <f t="shared" si="5"/>
        <v>0.36985646159182511</v>
      </c>
      <c r="G39" s="21">
        <f>+[8]Pais1!D27</f>
        <v>0.10542278999999999</v>
      </c>
      <c r="H39" s="24">
        <f>+[8]Pais1!F27</f>
        <v>0.55109391000000008</v>
      </c>
      <c r="I39" s="21">
        <f t="shared" si="6"/>
        <v>422.74646686926059</v>
      </c>
      <c r="J39" s="21">
        <f t="shared" si="7"/>
        <v>0.82652140823280174</v>
      </c>
      <c r="K39" s="106"/>
    </row>
    <row r="40" spans="1:11">
      <c r="A40" s="104"/>
      <c r="B40" s="128" t="str">
        <f>+[8]Pais1!B28</f>
        <v>Partes aparatos de geodesia</v>
      </c>
      <c r="C40" s="21">
        <f>+[8]Pais1!C28</f>
        <v>1.02078413</v>
      </c>
      <c r="D40" s="24">
        <f>+[8]Pais1!E28</f>
        <v>2.3479409200000005</v>
      </c>
      <c r="E40" s="21">
        <f t="shared" si="4"/>
        <v>130.01346229785139</v>
      </c>
      <c r="F40" s="21">
        <f t="shared" si="5"/>
        <v>0.36575579202878505</v>
      </c>
      <c r="G40" s="21">
        <f>+[8]Pais1!D28</f>
        <v>6.7749610000000002E-2</v>
      </c>
      <c r="H40" s="24">
        <f>+[8]Pais1!F28</f>
        <v>0.16147194999999998</v>
      </c>
      <c r="I40" s="21">
        <f t="shared" si="6"/>
        <v>138.3363535229206</v>
      </c>
      <c r="J40" s="21">
        <f t="shared" si="7"/>
        <v>0.24217292385629252</v>
      </c>
      <c r="K40" s="106"/>
    </row>
    <row r="41" spans="1:11">
      <c r="A41" s="104"/>
      <c r="B41" s="128" t="str">
        <f>+[8]Pais1!B29</f>
        <v>Libros</v>
      </c>
      <c r="C41" s="21">
        <f>+[8]Pais1!C29</f>
        <v>8.1426339699999986</v>
      </c>
      <c r="D41" s="24">
        <f>+[8]Pais1!E29</f>
        <v>2.2760469599999995</v>
      </c>
      <c r="E41" s="21">
        <f t="shared" si="0"/>
        <v>-72.0477800133757</v>
      </c>
      <c r="F41" s="21">
        <f t="shared" si="1"/>
        <v>0.35455634827025723</v>
      </c>
      <c r="G41" s="21">
        <f>+[8]Pais1!D29</f>
        <v>1.1010727200000001</v>
      </c>
      <c r="H41" s="24">
        <f>+[8]Pais1!F29</f>
        <v>0.31843297999999992</v>
      </c>
      <c r="I41" s="21">
        <f t="shared" si="2"/>
        <v>-71.079750300234508</v>
      </c>
      <c r="J41" s="21">
        <f t="shared" si="3"/>
        <v>0.47758044551312051</v>
      </c>
      <c r="K41" s="106"/>
    </row>
    <row r="42" spans="1:11">
      <c r="A42" s="104"/>
      <c r="B42" s="128" t="str">
        <f>+[8]Pais1!B30</f>
        <v>Placas y láminas</v>
      </c>
      <c r="C42" s="21">
        <f>+[8]Pais1!C30</f>
        <v>1.9823651199999999</v>
      </c>
      <c r="D42" s="24">
        <f>+[8]Pais1!E30</f>
        <v>2.1681735800000004</v>
      </c>
      <c r="E42" s="21">
        <f t="shared" si="0"/>
        <v>9.3730694777357968</v>
      </c>
      <c r="F42" s="21">
        <f t="shared" si="1"/>
        <v>0.33775212921830516</v>
      </c>
      <c r="G42" s="21">
        <f>+[8]Pais1!D30</f>
        <v>0.16538626000000001</v>
      </c>
      <c r="H42" s="24">
        <f>+[8]Pais1!F30</f>
        <v>0.42689317999999998</v>
      </c>
      <c r="I42" s="21">
        <f t="shared" si="2"/>
        <v>158.1188908921454</v>
      </c>
      <c r="J42" s="21">
        <f t="shared" si="3"/>
        <v>0.64024723535518446</v>
      </c>
      <c r="K42" s="106"/>
    </row>
    <row r="43" spans="1:11">
      <c r="A43" s="104"/>
      <c r="B43" s="128" t="str">
        <f>+[8]Pais1!B31</f>
        <v>Partes de máquinas</v>
      </c>
      <c r="C43" s="21">
        <f>+[8]Pais1!C31</f>
        <v>0.48260775000000011</v>
      </c>
      <c r="D43" s="24">
        <f>+[8]Pais1!E31</f>
        <v>1.9961643499999999</v>
      </c>
      <c r="E43" s="21">
        <f t="shared" si="0"/>
        <v>313.6204505625945</v>
      </c>
      <c r="F43" s="21">
        <f t="shared" si="1"/>
        <v>0.31095700348962557</v>
      </c>
      <c r="G43" s="21">
        <f>+[8]Pais1!D31</f>
        <v>2.0072639999999999E-2</v>
      </c>
      <c r="H43" s="24">
        <f>+[8]Pais1!F31</f>
        <v>0.53611087000000013</v>
      </c>
      <c r="I43" s="21">
        <f t="shared" si="2"/>
        <v>2570.8538089658368</v>
      </c>
      <c r="J43" s="21">
        <f t="shared" si="3"/>
        <v>0.80405009600144661</v>
      </c>
      <c r="K43" s="106"/>
    </row>
    <row r="44" spans="1:11">
      <c r="A44" s="104"/>
      <c r="B44" s="128" t="s">
        <v>51</v>
      </c>
      <c r="C44" s="21">
        <f>+C13-SUM(C14:C43)</f>
        <v>105.55503057999766</v>
      </c>
      <c r="D44" s="24">
        <f>+D13-SUM(D14:D43)</f>
        <v>101.45533223000564</v>
      </c>
      <c r="E44" s="21">
        <f t="shared" si="0"/>
        <v>-3.8839440692359561</v>
      </c>
      <c r="F44" s="21">
        <f t="shared" si="1"/>
        <v>15.804433186218855</v>
      </c>
      <c r="G44" s="21">
        <f>+G13-SUM(G14:G43)</f>
        <v>12.49012052000004</v>
      </c>
      <c r="H44" s="24">
        <f>+H13-SUM(H14:H43)</f>
        <v>12.136085640000083</v>
      </c>
      <c r="I44" s="21">
        <f t="shared" si="2"/>
        <v>-2.8345193261590462</v>
      </c>
      <c r="J44" s="21">
        <f t="shared" si="3"/>
        <v>18.201497805712915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113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+'Principales paises'!C15</f>
        <v>286.08450398000019</v>
      </c>
      <c r="D13" s="24">
        <f>+'Principales paises'!D15</f>
        <v>308.95850393999888</v>
      </c>
      <c r="E13" s="24">
        <f>IF(OR(OR(D13=0,C13=0),D13=""),"",(D13/C13-1)*100)</f>
        <v>7.9955396541148582</v>
      </c>
      <c r="F13" s="22">
        <f>(D13/D$13)*100</f>
        <v>100</v>
      </c>
      <c r="G13" s="24">
        <f>+'Principales paises'!G15</f>
        <v>37.747173339999989</v>
      </c>
      <c r="H13" s="24">
        <f>+'Principales paises'!H15</f>
        <v>34.065628050000036</v>
      </c>
      <c r="I13" s="24">
        <f>IF(OR(OR(H13=0,G13=0),H13=""),"",(H13/G13-1)*100)</f>
        <v>-9.7531681560343095</v>
      </c>
      <c r="J13" s="22">
        <f>(H13/H$13)*100</f>
        <v>100</v>
      </c>
      <c r="K13" s="106"/>
    </row>
    <row r="14" spans="1:14">
      <c r="A14" s="104"/>
      <c r="B14" s="128" t="str">
        <f>+[8]pais2!B2</f>
        <v>Medicamentos</v>
      </c>
      <c r="C14" s="21">
        <f>+[8]pais2!C2</f>
        <v>17.294614550000009</v>
      </c>
      <c r="D14" s="24">
        <f>+[8]pais2!E2</f>
        <v>16.813683610000009</v>
      </c>
      <c r="E14" s="21">
        <f t="shared" ref="E14:E44" si="0">IF(OR(OR(D14=0,C14=0),D14=""),"",(D14/C14-1)*100)</f>
        <v>-2.780813290805606</v>
      </c>
      <c r="F14" s="21">
        <f t="shared" ref="F14:F44" si="1">(D14/D$13)*100</f>
        <v>5.4420523777734573</v>
      </c>
      <c r="G14" s="21">
        <f>+[8]pais2!D2</f>
        <v>2.3741303399999998</v>
      </c>
      <c r="H14" s="24">
        <f>+[8]pais2!F2</f>
        <v>2.1757950300000002</v>
      </c>
      <c r="I14" s="21">
        <f t="shared" ref="I14:I44" si="2">IF(OR(OR(H14=0,G14=0),H14=""),"",(H14/G14-1)*100)</f>
        <v>-8.3540194343331482</v>
      </c>
      <c r="J14" s="21">
        <f>(H14/H$13)*100</f>
        <v>6.3870685924429846</v>
      </c>
      <c r="K14" s="106"/>
    </row>
    <row r="15" spans="1:14">
      <c r="A15" s="104"/>
      <c r="B15" s="128" t="str">
        <f>+[8]pais2!B3</f>
        <v>Tejido de punto</v>
      </c>
      <c r="C15" s="21">
        <f>+[8]pais2!C3</f>
        <v>14.253328729999987</v>
      </c>
      <c r="D15" s="24">
        <f>+[8]pais2!E3</f>
        <v>14.439648730000004</v>
      </c>
      <c r="E15" s="21">
        <f t="shared" si="0"/>
        <v>1.3072034156333956</v>
      </c>
      <c r="F15" s="21">
        <f t="shared" si="1"/>
        <v>4.6736531106469394</v>
      </c>
      <c r="G15" s="21">
        <f>+[8]pais2!D3</f>
        <v>2.2076725400000003</v>
      </c>
      <c r="H15" s="24">
        <f>+[8]pais2!F3</f>
        <v>1.2168008800000001</v>
      </c>
      <c r="I15" s="21">
        <f t="shared" si="2"/>
        <v>-44.883090315559215</v>
      </c>
      <c r="J15" s="21">
        <f t="shared" ref="J15:J44" si="3">(H15/H$13)*100</f>
        <v>3.5719314442523507</v>
      </c>
      <c r="K15" s="106"/>
    </row>
    <row r="16" spans="1:14">
      <c r="A16" s="104"/>
      <c r="B16" s="128" t="str">
        <f>+[8]pais2!B4</f>
        <v>Baldosas y losas</v>
      </c>
      <c r="C16" s="21">
        <f>+[8]pais2!C4</f>
        <v>2.0766728899999998</v>
      </c>
      <c r="D16" s="24">
        <f>+[8]pais2!E4</f>
        <v>11.158121800000004</v>
      </c>
      <c r="E16" s="21">
        <f t="shared" si="0"/>
        <v>437.30762575708326</v>
      </c>
      <c r="F16" s="21">
        <f t="shared" si="1"/>
        <v>3.6115276510294598</v>
      </c>
      <c r="G16" s="21">
        <f>+[8]pais2!D4</f>
        <v>0.25951993000000001</v>
      </c>
      <c r="H16" s="24">
        <f>+[8]pais2!F4</f>
        <v>1.6340128499999997</v>
      </c>
      <c r="I16" s="21">
        <f t="shared" si="2"/>
        <v>529.6290423629506</v>
      </c>
      <c r="J16" s="21">
        <f t="shared" si="3"/>
        <v>4.7966614547709705</v>
      </c>
      <c r="K16" s="106"/>
    </row>
    <row r="17" spans="1:11">
      <c r="A17" s="104"/>
      <c r="B17" s="128" t="str">
        <f>+[8]pais2!B5</f>
        <v>Preparaciones  tensoactivas</v>
      </c>
      <c r="C17" s="21">
        <f>+[8]pais2!C5</f>
        <v>9.4108375099999968</v>
      </c>
      <c r="D17" s="24">
        <f>+[8]pais2!E5</f>
        <v>10.243952880000007</v>
      </c>
      <c r="E17" s="21">
        <f t="shared" si="0"/>
        <v>8.852722928376334</v>
      </c>
      <c r="F17" s="21">
        <f t="shared" si="1"/>
        <v>3.3156403689698828</v>
      </c>
      <c r="G17" s="21">
        <f>+[8]pais2!D5</f>
        <v>1.3120632100000003</v>
      </c>
      <c r="H17" s="24">
        <f>+[8]pais2!F5</f>
        <v>0.58660609000000008</v>
      </c>
      <c r="I17" s="21">
        <f t="shared" si="2"/>
        <v>-55.29132395991806</v>
      </c>
      <c r="J17" s="21">
        <f t="shared" si="3"/>
        <v>1.7219881845096336</v>
      </c>
      <c r="K17" s="106"/>
    </row>
    <row r="18" spans="1:11">
      <c r="A18" s="104"/>
      <c r="B18" s="128" t="str">
        <f>+[8]pais2!B6</f>
        <v>Páneles, consolas</v>
      </c>
      <c r="C18" s="21">
        <f>+[8]pais2!C6</f>
        <v>1.1021575799999999</v>
      </c>
      <c r="D18" s="24">
        <f>+[8]pais2!E6</f>
        <v>9.8478517999999973</v>
      </c>
      <c r="E18" s="21">
        <f t="shared" si="0"/>
        <v>793.5066980168117</v>
      </c>
      <c r="F18" s="21">
        <f t="shared" si="1"/>
        <v>3.1874351003177095</v>
      </c>
      <c r="G18" s="21">
        <f>+[8]pais2!D6</f>
        <v>0</v>
      </c>
      <c r="H18" s="24">
        <f>+[8]pais2!F6</f>
        <v>2.4265495200000005</v>
      </c>
      <c r="I18" s="21" t="str">
        <f t="shared" si="2"/>
        <v/>
      </c>
      <c r="J18" s="21">
        <f t="shared" si="3"/>
        <v>7.1231609657641348</v>
      </c>
      <c r="K18" s="106"/>
    </row>
    <row r="19" spans="1:11">
      <c r="A19" s="104"/>
      <c r="B19" s="128" t="str">
        <f>+[8]pais2!B7</f>
        <v>Libros</v>
      </c>
      <c r="C19" s="21">
        <f>+[8]pais2!C7</f>
        <v>4.3235045399999983</v>
      </c>
      <c r="D19" s="24">
        <f>+[8]pais2!E7</f>
        <v>5.8808438400000034</v>
      </c>
      <c r="E19" s="21">
        <f t="shared" si="0"/>
        <v>36.020299865349649</v>
      </c>
      <c r="F19" s="21">
        <f t="shared" si="1"/>
        <v>1.9034413246453608</v>
      </c>
      <c r="G19" s="21">
        <f>+[8]pais2!D7</f>
        <v>0.47662317999999987</v>
      </c>
      <c r="H19" s="24">
        <f>+[8]pais2!F7</f>
        <v>0.37662782</v>
      </c>
      <c r="I19" s="21">
        <f t="shared" si="2"/>
        <v>-20.979961570480032</v>
      </c>
      <c r="J19" s="21">
        <f t="shared" si="3"/>
        <v>1.1055948225795285</v>
      </c>
      <c r="K19" s="106"/>
    </row>
    <row r="20" spans="1:11">
      <c r="A20" s="104"/>
      <c r="B20" s="128" t="str">
        <f>+[8]pais2!B8</f>
        <v>Preparaciones capilares</v>
      </c>
      <c r="C20" s="21">
        <f>+[8]pais2!C8</f>
        <v>3.6094309999999998</v>
      </c>
      <c r="D20" s="24">
        <f>+[8]pais2!E8</f>
        <v>5.08811182</v>
      </c>
      <c r="E20" s="21">
        <f t="shared" si="0"/>
        <v>40.967144682915404</v>
      </c>
      <c r="F20" s="21">
        <f t="shared" si="1"/>
        <v>1.6468592885820466</v>
      </c>
      <c r="G20" s="21">
        <f>+[8]pais2!D8</f>
        <v>0.47056172999999996</v>
      </c>
      <c r="H20" s="24">
        <f>+[8]pais2!F8</f>
        <v>0.90560775000000004</v>
      </c>
      <c r="I20" s="21">
        <f t="shared" si="2"/>
        <v>92.452486520737693</v>
      </c>
      <c r="J20" s="21">
        <f t="shared" si="3"/>
        <v>2.6584208242712819</v>
      </c>
      <c r="K20" s="106"/>
    </row>
    <row r="21" spans="1:11">
      <c r="A21" s="104"/>
      <c r="B21" s="128" t="str">
        <f>+[8]pais2!B9</f>
        <v>Champúes para el cabello</v>
      </c>
      <c r="C21" s="21">
        <f>+[8]pais2!C9</f>
        <v>1.1858542400000003</v>
      </c>
      <c r="D21" s="24">
        <f>+[8]pais2!E9</f>
        <v>4.5986926300000048</v>
      </c>
      <c r="E21" s="21">
        <f t="shared" si="0"/>
        <v>287.79577412482024</v>
      </c>
      <c r="F21" s="21">
        <f t="shared" si="1"/>
        <v>1.4884499281797052</v>
      </c>
      <c r="G21" s="21">
        <f>+[8]pais2!D9</f>
        <v>0.26838083000000001</v>
      </c>
      <c r="H21" s="24">
        <f>+[8]pais2!F9</f>
        <v>0.52298473999999995</v>
      </c>
      <c r="I21" s="21">
        <f t="shared" si="2"/>
        <v>94.866652733729111</v>
      </c>
      <c r="J21" s="21">
        <f t="shared" si="3"/>
        <v>1.5352270600512219</v>
      </c>
      <c r="K21" s="106"/>
    </row>
    <row r="22" spans="1:11">
      <c r="A22" s="104"/>
      <c r="B22" s="128" t="str">
        <f>+[8]pais2!B10</f>
        <v>Preparaciones compuestas</v>
      </c>
      <c r="C22" s="21">
        <f>+[8]pais2!C10</f>
        <v>0.21071700999999998</v>
      </c>
      <c r="D22" s="24">
        <f>+[8]pais2!E10</f>
        <v>4.4953137800000009</v>
      </c>
      <c r="E22" s="21">
        <f t="shared" si="0"/>
        <v>2033.3416699487152</v>
      </c>
      <c r="F22" s="21">
        <f t="shared" si="1"/>
        <v>1.4549894962182401</v>
      </c>
      <c r="G22" s="21">
        <f>+[8]pais2!D10</f>
        <v>0.21071700999999998</v>
      </c>
      <c r="H22" s="24">
        <f>+[8]pais2!F10</f>
        <v>0.76685360000000014</v>
      </c>
      <c r="I22" s="21">
        <f t="shared" si="2"/>
        <v>263.92581690486219</v>
      </c>
      <c r="J22" s="21">
        <f t="shared" si="3"/>
        <v>2.2511065959930225</v>
      </c>
      <c r="K22" s="106"/>
    </row>
    <row r="23" spans="1:11">
      <c r="A23" s="104"/>
      <c r="B23" s="128" t="str">
        <f>+[8]pais2!B11</f>
        <v>Vehículos 1000 y 1500 cm3</v>
      </c>
      <c r="C23" s="21">
        <f>+[8]pais2!C11</f>
        <v>2.2624440000000003</v>
      </c>
      <c r="D23" s="24">
        <f>+[8]pais2!E11</f>
        <v>4.1761720000000011</v>
      </c>
      <c r="E23" s="21">
        <f t="shared" si="0"/>
        <v>84.586756622484387</v>
      </c>
      <c r="F23" s="21">
        <f t="shared" si="1"/>
        <v>1.3516934949979666</v>
      </c>
      <c r="G23" s="21">
        <f>+[8]pais2!D11</f>
        <v>9.9559999999999996E-3</v>
      </c>
      <c r="H23" s="24">
        <f>+[8]pais2!F11</f>
        <v>0</v>
      </c>
      <c r="I23" s="21" t="str">
        <f t="shared" si="2"/>
        <v/>
      </c>
      <c r="J23" s="21">
        <f t="shared" si="3"/>
        <v>0</v>
      </c>
      <c r="K23" s="106"/>
    </row>
    <row r="24" spans="1:11">
      <c r="A24" s="104"/>
      <c r="B24" s="128" t="str">
        <f>+[8]pais2!B12</f>
        <v>Acabado para industria textil</v>
      </c>
      <c r="C24" s="21">
        <f>+[8]pais2!C12</f>
        <v>0.10511569999999998</v>
      </c>
      <c r="D24" s="24">
        <f>+[8]pais2!E12</f>
        <v>3.9069145199999995</v>
      </c>
      <c r="E24" s="21">
        <f t="shared" si="0"/>
        <v>3616.7754388735461</v>
      </c>
      <c r="F24" s="21">
        <f t="shared" si="1"/>
        <v>1.2645434484492259</v>
      </c>
      <c r="G24" s="21">
        <f>+[8]pais2!D12</f>
        <v>2.3762170000000006E-2</v>
      </c>
      <c r="H24" s="24">
        <f>+[8]pais2!F12</f>
        <v>0.37206086999999999</v>
      </c>
      <c r="I24" s="21">
        <f t="shared" si="2"/>
        <v>1465.7697508266288</v>
      </c>
      <c r="J24" s="21">
        <f t="shared" si="3"/>
        <v>1.0921884940853148</v>
      </c>
      <c r="K24" s="106"/>
    </row>
    <row r="25" spans="1:11">
      <c r="A25" s="104"/>
      <c r="B25" s="128" t="str">
        <f>+[8]pais2!B13</f>
        <v>Rotuladores</v>
      </c>
      <c r="C25" s="21">
        <f>+[8]pais2!C13</f>
        <v>2.9167504600000007</v>
      </c>
      <c r="D25" s="24">
        <f>+[8]pais2!E13</f>
        <v>3.8733205199999978</v>
      </c>
      <c r="E25" s="21">
        <f t="shared" si="0"/>
        <v>32.795745577768656</v>
      </c>
      <c r="F25" s="21">
        <f t="shared" si="1"/>
        <v>1.2536701435970876</v>
      </c>
      <c r="G25" s="21">
        <f>+[8]pais2!D13</f>
        <v>0.37587729000000003</v>
      </c>
      <c r="H25" s="24">
        <f>+[8]pais2!F13</f>
        <v>0.25345781000000001</v>
      </c>
      <c r="I25" s="21">
        <f t="shared" si="2"/>
        <v>-32.569001441933352</v>
      </c>
      <c r="J25" s="21">
        <f t="shared" si="3"/>
        <v>0.74402799686530285</v>
      </c>
      <c r="K25" s="106"/>
    </row>
    <row r="26" spans="1:11">
      <c r="A26" s="104"/>
      <c r="B26" s="128" t="str">
        <f>+[8]pais2!B14</f>
        <v>Ejes con diferencial</v>
      </c>
      <c r="C26" s="21">
        <f>+[8]pais2!C14</f>
        <v>2.7995390000000002</v>
      </c>
      <c r="D26" s="24">
        <f>+[8]pais2!E14</f>
        <v>3.8132542600000008</v>
      </c>
      <c r="E26" s="21">
        <f t="shared" si="0"/>
        <v>36.210078159296955</v>
      </c>
      <c r="F26" s="21">
        <f t="shared" si="1"/>
        <v>1.2342286136718708</v>
      </c>
      <c r="G26" s="21">
        <f>+[8]pais2!D14</f>
        <v>0.94355149999999988</v>
      </c>
      <c r="H26" s="24">
        <f>+[8]pais2!F14</f>
        <v>0.2746962</v>
      </c>
      <c r="I26" s="21">
        <f t="shared" si="2"/>
        <v>-70.886994509573668</v>
      </c>
      <c r="J26" s="21">
        <f t="shared" si="3"/>
        <v>0.8063735082083705</v>
      </c>
      <c r="K26" s="106"/>
    </row>
    <row r="27" spans="1:11">
      <c r="A27" s="104"/>
      <c r="B27" s="128" t="str">
        <f>+[8]pais2!B15</f>
        <v>Mezclas odoriferas</v>
      </c>
      <c r="C27" s="21">
        <f>+[8]pais2!C15</f>
        <v>2.8439456499999984</v>
      </c>
      <c r="D27" s="24">
        <f>+[8]pais2!E15</f>
        <v>3.4349444400000011</v>
      </c>
      <c r="E27" s="21">
        <f t="shared" si="0"/>
        <v>20.780945303930221</v>
      </c>
      <c r="F27" s="21">
        <f t="shared" si="1"/>
        <v>1.1117818076524228</v>
      </c>
      <c r="G27" s="21">
        <f>+[8]pais2!D15</f>
        <v>0.28581868999999999</v>
      </c>
      <c r="H27" s="24">
        <f>+[8]pais2!F15</f>
        <v>0.30828870999999997</v>
      </c>
      <c r="I27" s="21">
        <f t="shared" si="2"/>
        <v>7.8616342409238538</v>
      </c>
      <c r="J27" s="21">
        <f t="shared" si="3"/>
        <v>0.90498466532748878</v>
      </c>
      <c r="K27" s="106"/>
    </row>
    <row r="28" spans="1:11">
      <c r="A28" s="104"/>
      <c r="B28" s="128" t="str">
        <f>+[8]pais2!B16</f>
        <v>Dentifricos</v>
      </c>
      <c r="C28" s="21">
        <f>+[8]pais2!C16</f>
        <v>0.3915323</v>
      </c>
      <c r="D28" s="24">
        <f>+[8]pais2!E16</f>
        <v>3.2210114800000005</v>
      </c>
      <c r="E28" s="21">
        <f t="shared" si="0"/>
        <v>722.66813746911816</v>
      </c>
      <c r="F28" s="21">
        <f t="shared" si="1"/>
        <v>1.042538541235795</v>
      </c>
      <c r="G28" s="21">
        <f>+[8]pais2!D16</f>
        <v>0.38955167000000002</v>
      </c>
      <c r="H28" s="24">
        <f>+[8]pais2!F16</f>
        <v>0.41570792999999995</v>
      </c>
      <c r="I28" s="21">
        <f t="shared" si="2"/>
        <v>6.714452026351192</v>
      </c>
      <c r="J28" s="21">
        <f t="shared" si="3"/>
        <v>1.2203148856960513</v>
      </c>
      <c r="K28" s="106"/>
    </row>
    <row r="29" spans="1:11">
      <c r="A29" s="104"/>
      <c r="B29" s="128" t="str">
        <f>+[8]pais2!B17</f>
        <v>Recipientes</v>
      </c>
      <c r="C29" s="21">
        <f>+[8]pais2!C17</f>
        <v>2.8712078499999976</v>
      </c>
      <c r="D29" s="24">
        <f>+[8]pais2!E17</f>
        <v>3.1998226699999996</v>
      </c>
      <c r="E29" s="21">
        <f t="shared" si="0"/>
        <v>11.445176983616934</v>
      </c>
      <c r="F29" s="21">
        <f t="shared" si="1"/>
        <v>1.03568040018132</v>
      </c>
      <c r="G29" s="21">
        <f>+[8]pais2!D17</f>
        <v>0.32107385999999999</v>
      </c>
      <c r="H29" s="24">
        <f>+[8]pais2!F17</f>
        <v>0.26529462999999998</v>
      </c>
      <c r="I29" s="21">
        <f t="shared" si="2"/>
        <v>-17.372709818233101</v>
      </c>
      <c r="J29" s="21">
        <f t="shared" si="3"/>
        <v>0.77877510319378862</v>
      </c>
      <c r="K29" s="106"/>
    </row>
    <row r="30" spans="1:11">
      <c r="A30" s="104"/>
      <c r="B30" s="128" t="str">
        <f>+[8]pais2!B18</f>
        <v>Amortiguadores</v>
      </c>
      <c r="C30" s="21">
        <f>+[8]pais2!C18</f>
        <v>2.8011621600000005</v>
      </c>
      <c r="D30" s="24">
        <f>+[8]pais2!E18</f>
        <v>3.0625396500000006</v>
      </c>
      <c r="E30" s="21">
        <f t="shared" si="0"/>
        <v>9.331037443401712</v>
      </c>
      <c r="F30" s="21">
        <f t="shared" si="1"/>
        <v>0.99124627124513764</v>
      </c>
      <c r="G30" s="21">
        <f>+[8]pais2!D18</f>
        <v>0.41411025999999995</v>
      </c>
      <c r="H30" s="24">
        <f>+[8]pais2!F18</f>
        <v>0.26901159999999996</v>
      </c>
      <c r="I30" s="21">
        <f t="shared" si="2"/>
        <v>-35.038653715075782</v>
      </c>
      <c r="J30" s="21">
        <f t="shared" si="3"/>
        <v>0.78968630669352857</v>
      </c>
      <c r="K30" s="106"/>
    </row>
    <row r="31" spans="1:11">
      <c r="A31" s="104"/>
      <c r="B31" s="128" t="str">
        <f>+[8]pais2!B19</f>
        <v>Productos a base de cereales</v>
      </c>
      <c r="C31" s="21">
        <f>+[8]pais2!C19</f>
        <v>2.4686914799999995</v>
      </c>
      <c r="D31" s="24">
        <f>+[8]pais2!E19</f>
        <v>3.0512979900000015</v>
      </c>
      <c r="E31" s="21">
        <f t="shared" si="0"/>
        <v>23.599810455051351</v>
      </c>
      <c r="F31" s="21">
        <f t="shared" si="1"/>
        <v>0.987607704946868</v>
      </c>
      <c r="G31" s="21">
        <f>+[8]pais2!D19</f>
        <v>0.24932923000000001</v>
      </c>
      <c r="H31" s="24">
        <f>+[8]pais2!F19</f>
        <v>0.25326182000000003</v>
      </c>
      <c r="I31" s="21">
        <f t="shared" si="2"/>
        <v>1.5772679360538833</v>
      </c>
      <c r="J31" s="21">
        <f t="shared" si="3"/>
        <v>0.74345266621320893</v>
      </c>
      <c r="K31" s="106"/>
    </row>
    <row r="32" spans="1:11">
      <c r="A32" s="104"/>
      <c r="B32" s="128" t="str">
        <f>+[8]pais2!B20</f>
        <v>Ruedas y sus partes</v>
      </c>
      <c r="C32" s="21">
        <f>+[8]pais2!C20</f>
        <v>2.3095540700000017</v>
      </c>
      <c r="D32" s="24">
        <f>+[8]pais2!E20</f>
        <v>2.8267308100000017</v>
      </c>
      <c r="E32" s="21">
        <f t="shared" si="0"/>
        <v>22.392926267363798</v>
      </c>
      <c r="F32" s="21">
        <f t="shared" si="1"/>
        <v>0.91492248115914143</v>
      </c>
      <c r="G32" s="21">
        <f>+[8]pais2!D20</f>
        <v>0.48309460000000004</v>
      </c>
      <c r="H32" s="24">
        <f>+[8]pais2!F20</f>
        <v>0.39585943000000001</v>
      </c>
      <c r="I32" s="21">
        <f t="shared" si="2"/>
        <v>-18.057575058798015</v>
      </c>
      <c r="J32" s="21">
        <f t="shared" si="3"/>
        <v>1.1620494106815669</v>
      </c>
      <c r="K32" s="106"/>
    </row>
    <row r="33" spans="1:11">
      <c r="A33" s="104"/>
      <c r="B33" s="128" t="str">
        <f>+[8]pais2!B21</f>
        <v>Jabones</v>
      </c>
      <c r="C33" s="21">
        <f>+[8]pais2!C21</f>
        <v>3.4470701700000004</v>
      </c>
      <c r="D33" s="24">
        <f>+[8]pais2!E21</f>
        <v>2.6490777400000005</v>
      </c>
      <c r="E33" s="21">
        <f t="shared" si="0"/>
        <v>-23.149874839942697</v>
      </c>
      <c r="F33" s="21">
        <f t="shared" si="1"/>
        <v>0.85742185640388247</v>
      </c>
      <c r="G33" s="21">
        <f>+[8]pais2!D21</f>
        <v>0.64139029999999997</v>
      </c>
      <c r="H33" s="24">
        <f>+[8]pais2!F21</f>
        <v>0.44217058999999992</v>
      </c>
      <c r="I33" s="21">
        <f t="shared" si="2"/>
        <v>-31.06060537554124</v>
      </c>
      <c r="J33" s="21">
        <f t="shared" si="3"/>
        <v>1.2979962951248141</v>
      </c>
      <c r="K33" s="106"/>
    </row>
    <row r="34" spans="1:11">
      <c r="A34" s="104"/>
      <c r="B34" s="128" t="str">
        <f>+[8]pais2!B22</f>
        <v>Preparaciones de belleza</v>
      </c>
      <c r="C34" s="21">
        <f>+[8]pais2!C22</f>
        <v>5.2185519100000004</v>
      </c>
      <c r="D34" s="24">
        <f>+[8]pais2!E22</f>
        <v>2.6428220699999985</v>
      </c>
      <c r="E34" s="21">
        <f t="shared" si="0"/>
        <v>-49.357175791703526</v>
      </c>
      <c r="F34" s="21">
        <f t="shared" si="1"/>
        <v>0.85539709582269541</v>
      </c>
      <c r="G34" s="21">
        <f>+[8]pais2!D22</f>
        <v>1.1070903100000002</v>
      </c>
      <c r="H34" s="24">
        <f>+[8]pais2!F22</f>
        <v>0.25726776000000001</v>
      </c>
      <c r="I34" s="21">
        <f t="shared" si="2"/>
        <v>-76.761809070481348</v>
      </c>
      <c r="J34" s="21">
        <f t="shared" si="3"/>
        <v>0.75521214410723225</v>
      </c>
      <c r="K34" s="106"/>
    </row>
    <row r="35" spans="1:11">
      <c r="A35" s="104"/>
      <c r="B35" s="128" t="str">
        <f>+[8]pais2!B23</f>
        <v>Guarniciones de fricción</v>
      </c>
      <c r="C35" s="21">
        <f>+[8]pais2!C23</f>
        <v>2.4357343400000002</v>
      </c>
      <c r="D35" s="24">
        <f>+[8]pais2!E23</f>
        <v>2.4788673199999987</v>
      </c>
      <c r="E35" s="21">
        <f t="shared" si="0"/>
        <v>1.7708409037743511</v>
      </c>
      <c r="F35" s="21">
        <f t="shared" si="1"/>
        <v>0.80233017974524046</v>
      </c>
      <c r="G35" s="21">
        <f>+[8]pais2!D23</f>
        <v>0.2162963</v>
      </c>
      <c r="H35" s="24">
        <f>+[8]pais2!F23</f>
        <v>0.42163815000000004</v>
      </c>
      <c r="I35" s="21">
        <f t="shared" si="2"/>
        <v>94.935442723708192</v>
      </c>
      <c r="J35" s="21">
        <f t="shared" si="3"/>
        <v>1.2377231072362385</v>
      </c>
      <c r="K35" s="106"/>
    </row>
    <row r="36" spans="1:11">
      <c r="A36" s="104"/>
      <c r="B36" s="128" t="str">
        <f>+[8]pais2!B24</f>
        <v>Bisuteria</v>
      </c>
      <c r="C36" s="21">
        <f>+[8]pais2!C24</f>
        <v>1.9540767599999997</v>
      </c>
      <c r="D36" s="24">
        <f>+[8]pais2!E24</f>
        <v>2.2717823299999989</v>
      </c>
      <c r="E36" s="21">
        <f t="shared" si="0"/>
        <v>16.258602348865715</v>
      </c>
      <c r="F36" s="21">
        <f t="shared" si="1"/>
        <v>0.73530338250252181</v>
      </c>
      <c r="G36" s="21">
        <f>+[8]pais2!D24</f>
        <v>0.22394654999999999</v>
      </c>
      <c r="H36" s="24">
        <f>+[8]pais2!F24</f>
        <v>0.16793353999999999</v>
      </c>
      <c r="I36" s="21">
        <f t="shared" si="2"/>
        <v>-25.011776247501917</v>
      </c>
      <c r="J36" s="21">
        <f t="shared" si="3"/>
        <v>0.49297062644350631</v>
      </c>
      <c r="K36" s="106"/>
    </row>
    <row r="37" spans="1:11">
      <c r="A37" s="104"/>
      <c r="B37" s="128" t="str">
        <f>+[8]pais2!B25</f>
        <v>Otros antibióticos humanos</v>
      </c>
      <c r="C37" s="21">
        <f>+[8]pais2!C25</f>
        <v>2.5110412199999992</v>
      </c>
      <c r="D37" s="24">
        <f>+[8]pais2!E25</f>
        <v>2.1855937399999998</v>
      </c>
      <c r="E37" s="21">
        <f t="shared" si="0"/>
        <v>-12.960658606790986</v>
      </c>
      <c r="F37" s="21">
        <f t="shared" si="1"/>
        <v>0.70740688866892365</v>
      </c>
      <c r="G37" s="21">
        <f>+[8]pais2!D25</f>
        <v>0.32672066999999999</v>
      </c>
      <c r="H37" s="24">
        <f>+[8]pais2!F25</f>
        <v>0.25036612999999996</v>
      </c>
      <c r="I37" s="21">
        <f t="shared" si="2"/>
        <v>-23.369975337036387</v>
      </c>
      <c r="J37" s="21">
        <f t="shared" si="3"/>
        <v>0.73495233856403164</v>
      </c>
      <c r="K37" s="106"/>
    </row>
    <row r="38" spans="1:11">
      <c r="A38" s="104"/>
      <c r="B38" s="128" t="str">
        <f>+[8]pais2!B26</f>
        <v>Artículos de construcción</v>
      </c>
      <c r="C38" s="21">
        <f>+[8]pais2!C26</f>
        <v>2.1575075800000003</v>
      </c>
      <c r="D38" s="24">
        <f>+[8]pais2!E26</f>
        <v>2.1588044200000001</v>
      </c>
      <c r="E38" s="21">
        <f t="shared" si="0"/>
        <v>6.0108247684564908E-2</v>
      </c>
      <c r="F38" s="21">
        <f t="shared" si="1"/>
        <v>0.69873604140032008</v>
      </c>
      <c r="G38" s="21">
        <f>+[8]pais2!D26</f>
        <v>3.3881460000000002E-2</v>
      </c>
      <c r="H38" s="24">
        <f>+[8]pais2!F26</f>
        <v>0.32380033000000003</v>
      </c>
      <c r="I38" s="21">
        <f t="shared" si="2"/>
        <v>855.68588248558353</v>
      </c>
      <c r="J38" s="21">
        <f t="shared" si="3"/>
        <v>0.95051918468886021</v>
      </c>
      <c r="K38" s="106"/>
    </row>
    <row r="39" spans="1:11">
      <c r="A39" s="104"/>
      <c r="B39" s="128" t="str">
        <f>+[8]pais2!B27</f>
        <v>Partes para ascensores</v>
      </c>
      <c r="C39" s="21">
        <f>+[8]pais2!C27</f>
        <v>1.6184850799999992</v>
      </c>
      <c r="D39" s="24">
        <f>+[8]pais2!E27</f>
        <v>2.1348495299999986</v>
      </c>
      <c r="E39" s="21">
        <f t="shared" si="0"/>
        <v>31.904183509680518</v>
      </c>
      <c r="F39" s="21">
        <f t="shared" si="1"/>
        <v>0.69098260859477623</v>
      </c>
      <c r="G39" s="21">
        <f>+[8]pais2!D27</f>
        <v>0.16958997999999997</v>
      </c>
      <c r="H39" s="24">
        <f>+[8]pais2!F27</f>
        <v>0.35715998999999993</v>
      </c>
      <c r="I39" s="21">
        <f t="shared" si="2"/>
        <v>110.60205915467409</v>
      </c>
      <c r="J39" s="21">
        <f t="shared" si="3"/>
        <v>1.0484468082484084</v>
      </c>
      <c r="K39" s="106"/>
    </row>
    <row r="40" spans="1:11">
      <c r="A40" s="104"/>
      <c r="B40" s="128" t="str">
        <f>+[8]pais2!B28</f>
        <v>Juegos de cables para bujías</v>
      </c>
      <c r="C40" s="21">
        <f>+[8]pais2!C28</f>
        <v>1.96955287</v>
      </c>
      <c r="D40" s="24">
        <f>+[8]pais2!E28</f>
        <v>2.1106725700000002</v>
      </c>
      <c r="E40" s="21">
        <f t="shared" si="0"/>
        <v>7.1650627992535298</v>
      </c>
      <c r="F40" s="21">
        <f t="shared" si="1"/>
        <v>0.68315729882285492</v>
      </c>
      <c r="G40" s="21">
        <f>+[8]pais2!D28</f>
        <v>0.72573184000000013</v>
      </c>
      <c r="H40" s="24">
        <f>+[8]pais2!F28</f>
        <v>0.10083813999999999</v>
      </c>
      <c r="I40" s="21">
        <f t="shared" si="2"/>
        <v>-86.105316806824959</v>
      </c>
      <c r="J40" s="21">
        <f t="shared" si="3"/>
        <v>0.29601139263304993</v>
      </c>
      <c r="K40" s="106"/>
    </row>
    <row r="41" spans="1:11">
      <c r="A41" s="104"/>
      <c r="B41" s="128" t="str">
        <f>+[8]pais2!B29</f>
        <v>Preparaciones manicuras</v>
      </c>
      <c r="C41" s="21">
        <f>+[8]pais2!C29</f>
        <v>0.7656385400000002</v>
      </c>
      <c r="D41" s="24">
        <f>+[8]pais2!E29</f>
        <v>2.0551590299999996</v>
      </c>
      <c r="E41" s="21">
        <f t="shared" si="0"/>
        <v>168.42418747624683</v>
      </c>
      <c r="F41" s="21">
        <f t="shared" si="1"/>
        <v>0.66518933895379062</v>
      </c>
      <c r="G41" s="21">
        <f>+[8]pais2!D29</f>
        <v>9.2196009999999995E-2</v>
      </c>
      <c r="H41" s="24">
        <f>+[8]pais2!F29</f>
        <v>0.13015185999999998</v>
      </c>
      <c r="I41" s="21">
        <f t="shared" si="2"/>
        <v>41.168647103057921</v>
      </c>
      <c r="J41" s="21">
        <f t="shared" si="3"/>
        <v>0.38206211788894301</v>
      </c>
      <c r="K41" s="106"/>
    </row>
    <row r="42" spans="1:11">
      <c r="A42" s="104"/>
      <c r="B42" s="128" t="str">
        <f>+[8]pais2!B30</f>
        <v>Tapones</v>
      </c>
      <c r="C42" s="21">
        <f>+[8]pais2!C30</f>
        <v>1.6577662099999997</v>
      </c>
      <c r="D42" s="24">
        <f>+[8]pais2!E30</f>
        <v>1.997784350000001</v>
      </c>
      <c r="E42" s="21">
        <f t="shared" si="0"/>
        <v>20.5106207346331</v>
      </c>
      <c r="F42" s="21">
        <f t="shared" si="1"/>
        <v>0.64661898750907321</v>
      </c>
      <c r="G42" s="21">
        <f>+[8]pais2!D30</f>
        <v>0.19525291000000003</v>
      </c>
      <c r="H42" s="24">
        <f>+[8]pais2!F30</f>
        <v>0.27784034000000007</v>
      </c>
      <c r="I42" s="21">
        <f t="shared" si="2"/>
        <v>42.297669212714965</v>
      </c>
      <c r="J42" s="21">
        <f t="shared" si="3"/>
        <v>0.81560316337687422</v>
      </c>
      <c r="K42" s="106"/>
    </row>
    <row r="43" spans="1:11">
      <c r="A43" s="104"/>
      <c r="B43" s="128" t="str">
        <f>+[8]pais2!B31</f>
        <v>Vacunas antiaftosas.</v>
      </c>
      <c r="C43" s="21">
        <f>+[8]pais2!C31</f>
        <v>1.42030911</v>
      </c>
      <c r="D43" s="24">
        <f>+[8]pais2!E31</f>
        <v>1.8201203899999998</v>
      </c>
      <c r="E43" s="21">
        <f t="shared" si="0"/>
        <v>28.149596252325647</v>
      </c>
      <c r="F43" s="21">
        <f t="shared" si="1"/>
        <v>0.5891148380086263</v>
      </c>
      <c r="G43" s="21">
        <f>+[8]pais2!D31</f>
        <v>0</v>
      </c>
      <c r="H43" s="24">
        <f>+[8]pais2!F31</f>
        <v>0</v>
      </c>
      <c r="I43" s="21" t="str">
        <f t="shared" si="2"/>
        <v/>
      </c>
      <c r="J43" s="21">
        <f t="shared" si="3"/>
        <v>0</v>
      </c>
      <c r="K43" s="106"/>
    </row>
    <row r="44" spans="1:11">
      <c r="A44" s="104"/>
      <c r="B44" s="128" t="s">
        <v>51</v>
      </c>
      <c r="C44" s="21">
        <f>+C13-SUM(C14:C43)</f>
        <v>185.69170947000018</v>
      </c>
      <c r="D44" s="24">
        <f>+D13-SUM(D14:D43)</f>
        <v>167.32074121999892</v>
      </c>
      <c r="E44" s="21">
        <f t="shared" si="0"/>
        <v>-9.8932624953669279</v>
      </c>
      <c r="F44" s="21">
        <f t="shared" si="1"/>
        <v>54.156379930067679</v>
      </c>
      <c r="G44" s="21">
        <f>+G13-SUM(G14:G43)</f>
        <v>22.939282969999994</v>
      </c>
      <c r="H44" s="24">
        <f>+H13-SUM(H14:H43)</f>
        <v>17.916983940000037</v>
      </c>
      <c r="I44" s="21">
        <f t="shared" si="2"/>
        <v>-21.893879754515964</v>
      </c>
      <c r="J44" s="21">
        <f t="shared" si="3"/>
        <v>52.595489840088291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+'Principales paises'!C16</f>
        <v>296.00589862999902</v>
      </c>
      <c r="D13" s="24">
        <f>+'Principales paises'!D16</f>
        <v>187.8648223800009</v>
      </c>
      <c r="E13" s="24">
        <f>IF(OR(OR(D13=0,C13=0),D13=""),"",(D13/C13-1)*100)</f>
        <v>-36.533419350933997</v>
      </c>
      <c r="F13" s="22">
        <f>(D13/D$13)*100</f>
        <v>100</v>
      </c>
      <c r="G13" s="24">
        <f>+'Principales paises'!G16</f>
        <v>46.047828680000151</v>
      </c>
      <c r="H13" s="24">
        <f>+'Principales paises'!H16</f>
        <v>25.66969035</v>
      </c>
      <c r="I13" s="24">
        <f>IF(OR(OR(H13=0,G13=0),H13=""),"",(H13/G13-1)*100)</f>
        <v>-44.254287149159197</v>
      </c>
      <c r="J13" s="22">
        <f>(H13/H$13)*100</f>
        <v>100</v>
      </c>
      <c r="K13" s="106"/>
    </row>
    <row r="14" spans="1:14">
      <c r="A14" s="104"/>
      <c r="B14" s="128" t="str">
        <f>+[8]pais3!B2</f>
        <v>Medicamentos</v>
      </c>
      <c r="C14" s="21">
        <f>+[8]pais3!C2</f>
        <v>14.921485470000013</v>
      </c>
      <c r="D14" s="24">
        <f>+[8]pais3!E2</f>
        <v>15.42418088</v>
      </c>
      <c r="E14" s="21">
        <f t="shared" ref="E14:E44" si="0">IF(OR(OR(D14=0,C14=0),D14=""),"",(D14/C14-1)*100)</f>
        <v>3.3689367657842695</v>
      </c>
      <c r="F14" s="21">
        <f t="shared" ref="F14:F44" si="1">(D14/D$13)*100</f>
        <v>8.2102549506585945</v>
      </c>
      <c r="G14" s="21">
        <f>+[8]pais3!D2</f>
        <v>4.3804285299999988</v>
      </c>
      <c r="H14" s="24">
        <f>+[8]pais3!F2</f>
        <v>1.57396413</v>
      </c>
      <c r="I14" s="21">
        <f t="shared" ref="I14:I44" si="2">IF(OR(OR(H14=0,G14=0),H14=""),"",(H14/G14-1)*100)</f>
        <v>-64.068261376244834</v>
      </c>
      <c r="J14" s="21">
        <f>(H14/H$13)*100</f>
        <v>6.131605440265858</v>
      </c>
      <c r="K14" s="106"/>
    </row>
    <row r="15" spans="1:14">
      <c r="A15" s="104"/>
      <c r="B15" s="128" t="str">
        <f>+[8]pais3!B3</f>
        <v>Otros alimentos</v>
      </c>
      <c r="C15" s="21">
        <f>+[8]pais3!C3</f>
        <v>6.2669917200000063</v>
      </c>
      <c r="D15" s="24">
        <f>+[8]pais3!E3</f>
        <v>5.256738400000005</v>
      </c>
      <c r="E15" s="21">
        <f t="shared" si="0"/>
        <v>-16.120227457393234</v>
      </c>
      <c r="F15" s="21">
        <f t="shared" si="1"/>
        <v>2.7981493998738158</v>
      </c>
      <c r="G15" s="21">
        <f>+[8]pais3!D3</f>
        <v>1.1078558399999996</v>
      </c>
      <c r="H15" s="24">
        <f>+[8]pais3!F3</f>
        <v>0.53379359999999998</v>
      </c>
      <c r="I15" s="21">
        <f t="shared" si="2"/>
        <v>-51.817413355874884</v>
      </c>
      <c r="J15" s="21">
        <f t="shared" ref="J15:J44" si="3">(H15/H$13)*100</f>
        <v>2.0794703509152379</v>
      </c>
      <c r="K15" s="106"/>
    </row>
    <row r="16" spans="1:14">
      <c r="A16" s="104"/>
      <c r="B16" s="128" t="str">
        <f>+[8]pais3!B4</f>
        <v>Grabados y fotografías</v>
      </c>
      <c r="C16" s="21">
        <f>+[8]pais3!C4</f>
        <v>5.5842564599999882</v>
      </c>
      <c r="D16" s="24">
        <f>+[8]pais3!E4</f>
        <v>4.9891050600000009</v>
      </c>
      <c r="E16" s="21">
        <f t="shared" si="0"/>
        <v>-10.657665962569141</v>
      </c>
      <c r="F16" s="21">
        <f t="shared" si="1"/>
        <v>2.6556888068743172</v>
      </c>
      <c r="G16" s="21">
        <f>+[8]pais3!D4</f>
        <v>0.7722534000000002</v>
      </c>
      <c r="H16" s="24">
        <f>+[8]pais3!F4</f>
        <v>0.56138000000000021</v>
      </c>
      <c r="I16" s="21">
        <f t="shared" si="2"/>
        <v>-27.306244297532377</v>
      </c>
      <c r="J16" s="21">
        <f t="shared" si="3"/>
        <v>2.1869371712152352</v>
      </c>
      <c r="K16" s="106"/>
    </row>
    <row r="17" spans="1:11">
      <c r="A17" s="104"/>
      <c r="B17" s="128" t="str">
        <f>+[8]pais3!B5</f>
        <v>Sostenes</v>
      </c>
      <c r="C17" s="21">
        <f>+[8]pais3!C5</f>
        <v>4.4546993900000009</v>
      </c>
      <c r="D17" s="24">
        <f>+[8]pais3!E5</f>
        <v>4.7018321400000005</v>
      </c>
      <c r="E17" s="21">
        <f t="shared" si="0"/>
        <v>5.547686350166936</v>
      </c>
      <c r="F17" s="21">
        <f t="shared" si="1"/>
        <v>2.5027741119566476</v>
      </c>
      <c r="G17" s="21">
        <f>+[8]pais3!D5</f>
        <v>0.52707264000000009</v>
      </c>
      <c r="H17" s="24">
        <f>+[8]pais3!F5</f>
        <v>0.42913203</v>
      </c>
      <c r="I17" s="21">
        <f t="shared" si="2"/>
        <v>-18.581994694317672</v>
      </c>
      <c r="J17" s="21">
        <f t="shared" si="3"/>
        <v>1.6717460325733926</v>
      </c>
      <c r="K17" s="106"/>
    </row>
    <row r="18" spans="1:11">
      <c r="A18" s="104"/>
      <c r="B18" s="128" t="str">
        <f>+[8]pais3!B6</f>
        <v>Vidrio de seguridad</v>
      </c>
      <c r="C18" s="21">
        <f>+[8]pais3!C6</f>
        <v>6.4974606399999795</v>
      </c>
      <c r="D18" s="24">
        <f>+[8]pais3!E6</f>
        <v>4.5787043699999881</v>
      </c>
      <c r="E18" s="21">
        <f t="shared" si="0"/>
        <v>-29.530864076153872</v>
      </c>
      <c r="F18" s="21">
        <f t="shared" si="1"/>
        <v>2.4372334916105149</v>
      </c>
      <c r="G18" s="21">
        <f>+[8]pais3!D6</f>
        <v>0.73280554000000031</v>
      </c>
      <c r="H18" s="24">
        <f>+[8]pais3!F6</f>
        <v>0.77578427999999977</v>
      </c>
      <c r="I18" s="21">
        <f t="shared" si="2"/>
        <v>5.8649583899160307</v>
      </c>
      <c r="J18" s="21">
        <f t="shared" si="3"/>
        <v>3.0221801253632954</v>
      </c>
      <c r="K18" s="106"/>
    </row>
    <row r="19" spans="1:11">
      <c r="A19" s="104"/>
      <c r="B19" s="128" t="str">
        <f>+[8]pais3!B7</f>
        <v>Preparaciones capilares</v>
      </c>
      <c r="C19" s="21">
        <f>+[8]pais3!C7</f>
        <v>5.8021936700000003</v>
      </c>
      <c r="D19" s="24">
        <f>+[8]pais3!E7</f>
        <v>4.2231957400000004</v>
      </c>
      <c r="E19" s="21">
        <f t="shared" si="0"/>
        <v>-27.213809462516615</v>
      </c>
      <c r="F19" s="21">
        <f t="shared" si="1"/>
        <v>2.2479970898743309</v>
      </c>
      <c r="G19" s="21">
        <f>+[8]pais3!D7</f>
        <v>1.52859883</v>
      </c>
      <c r="H19" s="24">
        <f>+[8]pais3!F7</f>
        <v>0.67624075000000017</v>
      </c>
      <c r="I19" s="21">
        <f t="shared" si="2"/>
        <v>-55.760743974925056</v>
      </c>
      <c r="J19" s="21">
        <f t="shared" si="3"/>
        <v>2.6343938737850814</v>
      </c>
      <c r="K19" s="106"/>
    </row>
    <row r="20" spans="1:11">
      <c r="A20" s="104"/>
      <c r="B20" s="128" t="str">
        <f>+[8]pais3!B8</f>
        <v>Cajas de papel</v>
      </c>
      <c r="C20" s="21">
        <f>+[8]pais3!C8</f>
        <v>7.5960788799999968</v>
      </c>
      <c r="D20" s="24">
        <f>+[8]pais3!E8</f>
        <v>4.0143227100000018</v>
      </c>
      <c r="E20" s="21">
        <f t="shared" si="0"/>
        <v>-47.152698472241198</v>
      </c>
      <c r="F20" s="21">
        <f t="shared" si="1"/>
        <v>2.1368144707155912</v>
      </c>
      <c r="G20" s="21">
        <f>+[8]pais3!D8</f>
        <v>0.99169544999999981</v>
      </c>
      <c r="H20" s="24">
        <f>+[8]pais3!F8</f>
        <v>0.49947134999999993</v>
      </c>
      <c r="I20" s="21">
        <f t="shared" si="2"/>
        <v>-49.634603042698231</v>
      </c>
      <c r="J20" s="21">
        <f t="shared" si="3"/>
        <v>1.9457630504685848</v>
      </c>
      <c r="K20" s="106"/>
    </row>
    <row r="21" spans="1:11">
      <c r="A21" s="104"/>
      <c r="B21" s="128" t="str">
        <f>+[8]pais3!B9</f>
        <v>Preparaciones compuestas</v>
      </c>
      <c r="C21" s="21">
        <f>+[8]pais3!C9</f>
        <v>1.3536242700000003</v>
      </c>
      <c r="D21" s="24">
        <f>+[8]pais3!E9</f>
        <v>3.6279999399999978</v>
      </c>
      <c r="E21" s="21">
        <f t="shared" si="0"/>
        <v>168.02119468499166</v>
      </c>
      <c r="F21" s="21">
        <f t="shared" si="1"/>
        <v>1.9311757752398757</v>
      </c>
      <c r="G21" s="21">
        <f>+[8]pais3!D9</f>
        <v>0</v>
      </c>
      <c r="H21" s="24">
        <f>+[8]pais3!F9</f>
        <v>0.99860203999999997</v>
      </c>
      <c r="I21" s="21" t="str">
        <f t="shared" si="2"/>
        <v/>
      </c>
      <c r="J21" s="21">
        <f t="shared" si="3"/>
        <v>3.8901990105229296</v>
      </c>
      <c r="K21" s="106"/>
    </row>
    <row r="22" spans="1:11">
      <c r="A22" s="104"/>
      <c r="B22" s="128" t="str">
        <f>+[8]pais3!B10</f>
        <v>Otros antibióticos humanos</v>
      </c>
      <c r="C22" s="21">
        <f>+[8]pais3!C10</f>
        <v>3.1176352000000005</v>
      </c>
      <c r="D22" s="24">
        <f>+[8]pais3!E10</f>
        <v>3.6257229800000013</v>
      </c>
      <c r="E22" s="21">
        <f t="shared" si="0"/>
        <v>16.297217198471479</v>
      </c>
      <c r="F22" s="21">
        <f t="shared" si="1"/>
        <v>1.9299637548247972</v>
      </c>
      <c r="G22" s="21">
        <f>+[8]pais3!D10</f>
        <v>0.77766551000000006</v>
      </c>
      <c r="H22" s="24">
        <f>+[8]pais3!F10</f>
        <v>0.84821424000000034</v>
      </c>
      <c r="I22" s="21">
        <f t="shared" si="2"/>
        <v>9.0718604712198605</v>
      </c>
      <c r="J22" s="21">
        <f t="shared" si="3"/>
        <v>3.3043415344509617</v>
      </c>
      <c r="K22" s="106"/>
    </row>
    <row r="23" spans="1:11">
      <c r="A23" s="104"/>
      <c r="B23" s="128" t="str">
        <f>+[8]pais3!B11</f>
        <v>Mezclas odoriferas</v>
      </c>
      <c r="C23" s="21">
        <f>+[8]pais3!C11</f>
        <v>2.0279471799999991</v>
      </c>
      <c r="D23" s="24">
        <f>+[8]pais3!E11</f>
        <v>3.1679117400000023</v>
      </c>
      <c r="E23" s="21">
        <f t="shared" si="0"/>
        <v>56.212734298139047</v>
      </c>
      <c r="F23" s="21">
        <f t="shared" si="1"/>
        <v>1.6862719160866391</v>
      </c>
      <c r="G23" s="21">
        <f>+[8]pais3!D11</f>
        <v>0.29880301999999992</v>
      </c>
      <c r="H23" s="24">
        <f>+[8]pais3!F11</f>
        <v>0.93243473999999982</v>
      </c>
      <c r="I23" s="21">
        <f t="shared" si="2"/>
        <v>212.05666529073235</v>
      </c>
      <c r="J23" s="21">
        <f t="shared" si="3"/>
        <v>3.6324347013402902</v>
      </c>
      <c r="K23" s="106"/>
    </row>
    <row r="24" spans="1:11">
      <c r="A24" s="104"/>
      <c r="B24" s="128" t="str">
        <f>+[8]pais3!B12</f>
        <v>Productos a base de cereales</v>
      </c>
      <c r="C24" s="21">
        <f>+[8]pais3!C12</f>
        <v>1.3444908599999998</v>
      </c>
      <c r="D24" s="24">
        <f>+[8]pais3!E12</f>
        <v>3.0647579600000001</v>
      </c>
      <c r="E24" s="21">
        <f t="shared" si="0"/>
        <v>127.9493339210949</v>
      </c>
      <c r="F24" s="21">
        <f t="shared" si="1"/>
        <v>1.631363403309644</v>
      </c>
      <c r="G24" s="21">
        <f>+[8]pais3!D12</f>
        <v>0</v>
      </c>
      <c r="H24" s="24">
        <f>+[8]pais3!F12</f>
        <v>0.15080521</v>
      </c>
      <c r="I24" s="21" t="str">
        <f t="shared" si="2"/>
        <v/>
      </c>
      <c r="J24" s="21">
        <f t="shared" si="3"/>
        <v>0.58748355723737822</v>
      </c>
      <c r="K24" s="106"/>
    </row>
    <row r="25" spans="1:11">
      <c r="A25" s="104"/>
      <c r="B25" s="128" t="str">
        <f>+[8]pais3!B13</f>
        <v>Corticosteroides</v>
      </c>
      <c r="C25" s="21">
        <f>+[8]pais3!C13</f>
        <v>2.0096981800000004</v>
      </c>
      <c r="D25" s="24">
        <f>+[8]pais3!E13</f>
        <v>2.7712117899999993</v>
      </c>
      <c r="E25" s="21">
        <f t="shared" si="0"/>
        <v>37.891939077140371</v>
      </c>
      <c r="F25" s="21">
        <f t="shared" si="1"/>
        <v>1.4751094722750011</v>
      </c>
      <c r="G25" s="21">
        <f>+[8]pais3!D13</f>
        <v>0.60026445000000006</v>
      </c>
      <c r="H25" s="24">
        <f>+[8]pais3!F13</f>
        <v>0.99810102999999994</v>
      </c>
      <c r="I25" s="21">
        <f t="shared" si="2"/>
        <v>66.276885129545789</v>
      </c>
      <c r="J25" s="21">
        <f t="shared" si="3"/>
        <v>3.8882472534383337</v>
      </c>
      <c r="K25" s="106"/>
    </row>
    <row r="26" spans="1:11">
      <c r="A26" s="104"/>
      <c r="B26" s="128" t="str">
        <f>+[8]pais3!B14</f>
        <v>Electrodos recubiertos</v>
      </c>
      <c r="C26" s="21">
        <f>+[8]pais3!C14</f>
        <v>2.3295683999999999</v>
      </c>
      <c r="D26" s="24">
        <f>+[8]pais3!E14</f>
        <v>2.6820112900000002</v>
      </c>
      <c r="E26" s="21">
        <f t="shared" si="0"/>
        <v>15.129106747842226</v>
      </c>
      <c r="F26" s="21">
        <f t="shared" si="1"/>
        <v>1.4276282573940318</v>
      </c>
      <c r="G26" s="21">
        <f>+[8]pais3!D14</f>
        <v>0</v>
      </c>
      <c r="H26" s="24">
        <f>+[8]pais3!F14</f>
        <v>1.0658914600000002</v>
      </c>
      <c r="I26" s="21" t="str">
        <f t="shared" si="2"/>
        <v/>
      </c>
      <c r="J26" s="21">
        <f t="shared" si="3"/>
        <v>4.1523347008352216</v>
      </c>
      <c r="K26" s="106"/>
    </row>
    <row r="27" spans="1:11">
      <c r="A27" s="104"/>
      <c r="B27" s="128" t="str">
        <f>+[8]pais3!B15</f>
        <v>Preparaciones de belleza</v>
      </c>
      <c r="C27" s="21">
        <f>+[8]pais3!C15</f>
        <v>2.9324045399999998</v>
      </c>
      <c r="D27" s="24">
        <f>+[8]pais3!E15</f>
        <v>2.6409800999999993</v>
      </c>
      <c r="E27" s="21">
        <f t="shared" si="0"/>
        <v>-9.9380708229295234</v>
      </c>
      <c r="F27" s="21">
        <f t="shared" si="1"/>
        <v>1.4057874521383222</v>
      </c>
      <c r="G27" s="21">
        <f>+[8]pais3!D15</f>
        <v>0.22095313999999999</v>
      </c>
      <c r="H27" s="24">
        <f>+[8]pais3!F15</f>
        <v>0.38638348</v>
      </c>
      <c r="I27" s="21">
        <f t="shared" si="2"/>
        <v>74.871232877704301</v>
      </c>
      <c r="J27" s="21">
        <f t="shared" si="3"/>
        <v>1.5052128589466993</v>
      </c>
      <c r="K27" s="106"/>
    </row>
    <row r="28" spans="1:11">
      <c r="A28" s="104"/>
      <c r="B28" s="128" t="str">
        <f>+[8]pais3!B16</f>
        <v>Fregaderos</v>
      </c>
      <c r="C28" s="21">
        <f>+[8]pais3!C16</f>
        <v>10.741033480000009</v>
      </c>
      <c r="D28" s="24">
        <f>+[8]pais3!E16</f>
        <v>2.3996111299999989</v>
      </c>
      <c r="E28" s="21">
        <f t="shared" si="0"/>
        <v>-77.659401821359964</v>
      </c>
      <c r="F28" s="21">
        <f t="shared" si="1"/>
        <v>1.2773073210833583</v>
      </c>
      <c r="G28" s="21">
        <f>+[8]pais3!D16</f>
        <v>1.1015309</v>
      </c>
      <c r="H28" s="24">
        <f>+[8]pais3!F16</f>
        <v>0.12148421999999999</v>
      </c>
      <c r="I28" s="21">
        <f t="shared" si="2"/>
        <v>-88.971328902348546</v>
      </c>
      <c r="J28" s="21">
        <f t="shared" si="3"/>
        <v>0.47325939013518326</v>
      </c>
      <c r="K28" s="106"/>
    </row>
    <row r="29" spans="1:11">
      <c r="A29" s="104"/>
      <c r="B29" s="128" t="str">
        <f>+[8]pais3!B17</f>
        <v>Tejidos de hilados</v>
      </c>
      <c r="C29" s="21">
        <f>+[8]pais3!C17</f>
        <v>2.6681141199999998</v>
      </c>
      <c r="D29" s="24">
        <f>+[8]pais3!E17</f>
        <v>2.2576975299999993</v>
      </c>
      <c r="E29" s="21">
        <f t="shared" si="0"/>
        <v>-15.382272704287491</v>
      </c>
      <c r="F29" s="21">
        <f t="shared" si="1"/>
        <v>1.2017670479219753</v>
      </c>
      <c r="G29" s="21">
        <f>+[8]pais3!D17</f>
        <v>0.53091332999999996</v>
      </c>
      <c r="H29" s="24">
        <f>+[8]pais3!F17</f>
        <v>0.50527420000000001</v>
      </c>
      <c r="I29" s="21">
        <f t="shared" si="2"/>
        <v>-4.8292496253578676</v>
      </c>
      <c r="J29" s="21">
        <f t="shared" si="3"/>
        <v>1.9683688938616277</v>
      </c>
      <c r="K29" s="106"/>
    </row>
    <row r="30" spans="1:11">
      <c r="A30" s="104"/>
      <c r="B30" s="128" t="str">
        <f>+[8]pais3!B18</f>
        <v>Penicilinas o derivados</v>
      </c>
      <c r="C30" s="21">
        <f>+[8]pais3!C18</f>
        <v>2.7446815800000004</v>
      </c>
      <c r="D30" s="24">
        <f>+[8]pais3!E18</f>
        <v>2.2401478500000001</v>
      </c>
      <c r="E30" s="21">
        <f t="shared" si="0"/>
        <v>-18.382231792439839</v>
      </c>
      <c r="F30" s="21">
        <f t="shared" si="1"/>
        <v>1.1924253948239296</v>
      </c>
      <c r="G30" s="21">
        <f>+[8]pais3!D18</f>
        <v>1.0065327100000001</v>
      </c>
      <c r="H30" s="24">
        <f>+[8]pais3!F18</f>
        <v>0.17880984000000003</v>
      </c>
      <c r="I30" s="21">
        <f t="shared" si="2"/>
        <v>-82.235069141468827</v>
      </c>
      <c r="J30" s="21">
        <f t="shared" si="3"/>
        <v>0.69657965313165537</v>
      </c>
      <c r="K30" s="106"/>
    </row>
    <row r="31" spans="1:11">
      <c r="A31" s="104"/>
      <c r="B31" s="128" t="str">
        <f>+[8]pais3!B19</f>
        <v>Filtros tubulares</v>
      </c>
      <c r="C31" s="21">
        <f>+[8]pais3!C19</f>
        <v>0</v>
      </c>
      <c r="D31" s="24">
        <f>+[8]pais3!E19</f>
        <v>2.2068820000000002</v>
      </c>
      <c r="E31" s="21" t="str">
        <f t="shared" si="0"/>
        <v/>
      </c>
      <c r="F31" s="21">
        <f t="shared" si="1"/>
        <v>1.1747180616582178</v>
      </c>
      <c r="G31" s="21">
        <f>+[8]pais3!D19</f>
        <v>0</v>
      </c>
      <c r="H31" s="24">
        <f>+[8]pais3!F19</f>
        <v>1.061626</v>
      </c>
      <c r="I31" s="21" t="str">
        <f t="shared" si="2"/>
        <v/>
      </c>
      <c r="J31" s="21">
        <f t="shared" si="3"/>
        <v>4.1357179830570097</v>
      </c>
      <c r="K31" s="106"/>
    </row>
    <row r="32" spans="1:11">
      <c r="A32" s="104"/>
      <c r="B32" s="128" t="str">
        <f>+[8]pais3!B20</f>
        <v>Tirantes y similares</v>
      </c>
      <c r="C32" s="21">
        <f>+[8]pais3!C20</f>
        <v>2.66455815</v>
      </c>
      <c r="D32" s="24">
        <f>+[8]pais3!E20</f>
        <v>2.1606398399999986</v>
      </c>
      <c r="E32" s="21">
        <f t="shared" si="0"/>
        <v>-18.911890138333121</v>
      </c>
      <c r="F32" s="21">
        <f t="shared" si="1"/>
        <v>1.1501034694135528</v>
      </c>
      <c r="G32" s="21">
        <f>+[8]pais3!D20</f>
        <v>0.41495395999999996</v>
      </c>
      <c r="H32" s="24">
        <f>+[8]pais3!F20</f>
        <v>0.12910632000000005</v>
      </c>
      <c r="I32" s="21">
        <f t="shared" si="2"/>
        <v>-68.886591659469872</v>
      </c>
      <c r="J32" s="21">
        <f t="shared" si="3"/>
        <v>0.50295238563327682</v>
      </c>
      <c r="K32" s="106"/>
    </row>
    <row r="33" spans="1:11">
      <c r="A33" s="104"/>
      <c r="B33" s="128" t="str">
        <f>+[8]pais3!B21</f>
        <v>Partes para radiadores</v>
      </c>
      <c r="C33" s="21">
        <f>+[8]pais3!C21</f>
        <v>1.3350880200000002</v>
      </c>
      <c r="D33" s="24">
        <f>+[8]pais3!E21</f>
        <v>2.0413348399999993</v>
      </c>
      <c r="E33" s="21">
        <f t="shared" si="0"/>
        <v>52.898895759696728</v>
      </c>
      <c r="F33" s="21">
        <f t="shared" si="1"/>
        <v>1.0865977004842973</v>
      </c>
      <c r="G33" s="21">
        <f>+[8]pais3!D21</f>
        <v>9.6000000000000002E-4</v>
      </c>
      <c r="H33" s="24">
        <f>+[8]pais3!F21</f>
        <v>0.34793460000000004</v>
      </c>
      <c r="I33" s="21">
        <f t="shared" si="2"/>
        <v>36143.187500000007</v>
      </c>
      <c r="J33" s="21">
        <f t="shared" si="3"/>
        <v>1.3554296731125159</v>
      </c>
      <c r="K33" s="106"/>
    </row>
    <row r="34" spans="1:11">
      <c r="A34" s="104"/>
      <c r="B34" s="128" t="str">
        <f>+[8]pais3!B22</f>
        <v>Libros</v>
      </c>
      <c r="C34" s="21">
        <f>+[8]pais3!C22</f>
        <v>7.7677197200000041</v>
      </c>
      <c r="D34" s="24">
        <f>+[8]pais3!E22</f>
        <v>1.8628202500000004</v>
      </c>
      <c r="E34" s="21">
        <f t="shared" si="0"/>
        <v>-76.018441484137384</v>
      </c>
      <c r="F34" s="21">
        <f t="shared" si="1"/>
        <v>0.99157480703439371</v>
      </c>
      <c r="G34" s="21">
        <f>+[8]pais3!D22</f>
        <v>2.3193427600000001</v>
      </c>
      <c r="H34" s="24">
        <f>+[8]pais3!F22</f>
        <v>0.21668194000000002</v>
      </c>
      <c r="I34" s="21">
        <f t="shared" si="2"/>
        <v>-90.657614573535469</v>
      </c>
      <c r="J34" s="21">
        <f t="shared" si="3"/>
        <v>0.84411590886214172</v>
      </c>
      <c r="K34" s="106"/>
    </row>
    <row r="35" spans="1:11">
      <c r="A35" s="104"/>
      <c r="B35" s="128" t="str">
        <f>+[8]pais3!B23</f>
        <v>Recipientes</v>
      </c>
      <c r="C35" s="21">
        <f>+[8]pais3!C23</f>
        <v>4.0011561700000016</v>
      </c>
      <c r="D35" s="24">
        <f>+[8]pais3!E23</f>
        <v>1.8071394800000011</v>
      </c>
      <c r="E35" s="21">
        <f t="shared" si="0"/>
        <v>-54.834567729457049</v>
      </c>
      <c r="F35" s="21">
        <f t="shared" si="1"/>
        <v>0.9619360650418286</v>
      </c>
      <c r="G35" s="21">
        <f>+[8]pais3!D23</f>
        <v>0.41441722999999991</v>
      </c>
      <c r="H35" s="24">
        <f>+[8]pais3!F23</f>
        <v>0.22982575999999999</v>
      </c>
      <c r="I35" s="21">
        <f t="shared" si="2"/>
        <v>-44.542421655586075</v>
      </c>
      <c r="J35" s="21">
        <f t="shared" si="3"/>
        <v>0.89531956508388499</v>
      </c>
      <c r="K35" s="106"/>
    </row>
    <row r="36" spans="1:11">
      <c r="A36" s="104"/>
      <c r="B36" s="128" t="str">
        <f>+[8]pais3!B24</f>
        <v>Tejido de punto</v>
      </c>
      <c r="C36" s="21">
        <f>+[8]pais3!C24</f>
        <v>4.0376939700000003</v>
      </c>
      <c r="D36" s="24">
        <f>+[8]pais3!E24</f>
        <v>1.6881975200000001</v>
      </c>
      <c r="E36" s="21">
        <f t="shared" si="0"/>
        <v>-58.189067013417059</v>
      </c>
      <c r="F36" s="21">
        <f t="shared" si="1"/>
        <v>0.89862354144472167</v>
      </c>
      <c r="G36" s="21">
        <f>+[8]pais3!D24</f>
        <v>0.48420118999999995</v>
      </c>
      <c r="H36" s="24">
        <f>+[8]pais3!F24</f>
        <v>4.5393380000000004E-2</v>
      </c>
      <c r="I36" s="21">
        <f t="shared" si="2"/>
        <v>-90.625099455042644</v>
      </c>
      <c r="J36" s="21">
        <f t="shared" si="3"/>
        <v>0.17683649230307136</v>
      </c>
      <c r="K36" s="106"/>
    </row>
    <row r="37" spans="1:11">
      <c r="A37" s="104"/>
      <c r="B37" s="128" t="str">
        <f>+[8]pais3!B25</f>
        <v>Tapones</v>
      </c>
      <c r="C37" s="21">
        <f>+[8]pais3!C25</f>
        <v>2.69439385</v>
      </c>
      <c r="D37" s="24">
        <f>+[8]pais3!E25</f>
        <v>1.6789544900000002</v>
      </c>
      <c r="E37" s="21">
        <f t="shared" si="0"/>
        <v>-37.687116900151764</v>
      </c>
      <c r="F37" s="21">
        <f t="shared" si="1"/>
        <v>0.89370349846759434</v>
      </c>
      <c r="G37" s="21">
        <f>+[8]pais3!D25</f>
        <v>0.50916748999999994</v>
      </c>
      <c r="H37" s="24">
        <f>+[8]pais3!F25</f>
        <v>8.4158670000000019E-2</v>
      </c>
      <c r="I37" s="21">
        <f t="shared" si="2"/>
        <v>-83.471319034921095</v>
      </c>
      <c r="J37" s="21">
        <f t="shared" si="3"/>
        <v>0.32785229916106101</v>
      </c>
      <c r="K37" s="106"/>
    </row>
    <row r="38" spans="1:11">
      <c r="A38" s="104"/>
      <c r="B38" s="128" t="str">
        <f>+[8]pais3!B26</f>
        <v>Páneles, consolas</v>
      </c>
      <c r="C38" s="21">
        <f>+[8]pais3!C26</f>
        <v>6.0335015900000011</v>
      </c>
      <c r="D38" s="24">
        <f>+[8]pais3!E26</f>
        <v>1.669988</v>
      </c>
      <c r="E38" s="21">
        <f t="shared" si="0"/>
        <v>-72.321412780136527</v>
      </c>
      <c r="F38" s="21">
        <f t="shared" si="1"/>
        <v>0.88893065707748919</v>
      </c>
      <c r="G38" s="21">
        <f>+[8]pais3!D26</f>
        <v>0</v>
      </c>
      <c r="H38" s="24">
        <f>+[8]pais3!F26</f>
        <v>5.4679999999999999E-2</v>
      </c>
      <c r="I38" s="21" t="str">
        <f t="shared" si="2"/>
        <v/>
      </c>
      <c r="J38" s="21">
        <f t="shared" si="3"/>
        <v>0.21301386676057041</v>
      </c>
      <c r="K38" s="106"/>
    </row>
    <row r="39" spans="1:11">
      <c r="A39" s="104"/>
      <c r="B39" s="128" t="str">
        <f>+[8]pais3!B27</f>
        <v>Bragas de punto</v>
      </c>
      <c r="C39" s="21">
        <f>+[8]pais3!C27</f>
        <v>2.211091179999999</v>
      </c>
      <c r="D39" s="24">
        <f>+[8]pais3!E27</f>
        <v>1.6289084699999996</v>
      </c>
      <c r="E39" s="21">
        <f t="shared" si="0"/>
        <v>-26.330108647984375</v>
      </c>
      <c r="F39" s="21">
        <f t="shared" si="1"/>
        <v>0.86706412055427184</v>
      </c>
      <c r="G39" s="21">
        <f>+[8]pais3!D27</f>
        <v>0.34971815000000006</v>
      </c>
      <c r="H39" s="24">
        <f>+[8]pais3!F27</f>
        <v>0.58526907000000006</v>
      </c>
      <c r="I39" s="21">
        <f t="shared" si="2"/>
        <v>67.354502475779412</v>
      </c>
      <c r="J39" s="21">
        <f t="shared" si="3"/>
        <v>2.2800005065117586</v>
      </c>
      <c r="K39" s="106"/>
    </row>
    <row r="40" spans="1:11">
      <c r="A40" s="104"/>
      <c r="B40" s="128" t="str">
        <f>+[8]pais3!B28</f>
        <v>Bisuteria</v>
      </c>
      <c r="C40" s="21">
        <f>+[8]pais3!C28</f>
        <v>2.9163896499999993</v>
      </c>
      <c r="D40" s="24">
        <f>+[8]pais3!E28</f>
        <v>1.5454232600000002</v>
      </c>
      <c r="E40" s="21">
        <f t="shared" si="0"/>
        <v>-47.009026725904043</v>
      </c>
      <c r="F40" s="21">
        <f t="shared" si="1"/>
        <v>0.82262514100378892</v>
      </c>
      <c r="G40" s="21">
        <f>+[8]pais3!D28</f>
        <v>0.54383961999999997</v>
      </c>
      <c r="H40" s="24">
        <f>+[8]pais3!F28</f>
        <v>7.1090099999999998E-3</v>
      </c>
      <c r="I40" s="21">
        <f t="shared" si="2"/>
        <v>-98.692811310805197</v>
      </c>
      <c r="J40" s="21">
        <f t="shared" si="3"/>
        <v>2.769417902230363E-2</v>
      </c>
      <c r="K40" s="106"/>
    </row>
    <row r="41" spans="1:11">
      <c r="A41" s="104"/>
      <c r="B41" s="128" t="str">
        <f>+[8]pais3!B29</f>
        <v>Vajillas</v>
      </c>
      <c r="C41" s="21">
        <f>+[8]pais3!C29</f>
        <v>3.1538257499999971</v>
      </c>
      <c r="D41" s="24">
        <f>+[8]pais3!E29</f>
        <v>1.5108770399999996</v>
      </c>
      <c r="E41" s="21">
        <f t="shared" si="0"/>
        <v>-52.093832704612772</v>
      </c>
      <c r="F41" s="21">
        <f t="shared" si="1"/>
        <v>0.80423626991959918</v>
      </c>
      <c r="G41" s="21">
        <f>+[8]pais3!D29</f>
        <v>0.55124481000000003</v>
      </c>
      <c r="H41" s="24">
        <f>+[8]pais3!F29</f>
        <v>0.15410852</v>
      </c>
      <c r="I41" s="21">
        <f t="shared" si="2"/>
        <v>-72.043542686596908</v>
      </c>
      <c r="J41" s="21">
        <f t="shared" si="3"/>
        <v>0.60035208021120523</v>
      </c>
      <c r="K41" s="106"/>
    </row>
    <row r="42" spans="1:11">
      <c r="A42" s="104"/>
      <c r="B42" s="128" t="str">
        <f>+[8]pais3!B30</f>
        <v>Baldosas y losas</v>
      </c>
      <c r="C42" s="21">
        <f>+[8]pais3!C30</f>
        <v>4.5171656100000011</v>
      </c>
      <c r="D42" s="24">
        <f>+[8]pais3!E30</f>
        <v>1.4939913600000001</v>
      </c>
      <c r="E42" s="21">
        <f t="shared" si="0"/>
        <v>-66.926354068298153</v>
      </c>
      <c r="F42" s="21">
        <f t="shared" si="1"/>
        <v>0.79524806244888702</v>
      </c>
      <c r="G42" s="21">
        <f>+[8]pais3!D30</f>
        <v>0.54610362999999995</v>
      </c>
      <c r="H42" s="24">
        <f>+[8]pais3!F30</f>
        <v>0.1195175</v>
      </c>
      <c r="I42" s="21">
        <f t="shared" si="2"/>
        <v>-78.114501820835727</v>
      </c>
      <c r="J42" s="21">
        <f t="shared" si="3"/>
        <v>0.46559774726694353</v>
      </c>
      <c r="K42" s="106"/>
    </row>
    <row r="43" spans="1:11">
      <c r="A43" s="104"/>
      <c r="B43" s="128" t="str">
        <f>+[8]pais3!B31</f>
        <v>Papas preparadas</v>
      </c>
      <c r="C43" s="21">
        <f>+[8]pais3!C31</f>
        <v>1.6693421700000011</v>
      </c>
      <c r="D43" s="24">
        <f>+[8]pais3!E31</f>
        <v>1.4493253200000003</v>
      </c>
      <c r="E43" s="21">
        <f t="shared" si="0"/>
        <v>-13.179853355049476</v>
      </c>
      <c r="F43" s="21">
        <f t="shared" si="1"/>
        <v>0.77147243514722408</v>
      </c>
      <c r="G43" s="21">
        <f>+[8]pais3!D31</f>
        <v>0.83626335999999979</v>
      </c>
      <c r="H43" s="24">
        <f>+[8]pais3!F31</f>
        <v>0</v>
      </c>
      <c r="I43" s="21" t="str">
        <f t="shared" si="2"/>
        <v/>
      </c>
      <c r="J43" s="21">
        <f t="shared" si="3"/>
        <v>0</v>
      </c>
      <c r="K43" s="106"/>
    </row>
    <row r="44" spans="1:11">
      <c r="A44" s="104"/>
      <c r="B44" s="128" t="s">
        <v>51</v>
      </c>
      <c r="C44" s="21">
        <f>+C13-SUM(C14:C43)</f>
        <v>170.611608759999</v>
      </c>
      <c r="D44" s="24">
        <f>+D13-SUM(D14:D43)</f>
        <v>93.454208900000907</v>
      </c>
      <c r="E44" s="21">
        <f t="shared" si="0"/>
        <v>-45.224003466573102</v>
      </c>
      <c r="F44" s="21">
        <f t="shared" si="1"/>
        <v>49.745454053642746</v>
      </c>
      <c r="G44" s="21">
        <f>+G13-SUM(G14:G43)</f>
        <v>24.500243190000148</v>
      </c>
      <c r="H44" s="24">
        <f>+H13-SUM(H14:H43)</f>
        <v>11.39851298</v>
      </c>
      <c r="I44" s="21">
        <f t="shared" si="2"/>
        <v>-53.475919028214626</v>
      </c>
      <c r="J44" s="21">
        <f t="shared" si="3"/>
        <v>44.404559714527295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117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+'Principales paises'!C17</f>
        <v>122.34408386000064</v>
      </c>
      <c r="D13" s="24">
        <f>+'Principales paises'!D17</f>
        <v>116.47370649000059</v>
      </c>
      <c r="E13" s="24">
        <f>IF(OR(OR(D13=0,C13=0),D13=""),"",(D13/C13-1)*100)</f>
        <v>-4.7982519340433072</v>
      </c>
      <c r="F13" s="22">
        <f>(D13/D$13)*100</f>
        <v>100</v>
      </c>
      <c r="G13" s="24">
        <f>+'Principales paises'!G17</f>
        <v>12.441538820000014</v>
      </c>
      <c r="H13" s="24">
        <f>+'Principales paises'!H17</f>
        <v>14.011422270000013</v>
      </c>
      <c r="I13" s="24">
        <f>IF(OR(OR(H13=0,G13=0),H13=""),"",(H13/G13-1)*100)</f>
        <v>12.618081032519711</v>
      </c>
      <c r="J13" s="22">
        <f>(H13/H$13)*100</f>
        <v>100</v>
      </c>
      <c r="K13" s="106"/>
    </row>
    <row r="14" spans="1:14">
      <c r="A14" s="104"/>
      <c r="B14" s="128" t="str">
        <f>+[8]pais4!B2</f>
        <v>Medicamentos</v>
      </c>
      <c r="C14" s="21">
        <f>+[8]pais4!C2</f>
        <v>5.8882268000000035</v>
      </c>
      <c r="D14" s="24">
        <f>+[8]pais4!E2</f>
        <v>7.0320064399999982</v>
      </c>
      <c r="E14" s="21">
        <f t="shared" ref="E14:E44" si="0">IF(OR(OR(D14=0,C14=0),D14=""),"",(D14/C14-1)*100)</f>
        <v>19.424857072421098</v>
      </c>
      <c r="F14" s="21">
        <f t="shared" ref="F14:F44" si="1">(D14/D$13)*100</f>
        <v>6.0374196476727597</v>
      </c>
      <c r="G14" s="21">
        <f>+[8]pais4!D2</f>
        <v>0.81325413000000013</v>
      </c>
      <c r="H14" s="24">
        <f>+[8]pais4!F2</f>
        <v>0.64170023000000009</v>
      </c>
      <c r="I14" s="21">
        <f t="shared" ref="I14:I44" si="2">IF(OR(OR(H14=0,G14=0),H14=""),"",(H14/G14-1)*100)</f>
        <v>-21.094746853606516</v>
      </c>
      <c r="J14" s="21">
        <f>(H14/H$13)*100</f>
        <v>4.5798364907890212</v>
      </c>
      <c r="K14" s="106"/>
    </row>
    <row r="15" spans="1:14">
      <c r="A15" s="104"/>
      <c r="B15" s="128" t="str">
        <f>+[8]pais4!B3</f>
        <v>Mezclas odoriferas</v>
      </c>
      <c r="C15" s="21">
        <f>+[8]pais4!C3</f>
        <v>6.5007481099999938</v>
      </c>
      <c r="D15" s="24">
        <f>+[8]pais4!E3</f>
        <v>6.1974966799999978</v>
      </c>
      <c r="E15" s="21">
        <f t="shared" si="0"/>
        <v>-4.6648697175869502</v>
      </c>
      <c r="F15" s="21">
        <f t="shared" si="1"/>
        <v>5.320940551103746</v>
      </c>
      <c r="G15" s="21">
        <f>+[8]pais4!D3</f>
        <v>0.48322022000000003</v>
      </c>
      <c r="H15" s="24">
        <f>+[8]pais4!F3</f>
        <v>0.56410963000000025</v>
      </c>
      <c r="I15" s="21">
        <f t="shared" si="2"/>
        <v>16.739657541648455</v>
      </c>
      <c r="J15" s="21">
        <f t="shared" ref="J15:J44" si="3">(H15/H$13)*100</f>
        <v>4.0260697246119017</v>
      </c>
      <c r="K15" s="106"/>
    </row>
    <row r="16" spans="1:14">
      <c r="A16" s="104"/>
      <c r="B16" s="128" t="str">
        <f>+[8]pais4!B4</f>
        <v>Preparaciones capilares</v>
      </c>
      <c r="C16" s="21">
        <f>+[8]pais4!C4</f>
        <v>3.9770476299999999</v>
      </c>
      <c r="D16" s="24">
        <f>+[8]pais4!E4</f>
        <v>5.3885272799999964</v>
      </c>
      <c r="E16" s="21">
        <f t="shared" si="0"/>
        <v>35.490639824195334</v>
      </c>
      <c r="F16" s="21">
        <f t="shared" si="1"/>
        <v>4.6263894593777763</v>
      </c>
      <c r="G16" s="21">
        <f>+[8]pais4!D4</f>
        <v>0.51341787999999999</v>
      </c>
      <c r="H16" s="24">
        <f>+[8]pais4!F4</f>
        <v>0.99575859000000033</v>
      </c>
      <c r="I16" s="21">
        <f t="shared" si="2"/>
        <v>93.947002780658977</v>
      </c>
      <c r="J16" s="21">
        <f t="shared" si="3"/>
        <v>7.1067631166325516</v>
      </c>
      <c r="K16" s="106"/>
    </row>
    <row r="17" spans="1:11">
      <c r="A17" s="104"/>
      <c r="B17" s="128" t="str">
        <f>+[8]pais4!B5</f>
        <v>Clavijas y enchufes</v>
      </c>
      <c r="C17" s="21">
        <f>+[8]pais4!C5</f>
        <v>2.6835378999999997</v>
      </c>
      <c r="D17" s="24">
        <f>+[8]pais4!E5</f>
        <v>3.3004157099999971</v>
      </c>
      <c r="E17" s="21">
        <f t="shared" si="0"/>
        <v>22.987482680978633</v>
      </c>
      <c r="F17" s="21">
        <f t="shared" si="1"/>
        <v>2.8336143920030068</v>
      </c>
      <c r="G17" s="21">
        <f>+[8]pais4!D5</f>
        <v>0.29915532000000006</v>
      </c>
      <c r="H17" s="24">
        <f>+[8]pais4!F5</f>
        <v>0.38102749999999996</v>
      </c>
      <c r="I17" s="21">
        <f t="shared" si="2"/>
        <v>27.36778339760091</v>
      </c>
      <c r="J17" s="21">
        <f t="shared" si="3"/>
        <v>2.7194063004997107</v>
      </c>
      <c r="K17" s="106"/>
    </row>
    <row r="18" spans="1:11">
      <c r="A18" s="104"/>
      <c r="B18" s="128" t="str">
        <f>+[8]pais4!B6</f>
        <v>Champúes para el cabello</v>
      </c>
      <c r="C18" s="21">
        <f>+[8]pais4!C6</f>
        <v>1.8596329</v>
      </c>
      <c r="D18" s="24">
        <f>+[8]pais4!E6</f>
        <v>3.2132413699999995</v>
      </c>
      <c r="E18" s="21">
        <f t="shared" si="0"/>
        <v>72.789014971718331</v>
      </c>
      <c r="F18" s="21">
        <f t="shared" si="1"/>
        <v>2.758769740255377</v>
      </c>
      <c r="G18" s="21">
        <f>+[8]pais4!D6</f>
        <v>0.33773496000000003</v>
      </c>
      <c r="H18" s="24">
        <f>+[8]pais4!F6</f>
        <v>0.16565506000000002</v>
      </c>
      <c r="I18" s="21">
        <f t="shared" si="2"/>
        <v>-50.951165967538572</v>
      </c>
      <c r="J18" s="21">
        <f t="shared" si="3"/>
        <v>1.1822858294313605</v>
      </c>
      <c r="K18" s="106"/>
    </row>
    <row r="19" spans="1:11">
      <c r="A19" s="104"/>
      <c r="B19" s="128" t="str">
        <f>+[8]pais4!B7</f>
        <v>Guantes de caucho</v>
      </c>
      <c r="C19" s="21">
        <f>+[8]pais4!C7</f>
        <v>2.4972075999999999</v>
      </c>
      <c r="D19" s="24">
        <f>+[8]pais4!E7</f>
        <v>3.0282744100000003</v>
      </c>
      <c r="E19" s="21">
        <f t="shared" si="0"/>
        <v>21.26642614734957</v>
      </c>
      <c r="F19" s="21">
        <f t="shared" si="1"/>
        <v>2.5999639757836515</v>
      </c>
      <c r="G19" s="21">
        <f>+[8]pais4!D7</f>
        <v>0.26488967999999996</v>
      </c>
      <c r="H19" s="24">
        <f>+[8]pais4!F7</f>
        <v>0.45614811999999993</v>
      </c>
      <c r="I19" s="21">
        <f t="shared" si="2"/>
        <v>72.203054494233228</v>
      </c>
      <c r="J19" s="21">
        <f t="shared" si="3"/>
        <v>3.2555447349314632</v>
      </c>
      <c r="K19" s="106"/>
    </row>
    <row r="20" spans="1:11">
      <c r="A20" s="104"/>
      <c r="B20" s="128" t="str">
        <f>+[8]pais4!B8</f>
        <v>Libros</v>
      </c>
      <c r="C20" s="21">
        <f>+[8]pais4!C8</f>
        <v>3.0664119899999998</v>
      </c>
      <c r="D20" s="24">
        <f>+[8]pais4!E8</f>
        <v>2.605916950000001</v>
      </c>
      <c r="E20" s="21">
        <f t="shared" si="0"/>
        <v>-15.017389753944933</v>
      </c>
      <c r="F20" s="21">
        <f t="shared" si="1"/>
        <v>2.237343541757832</v>
      </c>
      <c r="G20" s="21">
        <f>+[8]pais4!D8</f>
        <v>0.26516264000000006</v>
      </c>
      <c r="H20" s="24">
        <f>+[8]pais4!F8</f>
        <v>0.28212787999999994</v>
      </c>
      <c r="I20" s="21">
        <f t="shared" si="2"/>
        <v>6.3980506454453412</v>
      </c>
      <c r="J20" s="21">
        <f t="shared" si="3"/>
        <v>2.0135563297101293</v>
      </c>
      <c r="K20" s="106"/>
    </row>
    <row r="21" spans="1:11">
      <c r="A21" s="104"/>
      <c r="B21" s="128" t="str">
        <f>+[8]pais4!B9</f>
        <v>Otros antibióticos humanos</v>
      </c>
      <c r="C21" s="21">
        <f>+[8]pais4!C9</f>
        <v>1.0824785899999996</v>
      </c>
      <c r="D21" s="24">
        <f>+[8]pais4!E9</f>
        <v>2.5146498600000009</v>
      </c>
      <c r="E21" s="21">
        <f t="shared" si="0"/>
        <v>132.3048126060398</v>
      </c>
      <c r="F21" s="21">
        <f t="shared" si="1"/>
        <v>2.1589850068142948</v>
      </c>
      <c r="G21" s="21">
        <f>+[8]pais4!D9</f>
        <v>0.15841203000000001</v>
      </c>
      <c r="H21" s="24">
        <f>+[8]pais4!F9</f>
        <v>0.53733786999999988</v>
      </c>
      <c r="I21" s="21">
        <f t="shared" si="2"/>
        <v>239.20269186626788</v>
      </c>
      <c r="J21" s="21">
        <f t="shared" si="3"/>
        <v>3.8349987577670754</v>
      </c>
      <c r="K21" s="106"/>
    </row>
    <row r="22" spans="1:11">
      <c r="A22" s="104"/>
      <c r="B22" s="128" t="str">
        <f>+[8]pais4!B10</f>
        <v>Recipientes</v>
      </c>
      <c r="C22" s="21">
        <f>+[8]pais4!C10</f>
        <v>2.9517890100000024</v>
      </c>
      <c r="D22" s="24">
        <f>+[8]pais4!E10</f>
        <v>2.514122200000001</v>
      </c>
      <c r="E22" s="21">
        <f t="shared" si="0"/>
        <v>-14.827171200830547</v>
      </c>
      <c r="F22" s="21">
        <f t="shared" si="1"/>
        <v>2.1585319775290586</v>
      </c>
      <c r="G22" s="21">
        <f>+[8]pais4!D10</f>
        <v>0.45948185000000002</v>
      </c>
      <c r="H22" s="24">
        <f>+[8]pais4!F10</f>
        <v>0.31717890999999998</v>
      </c>
      <c r="I22" s="21">
        <f t="shared" si="2"/>
        <v>-30.970307097005033</v>
      </c>
      <c r="J22" s="21">
        <f t="shared" si="3"/>
        <v>2.263716729736386</v>
      </c>
      <c r="K22" s="106"/>
    </row>
    <row r="23" spans="1:11">
      <c r="A23" s="104"/>
      <c r="B23" s="128" t="str">
        <f>+[8]pais4!B11</f>
        <v>Telas sin tejer</v>
      </c>
      <c r="C23" s="21">
        <f>+[8]pais4!C11</f>
        <v>6.0279170000000007E-2</v>
      </c>
      <c r="D23" s="24">
        <f>+[8]pais4!E11</f>
        <v>2.51152284</v>
      </c>
      <c r="E23" s="21">
        <f t="shared" si="0"/>
        <v>4066.4854376727476</v>
      </c>
      <c r="F23" s="21">
        <f t="shared" si="1"/>
        <v>2.1563002635411257</v>
      </c>
      <c r="G23" s="21">
        <f>+[8]pais4!D11</f>
        <v>1.102421E-2</v>
      </c>
      <c r="H23" s="24">
        <f>+[8]pais4!F11</f>
        <v>0.28212788</v>
      </c>
      <c r="I23" s="21">
        <f t="shared" si="2"/>
        <v>2459.1664164597737</v>
      </c>
      <c r="J23" s="21">
        <f t="shared" si="3"/>
        <v>2.0135563297101298</v>
      </c>
      <c r="K23" s="106"/>
    </row>
    <row r="24" spans="1:11">
      <c r="A24" s="104"/>
      <c r="B24" s="128" t="str">
        <f>+[8]pais4!B12</f>
        <v>Otros aceites lubricantes</v>
      </c>
      <c r="C24" s="21">
        <f>+[8]pais4!C12</f>
        <v>2.230075229999998</v>
      </c>
      <c r="D24" s="24">
        <f>+[8]pais4!E12</f>
        <v>2.0732340100000006</v>
      </c>
      <c r="E24" s="21">
        <f t="shared" si="0"/>
        <v>-7.0330013037272039</v>
      </c>
      <c r="F24" s="21">
        <f t="shared" si="1"/>
        <v>1.7800017467272671</v>
      </c>
      <c r="G24" s="21">
        <f>+[8]pais4!D12</f>
        <v>9.130858E-2</v>
      </c>
      <c r="H24" s="24">
        <f>+[8]pais4!F12</f>
        <v>0.39290870999999994</v>
      </c>
      <c r="I24" s="21">
        <f t="shared" si="2"/>
        <v>330.30864131278781</v>
      </c>
      <c r="J24" s="21">
        <f t="shared" si="3"/>
        <v>2.8042029026650668</v>
      </c>
      <c r="K24" s="106"/>
    </row>
    <row r="25" spans="1:11">
      <c r="A25" s="104"/>
      <c r="B25" s="128" t="str">
        <f>+[8]pais4!B13</f>
        <v>Bisuteria</v>
      </c>
      <c r="C25" s="21">
        <f>+[8]pais4!C13</f>
        <v>2.3738203500000012</v>
      </c>
      <c r="D25" s="24">
        <f>+[8]pais4!E13</f>
        <v>1.9917756099999988</v>
      </c>
      <c r="E25" s="21">
        <f t="shared" si="0"/>
        <v>-16.094088164675235</v>
      </c>
      <c r="F25" s="21">
        <f t="shared" si="1"/>
        <v>1.710064588844346</v>
      </c>
      <c r="G25" s="21">
        <f>+[8]pais4!D13</f>
        <v>0.28824091000000007</v>
      </c>
      <c r="H25" s="24">
        <f>+[8]pais4!F13</f>
        <v>0.16817876000000001</v>
      </c>
      <c r="I25" s="21">
        <f t="shared" si="2"/>
        <v>-41.653403744805004</v>
      </c>
      <c r="J25" s="21">
        <f t="shared" si="3"/>
        <v>1.2002975626542147</v>
      </c>
      <c r="K25" s="106"/>
    </row>
    <row r="26" spans="1:11">
      <c r="A26" s="104"/>
      <c r="B26" s="128" t="str">
        <f>+[8]pais4!B14</f>
        <v>Placas de polímeros etileno</v>
      </c>
      <c r="C26" s="21">
        <f>+[8]pais4!C14</f>
        <v>1.7255271000000001</v>
      </c>
      <c r="D26" s="24">
        <f>+[8]pais4!E14</f>
        <v>1.7242140200000007</v>
      </c>
      <c r="E26" s="21">
        <f t="shared" si="0"/>
        <v>-7.6097327013835425E-2</v>
      </c>
      <c r="F26" s="21">
        <f t="shared" si="1"/>
        <v>1.4803461415972252</v>
      </c>
      <c r="G26" s="21">
        <f>+[8]pais4!D14</f>
        <v>0.21526816999999998</v>
      </c>
      <c r="H26" s="24">
        <f>+[8]pais4!F14</f>
        <v>0.15889013999999999</v>
      </c>
      <c r="I26" s="21">
        <f t="shared" si="2"/>
        <v>-26.189673094726452</v>
      </c>
      <c r="J26" s="21">
        <f t="shared" si="3"/>
        <v>1.1340043639980872</v>
      </c>
      <c r="K26" s="106"/>
    </row>
    <row r="27" spans="1:11">
      <c r="A27" s="104"/>
      <c r="B27" s="128" t="str">
        <f>+[8]pais4!B15</f>
        <v>Perfumes y aguas de tocador.</v>
      </c>
      <c r="C27" s="21">
        <f>+[8]pais4!C15</f>
        <v>0.59284675999999992</v>
      </c>
      <c r="D27" s="24">
        <f>+[8]pais4!E15</f>
        <v>1.2996657399999991</v>
      </c>
      <c r="E27" s="21">
        <f t="shared" si="0"/>
        <v>119.22456656421625</v>
      </c>
      <c r="F27" s="21">
        <f t="shared" si="1"/>
        <v>1.1158447508593512</v>
      </c>
      <c r="G27" s="21">
        <f>+[8]pais4!D15</f>
        <v>4.7304870000000006E-2</v>
      </c>
      <c r="H27" s="24">
        <f>+[8]pais4!F15</f>
        <v>8.1659849999999992E-2</v>
      </c>
      <c r="I27" s="21">
        <f t="shared" si="2"/>
        <v>72.624615605116304</v>
      </c>
      <c r="J27" s="21">
        <f t="shared" si="3"/>
        <v>0.58280914261532646</v>
      </c>
      <c r="K27" s="106"/>
    </row>
    <row r="28" spans="1:11">
      <c r="A28" s="104"/>
      <c r="B28" s="128" t="str">
        <f>+[8]pais4!B16</f>
        <v>Balastos</v>
      </c>
      <c r="C28" s="21">
        <f>+[8]pais4!C16</f>
        <v>1.2406797999999994</v>
      </c>
      <c r="D28" s="24">
        <f>+[8]pais4!E16</f>
        <v>1.2102534200000006</v>
      </c>
      <c r="E28" s="21">
        <f t="shared" si="0"/>
        <v>-2.4523958558847259</v>
      </c>
      <c r="F28" s="21">
        <f t="shared" si="1"/>
        <v>1.039078652574607</v>
      </c>
      <c r="G28" s="21">
        <f>+[8]pais4!D16</f>
        <v>0.22181480000000003</v>
      </c>
      <c r="H28" s="24">
        <f>+[8]pais4!F16</f>
        <v>0.17781442</v>
      </c>
      <c r="I28" s="21">
        <f t="shared" si="2"/>
        <v>-19.836539311173119</v>
      </c>
      <c r="J28" s="21">
        <f t="shared" si="3"/>
        <v>1.2690675976608037</v>
      </c>
      <c r="K28" s="106"/>
    </row>
    <row r="29" spans="1:11">
      <c r="A29" s="104"/>
      <c r="B29" s="128" t="str">
        <f>+[8]pais4!B17</f>
        <v>Máquinas de sondeo</v>
      </c>
      <c r="C29" s="21">
        <f>+[8]pais4!C17</f>
        <v>1.145766E-2</v>
      </c>
      <c r="D29" s="24">
        <f>+[8]pais4!E17</f>
        <v>1.1867949099999999</v>
      </c>
      <c r="E29" s="21">
        <f t="shared" si="0"/>
        <v>10258.091530033182</v>
      </c>
      <c r="F29" s="21">
        <f t="shared" si="1"/>
        <v>1.0189380468474123</v>
      </c>
      <c r="G29" s="21">
        <f>+[8]pais4!D17</f>
        <v>0</v>
      </c>
      <c r="H29" s="24">
        <f>+[8]pais4!F17</f>
        <v>0</v>
      </c>
      <c r="I29" s="21" t="str">
        <f t="shared" si="2"/>
        <v/>
      </c>
      <c r="J29" s="21">
        <f t="shared" si="3"/>
        <v>0</v>
      </c>
      <c r="K29" s="106"/>
    </row>
    <row r="30" spans="1:11">
      <c r="A30" s="104"/>
      <c r="B30" s="128" t="str">
        <f>+[8]pais4!B18</f>
        <v>Mezclas odoriferas</v>
      </c>
      <c r="C30" s="21">
        <f>+[8]pais4!C18</f>
        <v>1.2990206100000001</v>
      </c>
      <c r="D30" s="24">
        <f>+[8]pais4!E18</f>
        <v>1.1214626499999996</v>
      </c>
      <c r="E30" s="21">
        <f t="shared" si="0"/>
        <v>-13.668602224871595</v>
      </c>
      <c r="F30" s="21">
        <f t="shared" si="1"/>
        <v>0.96284619404318383</v>
      </c>
      <c r="G30" s="21">
        <f>+[8]pais4!D18</f>
        <v>0.22705500999999992</v>
      </c>
      <c r="H30" s="24">
        <f>+[8]pais4!F18</f>
        <v>3.8311199999999997E-2</v>
      </c>
      <c r="I30" s="21">
        <f t="shared" si="2"/>
        <v>-83.126908320587162</v>
      </c>
      <c r="J30" s="21">
        <f t="shared" si="3"/>
        <v>0.27342834482997819</v>
      </c>
      <c r="K30" s="106"/>
    </row>
    <row r="31" spans="1:11">
      <c r="A31" s="104"/>
      <c r="B31" s="128" t="str">
        <f>+[8]pais4!B19</f>
        <v>Preparaciones de belleza</v>
      </c>
      <c r="C31" s="21">
        <f>+[8]pais4!C19</f>
        <v>1.0856729500000002</v>
      </c>
      <c r="D31" s="24">
        <f>+[8]pais4!E19</f>
        <v>1.1207573</v>
      </c>
      <c r="E31" s="21">
        <f t="shared" si="0"/>
        <v>3.2315763232380279</v>
      </c>
      <c r="F31" s="21">
        <f t="shared" si="1"/>
        <v>0.96224060672115574</v>
      </c>
      <c r="G31" s="21">
        <f>+[8]pais4!D19</f>
        <v>0.21249124999999999</v>
      </c>
      <c r="H31" s="24">
        <f>+[8]pais4!F19</f>
        <v>9.8223939999999982E-2</v>
      </c>
      <c r="I31" s="21">
        <f t="shared" si="2"/>
        <v>-53.775066032130738</v>
      </c>
      <c r="J31" s="21">
        <f t="shared" si="3"/>
        <v>0.70102761951802839</v>
      </c>
      <c r="K31" s="106"/>
    </row>
    <row r="32" spans="1:11">
      <c r="A32" s="104"/>
      <c r="B32" s="128" t="str">
        <f>+[8]pais4!B20</f>
        <v>Artículos de construcción</v>
      </c>
      <c r="C32" s="21">
        <f>+[8]pais4!C20</f>
        <v>1.2364104500000006</v>
      </c>
      <c r="D32" s="24">
        <f>+[8]pais4!E20</f>
        <v>1.10936426</v>
      </c>
      <c r="E32" s="21">
        <f t="shared" si="0"/>
        <v>-10.27540571175216</v>
      </c>
      <c r="F32" s="21">
        <f t="shared" si="1"/>
        <v>0.95245896557369392</v>
      </c>
      <c r="G32" s="21">
        <f>+[8]pais4!D20</f>
        <v>0.15661798999999996</v>
      </c>
      <c r="H32" s="24">
        <f>+[8]pais4!F20</f>
        <v>0.2424364</v>
      </c>
      <c r="I32" s="21">
        <f t="shared" si="2"/>
        <v>54.794733350874992</v>
      </c>
      <c r="J32" s="21">
        <f t="shared" si="3"/>
        <v>1.7302768793078405</v>
      </c>
      <c r="K32" s="106"/>
    </row>
    <row r="33" spans="1:11">
      <c r="A33" s="104"/>
      <c r="B33" s="128" t="str">
        <f>+[8]pais4!B21</f>
        <v>Productos a base de cereales</v>
      </c>
      <c r="C33" s="21">
        <f>+[8]pais4!C21</f>
        <v>0.94520789000000061</v>
      </c>
      <c r="D33" s="24">
        <f>+[8]pais4!E21</f>
        <v>1.0260584499999998</v>
      </c>
      <c r="E33" s="21">
        <f t="shared" si="0"/>
        <v>8.5537330840519399</v>
      </c>
      <c r="F33" s="21">
        <f t="shared" si="1"/>
        <v>0.88093569005472327</v>
      </c>
      <c r="G33" s="21">
        <f>+[8]pais4!D21</f>
        <v>0.14110533</v>
      </c>
      <c r="H33" s="24">
        <f>+[8]pais4!F21</f>
        <v>0.18691096999999998</v>
      </c>
      <c r="I33" s="21">
        <f t="shared" si="2"/>
        <v>32.462019684160737</v>
      </c>
      <c r="J33" s="21">
        <f t="shared" si="3"/>
        <v>1.3339899861571998</v>
      </c>
      <c r="K33" s="106"/>
    </row>
    <row r="34" spans="1:11">
      <c r="A34" s="104"/>
      <c r="B34" s="128" t="str">
        <f>+[8]pais4!B22</f>
        <v>Electrodos recubiertos</v>
      </c>
      <c r="C34" s="21">
        <f>+[8]pais4!C22</f>
        <v>1.0502285</v>
      </c>
      <c r="D34" s="24">
        <f>+[8]pais4!E22</f>
        <v>0.98469788999999985</v>
      </c>
      <c r="E34" s="21">
        <f t="shared" si="0"/>
        <v>-6.2396526089322668</v>
      </c>
      <c r="F34" s="21">
        <f t="shared" si="1"/>
        <v>0.84542504885816216</v>
      </c>
      <c r="G34" s="21">
        <f>+[8]pais4!D22</f>
        <v>0.1748836</v>
      </c>
      <c r="H34" s="24">
        <f>+[8]pais4!F22</f>
        <v>0</v>
      </c>
      <c r="I34" s="21" t="str">
        <f t="shared" si="2"/>
        <v/>
      </c>
      <c r="J34" s="21">
        <f t="shared" si="3"/>
        <v>0</v>
      </c>
      <c r="K34" s="106"/>
    </row>
    <row r="35" spans="1:11">
      <c r="A35" s="104"/>
      <c r="B35" s="128" t="str">
        <f>+[8]pais4!B23</f>
        <v>Encajes</v>
      </c>
      <c r="C35" s="21">
        <f>+[8]pais4!C23</f>
        <v>1.1612678699999996</v>
      </c>
      <c r="D35" s="24">
        <f>+[8]pais4!E23</f>
        <v>0.96159981000000028</v>
      </c>
      <c r="E35" s="21">
        <f t="shared" si="0"/>
        <v>-17.193970931099589</v>
      </c>
      <c r="F35" s="21">
        <f t="shared" si="1"/>
        <v>0.82559389494705815</v>
      </c>
      <c r="G35" s="21">
        <f>+[8]pais4!D23</f>
        <v>0.27064212000000004</v>
      </c>
      <c r="H35" s="24">
        <f>+[8]pais4!F23</f>
        <v>0.26484637999999999</v>
      </c>
      <c r="I35" s="21">
        <f t="shared" si="2"/>
        <v>-2.1414774610840515</v>
      </c>
      <c r="J35" s="21">
        <f t="shared" si="3"/>
        <v>1.890217673098505</v>
      </c>
      <c r="K35" s="106"/>
    </row>
    <row r="36" spans="1:11">
      <c r="A36" s="104"/>
      <c r="B36" s="128" t="str">
        <f>+[8]pais4!B24</f>
        <v>Páneles, consolas</v>
      </c>
      <c r="C36" s="21">
        <f>+[8]pais4!C24</f>
        <v>0.2445956</v>
      </c>
      <c r="D36" s="24">
        <f>+[8]pais4!E24</f>
        <v>0.95293591</v>
      </c>
      <c r="E36" s="21">
        <f t="shared" si="0"/>
        <v>289.59650541546944</v>
      </c>
      <c r="F36" s="21">
        <f t="shared" si="1"/>
        <v>0.81815539207710419</v>
      </c>
      <c r="G36" s="21">
        <f>+[8]pais4!D24</f>
        <v>0</v>
      </c>
      <c r="H36" s="24">
        <f>+[8]pais4!F24</f>
        <v>0</v>
      </c>
      <c r="I36" s="21" t="str">
        <f t="shared" si="2"/>
        <v/>
      </c>
      <c r="J36" s="21">
        <f t="shared" si="3"/>
        <v>0</v>
      </c>
      <c r="K36" s="106"/>
    </row>
    <row r="37" spans="1:11">
      <c r="A37" s="104"/>
      <c r="B37" s="128" t="str">
        <f>+[8]pais4!B25</f>
        <v>Torres de fundición</v>
      </c>
      <c r="C37" s="21">
        <f>+[8]pais4!C25</f>
        <v>0.45038736000000001</v>
      </c>
      <c r="D37" s="24">
        <f>+[8]pais4!E25</f>
        <v>0.94964218999999994</v>
      </c>
      <c r="E37" s="21">
        <f t="shared" si="0"/>
        <v>110.85009801340782</v>
      </c>
      <c r="F37" s="21">
        <f t="shared" si="1"/>
        <v>0.81532752637311134</v>
      </c>
      <c r="G37" s="21">
        <f>+[8]pais4!D25</f>
        <v>0</v>
      </c>
      <c r="H37" s="24">
        <f>+[8]pais4!F25</f>
        <v>5.5228329999999999E-2</v>
      </c>
      <c r="I37" s="21" t="str">
        <f t="shared" si="2"/>
        <v/>
      </c>
      <c r="J37" s="21">
        <f t="shared" si="3"/>
        <v>0.39416648028837087</v>
      </c>
      <c r="K37" s="106"/>
    </row>
    <row r="38" spans="1:11">
      <c r="A38" s="104"/>
      <c r="B38" s="128" t="str">
        <f>+[8]pais4!B26</f>
        <v>Concentrados de café</v>
      </c>
      <c r="C38" s="21">
        <f>+[8]pais4!C26</f>
        <v>1.8689549999999999E-2</v>
      </c>
      <c r="D38" s="24">
        <f>+[8]pais4!E26</f>
        <v>0.92572385000000001</v>
      </c>
      <c r="E38" s="21">
        <f t="shared" si="0"/>
        <v>4853.1628637393624</v>
      </c>
      <c r="F38" s="21">
        <f t="shared" si="1"/>
        <v>0.79479212768031426</v>
      </c>
      <c r="G38" s="21">
        <f>+[8]pais4!D26</f>
        <v>0</v>
      </c>
      <c r="H38" s="24">
        <f>+[8]pais4!F26</f>
        <v>0.10123665</v>
      </c>
      <c r="I38" s="21" t="str">
        <f t="shared" si="2"/>
        <v/>
      </c>
      <c r="J38" s="21">
        <f t="shared" si="3"/>
        <v>0.72252943383741086</v>
      </c>
      <c r="K38" s="106"/>
    </row>
    <row r="39" spans="1:11">
      <c r="A39" s="104"/>
      <c r="B39" s="128" t="str">
        <f>+[8]pais4!B27</f>
        <v>Tejido de punto</v>
      </c>
      <c r="C39" s="21">
        <f>+[8]pais4!C27</f>
        <v>1.6573668399999995</v>
      </c>
      <c r="D39" s="24">
        <f>+[8]pais4!E27</f>
        <v>0.88130744999999933</v>
      </c>
      <c r="E39" s="21">
        <f t="shared" si="0"/>
        <v>-46.824841143798949</v>
      </c>
      <c r="F39" s="21">
        <f t="shared" si="1"/>
        <v>0.75665785571583966</v>
      </c>
      <c r="G39" s="21">
        <f>+[8]pais4!D27</f>
        <v>0.22256102999999999</v>
      </c>
      <c r="H39" s="24">
        <f>+[8]pais4!F27</f>
        <v>0.11651609999999998</v>
      </c>
      <c r="I39" s="21">
        <f t="shared" si="2"/>
        <v>-47.647573342017701</v>
      </c>
      <c r="J39" s="21">
        <f t="shared" si="3"/>
        <v>0.83157939111915635</v>
      </c>
      <c r="K39" s="106"/>
    </row>
    <row r="40" spans="1:11">
      <c r="A40" s="104"/>
      <c r="B40" s="128" t="str">
        <f>+[8]pais4!B28</f>
        <v>Corticosteroides</v>
      </c>
      <c r="C40" s="21">
        <f>+[8]pais4!C28</f>
        <v>0.39022011000000001</v>
      </c>
      <c r="D40" s="24">
        <f>+[8]pais4!E28</f>
        <v>0.87845216000000015</v>
      </c>
      <c r="E40" s="21">
        <f t="shared" si="0"/>
        <v>125.11709096694173</v>
      </c>
      <c r="F40" s="21">
        <f t="shared" si="1"/>
        <v>0.75420640973198216</v>
      </c>
      <c r="G40" s="21">
        <f>+[8]pais4!D28</f>
        <v>3.6379430000000004E-2</v>
      </c>
      <c r="H40" s="24">
        <f>+[8]pais4!F28</f>
        <v>4.2445030000000002E-2</v>
      </c>
      <c r="I40" s="21">
        <f t="shared" si="2"/>
        <v>16.673158430464685</v>
      </c>
      <c r="J40" s="21">
        <f t="shared" si="3"/>
        <v>0.3029316309371351</v>
      </c>
      <c r="K40" s="106"/>
    </row>
    <row r="41" spans="1:11">
      <c r="A41" s="104"/>
      <c r="B41" s="128" t="str">
        <f>+[8]pais4!B29</f>
        <v>Alcaloides o sus derivados</v>
      </c>
      <c r="C41" s="21">
        <f>+[8]pais4!C29</f>
        <v>0.25273656</v>
      </c>
      <c r="D41" s="24">
        <f>+[8]pais4!E29</f>
        <v>0.87275824000000002</v>
      </c>
      <c r="E41" s="21">
        <f t="shared" si="0"/>
        <v>245.32330423425881</v>
      </c>
      <c r="F41" s="21">
        <f t="shared" si="1"/>
        <v>0.74931782142171921</v>
      </c>
      <c r="G41" s="21">
        <f>+[8]pais4!D29</f>
        <v>1.9372500000000001E-2</v>
      </c>
      <c r="H41" s="24">
        <f>+[8]pais4!F29</f>
        <v>0</v>
      </c>
      <c r="I41" s="21" t="str">
        <f t="shared" si="2"/>
        <v/>
      </c>
      <c r="J41" s="21">
        <f t="shared" si="3"/>
        <v>0</v>
      </c>
      <c r="K41" s="106"/>
    </row>
    <row r="42" spans="1:11">
      <c r="A42" s="104"/>
      <c r="B42" s="128" t="str">
        <f>+[8]pais4!B30</f>
        <v>Fajas y fajas-braga</v>
      </c>
      <c r="C42" s="21">
        <f>+[8]pais4!C30</f>
        <v>0.67744083999999971</v>
      </c>
      <c r="D42" s="24">
        <f>+[8]pais4!E30</f>
        <v>0.86592618999999993</v>
      </c>
      <c r="E42" s="21">
        <f t="shared" si="0"/>
        <v>27.823145412963335</v>
      </c>
      <c r="F42" s="21">
        <f t="shared" si="1"/>
        <v>0.74345207694952231</v>
      </c>
      <c r="G42" s="21">
        <f>+[8]pais4!D30</f>
        <v>4.7049550000000009E-2</v>
      </c>
      <c r="H42" s="24">
        <f>+[8]pais4!F30</f>
        <v>6.6801479999999996E-2</v>
      </c>
      <c r="I42" s="21">
        <f t="shared" si="2"/>
        <v>41.981124155278813</v>
      </c>
      <c r="J42" s="21">
        <f t="shared" si="3"/>
        <v>0.47676444769657156</v>
      </c>
      <c r="K42" s="106"/>
    </row>
    <row r="43" spans="1:11">
      <c r="A43" s="104"/>
      <c r="B43" s="128" t="str">
        <f>+[8]pais4!B31</f>
        <v>Láminas de polímeros</v>
      </c>
      <c r="C43" s="21">
        <f>+[8]pais4!C31</f>
        <v>1.13949699</v>
      </c>
      <c r="D43" s="24">
        <f>+[8]pais4!E31</f>
        <v>0.84679115999999988</v>
      </c>
      <c r="E43" s="21">
        <f t="shared" si="0"/>
        <v>-25.687284176152158</v>
      </c>
      <c r="F43" s="21">
        <f t="shared" si="1"/>
        <v>0.72702345062977625</v>
      </c>
      <c r="G43" s="21">
        <f>+[8]pais4!D31</f>
        <v>0.1729001</v>
      </c>
      <c r="H43" s="24">
        <f>+[8]pais4!F31</f>
        <v>8.5029030000000005E-2</v>
      </c>
      <c r="I43" s="21">
        <f t="shared" si="2"/>
        <v>-50.821873440212009</v>
      </c>
      <c r="J43" s="21">
        <f t="shared" si="3"/>
        <v>0.60685509551772232</v>
      </c>
      <c r="K43" s="106"/>
    </row>
    <row r="44" spans="1:11">
      <c r="A44" s="104"/>
      <c r="B44" s="128" t="s">
        <v>51</v>
      </c>
      <c r="C44" s="21">
        <f>+C13-SUM(C14:C43)</f>
        <v>71.993575140000615</v>
      </c>
      <c r="D44" s="24">
        <f>+D13-SUM(D14:D43)</f>
        <v>55.184117530000592</v>
      </c>
      <c r="E44" s="21">
        <f t="shared" si="0"/>
        <v>-23.348552391393127</v>
      </c>
      <c r="F44" s="21">
        <f t="shared" si="1"/>
        <v>47.379034455933805</v>
      </c>
      <c r="G44" s="21">
        <f>+G13-SUM(G14:G43)</f>
        <v>6.2907906600000141</v>
      </c>
      <c r="H44" s="24">
        <f>+H13-SUM(H14:H43)</f>
        <v>7.110813210000015</v>
      </c>
      <c r="I44" s="21">
        <f t="shared" si="2"/>
        <v>13.03528593335832</v>
      </c>
      <c r="J44" s="21">
        <f t="shared" si="3"/>
        <v>50.750117104278871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132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tr">
        <f>+'Resumen exportaciones totales'!C10:D10</f>
        <v>Año corrido a agosto</v>
      </c>
      <c r="D10" s="165"/>
      <c r="E10" s="164" t="str">
        <f>+'Resumen exportaciones totales'!$E$10:$E$11</f>
        <v>% Cambio   '13/'12</v>
      </c>
      <c r="F10" s="164" t="str">
        <f>+'Resumen exportaciones totales'!$F$10:$F$11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06"/>
    </row>
    <row r="11" spans="1:14">
      <c r="A11" s="104"/>
      <c r="B11" s="128"/>
      <c r="C11" s="134">
        <f>+'Resumen exportaciones totales'!$C$11</f>
        <v>2012</v>
      </c>
      <c r="D11" s="134">
        <f>+'Resumen exportaciones totales'!$D$11</f>
        <v>2013</v>
      </c>
      <c r="E11" s="164"/>
      <c r="F11" s="164"/>
      <c r="G11" s="134">
        <f>+C11</f>
        <v>2012</v>
      </c>
      <c r="H11" s="134">
        <f>+D11</f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f>+'Principales paises'!C18</f>
        <v>106.07855451000034</v>
      </c>
      <c r="D13" s="24">
        <f>+'Principales paises'!D18</f>
        <v>110.34383043000064</v>
      </c>
      <c r="E13" s="24">
        <f>IF(OR(OR(D13=0,C13=0),D13=""),"",(D13/C13-1)*100)</f>
        <v>4.0208654234614283</v>
      </c>
      <c r="F13" s="22">
        <f>(D13/D$13)*100</f>
        <v>100</v>
      </c>
      <c r="G13" s="24">
        <f>+'Principales paises'!G18</f>
        <v>12.200416359999998</v>
      </c>
      <c r="H13" s="24">
        <f>+'Principales paises'!H18</f>
        <v>15.193677709999992</v>
      </c>
      <c r="I13" s="24">
        <f>IF(OR(OR(H13=0,G13=0),H13=""),"",(H13/G13-1)*100)</f>
        <v>24.534091802093183</v>
      </c>
      <c r="J13" s="22">
        <f>(H13/H$13)*100</f>
        <v>100</v>
      </c>
      <c r="K13" s="106"/>
    </row>
    <row r="14" spans="1:14">
      <c r="A14" s="104"/>
      <c r="B14" s="128" t="str">
        <f>+[8]pais5!B2</f>
        <v>Medicamentos</v>
      </c>
      <c r="C14" s="21">
        <f>+[8]pais5!C2</f>
        <v>13.982216410000005</v>
      </c>
      <c r="D14" s="24">
        <f>+[8]pais5!E2</f>
        <v>24.593943540000005</v>
      </c>
      <c r="E14" s="21">
        <f t="shared" ref="E14:E44" si="0">IF(OR(OR(D14=0,C14=0),D14=""),"",(D14/C14-1)*100)</f>
        <v>75.894456349642468</v>
      </c>
      <c r="F14" s="21">
        <f t="shared" ref="F14:F44" si="1">(D14/D$13)*100</f>
        <v>22.288462747903054</v>
      </c>
      <c r="G14" s="21">
        <f>+[8]pais5!D2</f>
        <v>1.3803696300000003</v>
      </c>
      <c r="H14" s="24">
        <f>+[8]pais5!F2</f>
        <v>5.0156972</v>
      </c>
      <c r="I14" s="21">
        <f t="shared" ref="I14:I44" si="2">IF(OR(OR(H14=0,G14=0),H14=""),"",(H14/G14-1)*100)</f>
        <v>263.35899392396794</v>
      </c>
      <c r="J14" s="21">
        <f>(H14/H$13)*100</f>
        <v>33.011738801717691</v>
      </c>
      <c r="K14" s="106"/>
    </row>
    <row r="15" spans="1:14">
      <c r="A15" s="104"/>
      <c r="B15" s="128" t="str">
        <f>+[8]pais5!B3</f>
        <v>Artículos de cama</v>
      </c>
      <c r="C15" s="21">
        <f>+[8]pais5!C3</f>
        <v>6.2309620100000007</v>
      </c>
      <c r="D15" s="24">
        <f>+[8]pais5!E3</f>
        <v>7.833709770000004</v>
      </c>
      <c r="E15" s="21">
        <f t="shared" si="0"/>
        <v>25.722316352238561</v>
      </c>
      <c r="F15" s="21">
        <f t="shared" si="1"/>
        <v>7.0993636340814845</v>
      </c>
      <c r="G15" s="21">
        <f>+[8]pais5!D3</f>
        <v>1.6138747100000002</v>
      </c>
      <c r="H15" s="24">
        <f>+[8]pais5!F3</f>
        <v>0.89653723000000007</v>
      </c>
      <c r="I15" s="21">
        <f t="shared" si="2"/>
        <v>-44.448151740354128</v>
      </c>
      <c r="J15" s="21">
        <f t="shared" ref="J15:J44" si="3">(H15/H$13)*100</f>
        <v>5.9007255985818885</v>
      </c>
      <c r="K15" s="106"/>
    </row>
    <row r="16" spans="1:14">
      <c r="A16" s="104"/>
      <c r="B16" s="128" t="str">
        <f>+[8]pais5!B4</f>
        <v>Condensadores fijos</v>
      </c>
      <c r="C16" s="21">
        <f>+[8]pais5!C4</f>
        <v>0</v>
      </c>
      <c r="D16" s="24">
        <f>+[8]pais5!E4</f>
        <v>3.8343799999999999</v>
      </c>
      <c r="E16" s="21" t="str">
        <f t="shared" si="0"/>
        <v/>
      </c>
      <c r="F16" s="21">
        <f t="shared" si="1"/>
        <v>3.4749382770724409</v>
      </c>
      <c r="G16" s="21">
        <f>+[8]pais5!D4</f>
        <v>0</v>
      </c>
      <c r="H16" s="24">
        <f>+[8]pais5!F4</f>
        <v>0</v>
      </c>
      <c r="I16" s="21" t="str">
        <f t="shared" si="2"/>
        <v/>
      </c>
      <c r="J16" s="21">
        <f t="shared" si="3"/>
        <v>0</v>
      </c>
      <c r="K16" s="106"/>
    </row>
    <row r="17" spans="1:11">
      <c r="A17" s="104"/>
      <c r="B17" s="128" t="str">
        <f>+[8]pais5!B5</f>
        <v>Libros</v>
      </c>
      <c r="C17" s="21">
        <f>+[8]pais5!C5</f>
        <v>2.1987406599999995</v>
      </c>
      <c r="D17" s="24">
        <f>+[8]pais5!E5</f>
        <v>3.6871828199999999</v>
      </c>
      <c r="E17" s="21">
        <f t="shared" si="0"/>
        <v>67.695212403994958</v>
      </c>
      <c r="F17" s="21">
        <f t="shared" si="1"/>
        <v>3.3415396272101106</v>
      </c>
      <c r="G17" s="21">
        <f>+[8]pais5!D5</f>
        <v>0.42691960999999995</v>
      </c>
      <c r="H17" s="24">
        <f>+[8]pais5!F5</f>
        <v>0.40821779000000002</v>
      </c>
      <c r="I17" s="21">
        <f t="shared" si="2"/>
        <v>-4.3806420604572178</v>
      </c>
      <c r="J17" s="21">
        <f t="shared" si="3"/>
        <v>2.6867608869399944</v>
      </c>
      <c r="K17" s="106"/>
    </row>
    <row r="18" spans="1:11">
      <c r="A18" s="104"/>
      <c r="B18" s="128" t="str">
        <f>+[8]pais5!B6</f>
        <v>Aviones &lt;= 5.700 kg</v>
      </c>
      <c r="C18" s="21">
        <f>+[8]pais5!C6</f>
        <v>0</v>
      </c>
      <c r="D18" s="24">
        <f>+[8]pais5!E6</f>
        <v>3.58</v>
      </c>
      <c r="E18" s="21" t="str">
        <f t="shared" si="0"/>
        <v/>
      </c>
      <c r="F18" s="21">
        <f t="shared" si="1"/>
        <v>3.244404318799738</v>
      </c>
      <c r="G18" s="21">
        <f>+[8]pais5!D6</f>
        <v>0</v>
      </c>
      <c r="H18" s="24">
        <f>+[8]pais5!F6</f>
        <v>0</v>
      </c>
      <c r="I18" s="21" t="str">
        <f t="shared" si="2"/>
        <v/>
      </c>
      <c r="J18" s="21">
        <f t="shared" si="3"/>
        <v>0</v>
      </c>
      <c r="K18" s="106"/>
    </row>
    <row r="19" spans="1:11">
      <c r="A19" s="104"/>
      <c r="B19" s="128" t="str">
        <f>+[8]pais5!B7</f>
        <v>Títulos de acciones</v>
      </c>
      <c r="C19" s="21">
        <f>+[8]pais5!C7</f>
        <v>0</v>
      </c>
      <c r="D19" s="24">
        <f>+[8]pais5!E7</f>
        <v>3.2760026999999998</v>
      </c>
      <c r="E19" s="21" t="str">
        <f t="shared" si="0"/>
        <v/>
      </c>
      <c r="F19" s="21">
        <f t="shared" si="1"/>
        <v>2.9689042760557545</v>
      </c>
      <c r="G19" s="21">
        <f>+[8]pais5!D7</f>
        <v>0</v>
      </c>
      <c r="H19" s="24">
        <f>+[8]pais5!F7</f>
        <v>0</v>
      </c>
      <c r="I19" s="21" t="str">
        <f t="shared" si="2"/>
        <v/>
      </c>
      <c r="J19" s="21">
        <f t="shared" si="3"/>
        <v>0</v>
      </c>
      <c r="K19" s="106"/>
    </row>
    <row r="20" spans="1:11">
      <c r="A20" s="104"/>
      <c r="B20" s="128" t="str">
        <f>+[8]pais5!B8</f>
        <v>Muebles de madera</v>
      </c>
      <c r="C20" s="21">
        <f>+[8]pais5!C8</f>
        <v>1.9625648</v>
      </c>
      <c r="D20" s="24">
        <f>+[8]pais5!E8</f>
        <v>3.1323475999999992</v>
      </c>
      <c r="E20" s="21">
        <f t="shared" si="0"/>
        <v>59.604798781675861</v>
      </c>
      <c r="F20" s="21">
        <f t="shared" si="1"/>
        <v>2.8387156652016734</v>
      </c>
      <c r="G20" s="21">
        <f>+[8]pais5!D8</f>
        <v>0.47405212000000002</v>
      </c>
      <c r="H20" s="24">
        <f>+[8]pais5!F8</f>
        <v>0.15857899</v>
      </c>
      <c r="I20" s="21">
        <f t="shared" si="2"/>
        <v>-66.548195164700445</v>
      </c>
      <c r="J20" s="21">
        <f t="shared" si="3"/>
        <v>1.043716952714012</v>
      </c>
      <c r="K20" s="106"/>
    </row>
    <row r="21" spans="1:11">
      <c r="A21" s="104"/>
      <c r="B21" s="128" t="str">
        <f>+[8]pais5!B9</f>
        <v>Otros antibióticos humanos</v>
      </c>
      <c r="C21" s="21">
        <f>+[8]pais5!C9</f>
        <v>2.1968526699999997</v>
      </c>
      <c r="D21" s="24">
        <f>+[8]pais5!E9</f>
        <v>2.8540172499999996</v>
      </c>
      <c r="E21" s="21">
        <f t="shared" si="0"/>
        <v>29.9139122515667</v>
      </c>
      <c r="F21" s="21">
        <f t="shared" si="1"/>
        <v>2.5864765060974722</v>
      </c>
      <c r="G21" s="21">
        <f>+[8]pais5!D9</f>
        <v>0.13129006000000001</v>
      </c>
      <c r="H21" s="24">
        <f>+[8]pais5!F9</f>
        <v>0.48767628999999996</v>
      </c>
      <c r="I21" s="21">
        <f t="shared" si="2"/>
        <v>271.44951415209948</v>
      </c>
      <c r="J21" s="21">
        <f t="shared" si="3"/>
        <v>3.209731700962875</v>
      </c>
      <c r="K21" s="106"/>
    </row>
    <row r="22" spans="1:11">
      <c r="A22" s="104"/>
      <c r="B22" s="128" t="str">
        <f>+[8]pais5!B10</f>
        <v>Partes acondicionadores aire</v>
      </c>
      <c r="C22" s="21">
        <f>+[8]pais5!C10</f>
        <v>9.5165200000000005E-3</v>
      </c>
      <c r="D22" s="24">
        <f>+[8]pais5!E10</f>
        <v>2.3221227300000002</v>
      </c>
      <c r="E22" s="21">
        <f t="shared" si="0"/>
        <v>24300.965163736324</v>
      </c>
      <c r="F22" s="21">
        <f t="shared" si="1"/>
        <v>2.1044427413393962</v>
      </c>
      <c r="G22" s="21">
        <f>+[8]pais5!D10</f>
        <v>4.9630000000000004E-3</v>
      </c>
      <c r="H22" s="24">
        <f>+[8]pais5!F10</f>
        <v>8.7200000000000012E-6</v>
      </c>
      <c r="I22" s="21">
        <f t="shared" si="2"/>
        <v>-99.824299818658062</v>
      </c>
      <c r="J22" s="21">
        <f t="shared" si="3"/>
        <v>5.739229281045482E-5</v>
      </c>
      <c r="K22" s="106"/>
    </row>
    <row r="23" spans="1:11">
      <c r="A23" s="104"/>
      <c r="B23" s="128" t="str">
        <f>+[8]pais5!B11</f>
        <v>Preparaciones capilares</v>
      </c>
      <c r="C23" s="21">
        <f>+[8]pais5!C11</f>
        <v>1.9241048600000006</v>
      </c>
      <c r="D23" s="24">
        <f>+[8]pais5!E11</f>
        <v>1.8831597299999996</v>
      </c>
      <c r="E23" s="21">
        <f t="shared" si="0"/>
        <v>-2.1280092811574169</v>
      </c>
      <c r="F23" s="21">
        <f t="shared" si="1"/>
        <v>1.7066289276541191</v>
      </c>
      <c r="G23" s="21">
        <f>+[8]pais5!D11</f>
        <v>0.51501074000000002</v>
      </c>
      <c r="H23" s="24">
        <f>+[8]pais5!F11</f>
        <v>0.22941158000000003</v>
      </c>
      <c r="I23" s="21">
        <f t="shared" si="2"/>
        <v>-55.45499109397214</v>
      </c>
      <c r="J23" s="21">
        <f t="shared" si="3"/>
        <v>1.5099147446638852</v>
      </c>
      <c r="K23" s="106"/>
    </row>
    <row r="24" spans="1:11">
      <c r="A24" s="104"/>
      <c r="B24" s="128" t="str">
        <f>+[8]pais5!B12</f>
        <v>Vitaminas</v>
      </c>
      <c r="C24" s="21">
        <f>+[8]pais5!C12</f>
        <v>2.3979169199999992</v>
      </c>
      <c r="D24" s="24">
        <f>+[8]pais5!E12</f>
        <v>1.8008646699999995</v>
      </c>
      <c r="E24" s="21">
        <f t="shared" si="0"/>
        <v>-24.898787986366099</v>
      </c>
      <c r="F24" s="21">
        <f t="shared" si="1"/>
        <v>1.6320483555647662</v>
      </c>
      <c r="G24" s="21">
        <f>+[8]pais5!D12</f>
        <v>0.24586305000000003</v>
      </c>
      <c r="H24" s="24">
        <f>+[8]pais5!F12</f>
        <v>0.41085051</v>
      </c>
      <c r="I24" s="21">
        <f t="shared" si="2"/>
        <v>67.105431255326891</v>
      </c>
      <c r="J24" s="21">
        <f t="shared" si="3"/>
        <v>2.7040886205555834</v>
      </c>
      <c r="K24" s="106"/>
    </row>
    <row r="25" spans="1:11">
      <c r="A25" s="104"/>
      <c r="B25" s="128" t="str">
        <f>+[8]pais5!B13</f>
        <v>Ropas  de cama</v>
      </c>
      <c r="C25" s="21">
        <f>+[8]pais5!C13</f>
        <v>2.1258836400000001</v>
      </c>
      <c r="D25" s="24">
        <f>+[8]pais5!E13</f>
        <v>1.765889</v>
      </c>
      <c r="E25" s="21">
        <f t="shared" si="0"/>
        <v>-16.933882608927743</v>
      </c>
      <c r="F25" s="21">
        <f t="shared" si="1"/>
        <v>1.6003513681902097</v>
      </c>
      <c r="G25" s="21">
        <f>+[8]pais5!D13</f>
        <v>0.33356048999999999</v>
      </c>
      <c r="H25" s="24">
        <f>+[8]pais5!F13</f>
        <v>1.0254384000000001</v>
      </c>
      <c r="I25" s="21">
        <f t="shared" si="2"/>
        <v>207.42202111527058</v>
      </c>
      <c r="J25" s="21">
        <f t="shared" si="3"/>
        <v>6.749112489894987</v>
      </c>
      <c r="K25" s="106"/>
    </row>
    <row r="26" spans="1:11">
      <c r="A26" s="104"/>
      <c r="B26" s="128" t="str">
        <f>+[8]pais5!B14</f>
        <v>Recipientes</v>
      </c>
      <c r="C26" s="21">
        <f>+[8]pais5!C14</f>
        <v>1.3385139299999997</v>
      </c>
      <c r="D26" s="24">
        <f>+[8]pais5!E14</f>
        <v>1.4944251999999993</v>
      </c>
      <c r="E26" s="21">
        <f t="shared" si="0"/>
        <v>11.648087218636549</v>
      </c>
      <c r="F26" s="21">
        <f t="shared" si="1"/>
        <v>1.3543350762578659</v>
      </c>
      <c r="G26" s="21">
        <f>+[8]pais5!D14</f>
        <v>0.10993825</v>
      </c>
      <c r="H26" s="24">
        <f>+[8]pais5!F14</f>
        <v>0.25668592000000001</v>
      </c>
      <c r="I26" s="21">
        <f t="shared" si="2"/>
        <v>133.48190461463597</v>
      </c>
      <c r="J26" s="21">
        <f t="shared" si="3"/>
        <v>1.689425857908369</v>
      </c>
      <c r="K26" s="106"/>
    </row>
    <row r="27" spans="1:11">
      <c r="A27" s="104"/>
      <c r="B27" s="128" t="str">
        <f>+[8]pais5!B15</f>
        <v>Vehículos carga 6.2 y 9.3 ton</v>
      </c>
      <c r="C27" s="21">
        <f>+[8]pais5!C15</f>
        <v>0</v>
      </c>
      <c r="D27" s="24">
        <f>+[8]pais5!E15</f>
        <v>1.27407866</v>
      </c>
      <c r="E27" s="21" t="str">
        <f t="shared" si="0"/>
        <v/>
      </c>
      <c r="F27" s="21">
        <f t="shared" si="1"/>
        <v>1.1546442198308891</v>
      </c>
      <c r="G27" s="21">
        <f>+[8]pais5!D15</f>
        <v>0</v>
      </c>
      <c r="H27" s="24">
        <f>+[8]pais5!F15</f>
        <v>1.27407866</v>
      </c>
      <c r="I27" s="21" t="str">
        <f t="shared" si="2"/>
        <v/>
      </c>
      <c r="J27" s="21">
        <f t="shared" si="3"/>
        <v>8.3855843484256756</v>
      </c>
      <c r="K27" s="106"/>
    </row>
    <row r="28" spans="1:11">
      <c r="A28" s="104"/>
      <c r="B28" s="128" t="str">
        <f>+[8]pais5!B16</f>
        <v>Propulsores a reacción</v>
      </c>
      <c r="C28" s="21">
        <f>+[8]pais5!C16</f>
        <v>0</v>
      </c>
      <c r="D28" s="24">
        <f>+[8]pais5!E16</f>
        <v>1.2335579999999999</v>
      </c>
      <c r="E28" s="21" t="str">
        <f t="shared" si="0"/>
        <v/>
      </c>
      <c r="F28" s="21">
        <f t="shared" si="1"/>
        <v>1.1179220398575325</v>
      </c>
      <c r="G28" s="21">
        <f>+[8]pais5!D16</f>
        <v>0</v>
      </c>
      <c r="H28" s="24">
        <f>+[8]pais5!F16</f>
        <v>0</v>
      </c>
      <c r="I28" s="21" t="str">
        <f t="shared" si="2"/>
        <v/>
      </c>
      <c r="J28" s="21">
        <f t="shared" si="3"/>
        <v>0</v>
      </c>
      <c r="K28" s="106"/>
    </row>
    <row r="29" spans="1:11">
      <c r="A29" s="104"/>
      <c r="B29" s="128" t="str">
        <f>+[8]pais5!B17</f>
        <v>Diarios</v>
      </c>
      <c r="C29" s="21">
        <f>+[8]pais5!C17</f>
        <v>1.2680861199999993</v>
      </c>
      <c r="D29" s="24">
        <f>+[8]pais5!E17</f>
        <v>1.2169102699999998</v>
      </c>
      <c r="E29" s="21">
        <f t="shared" si="0"/>
        <v>-4.0356762204762138</v>
      </c>
      <c r="F29" s="21">
        <f t="shared" si="1"/>
        <v>1.1028348982066354</v>
      </c>
      <c r="G29" s="21">
        <f>+[8]pais5!D17</f>
        <v>0.20369681000000003</v>
      </c>
      <c r="H29" s="24">
        <f>+[8]pais5!F17</f>
        <v>7.9727929999999989E-2</v>
      </c>
      <c r="I29" s="21">
        <f t="shared" si="2"/>
        <v>-60.859509778282742</v>
      </c>
      <c r="J29" s="21">
        <f t="shared" si="3"/>
        <v>0.52474411740039484</v>
      </c>
      <c r="K29" s="106"/>
    </row>
    <row r="30" spans="1:11">
      <c r="A30" s="104"/>
      <c r="B30" s="128" t="str">
        <f>+[8]pais5!B18</f>
        <v>Preparaciones de belleza</v>
      </c>
      <c r="C30" s="21">
        <f>+[8]pais5!C18</f>
        <v>1.13793107</v>
      </c>
      <c r="D30" s="24">
        <f>+[8]pais5!E18</f>
        <v>0.93431560999999996</v>
      </c>
      <c r="E30" s="21">
        <f t="shared" si="0"/>
        <v>-17.893479259688384</v>
      </c>
      <c r="F30" s="21">
        <f t="shared" si="1"/>
        <v>0.84673117324190261</v>
      </c>
      <c r="G30" s="21">
        <f>+[8]pais5!D18</f>
        <v>5.8348689999999995E-2</v>
      </c>
      <c r="H30" s="24">
        <f>+[8]pais5!F18</f>
        <v>1.4887609999999999E-2</v>
      </c>
      <c r="I30" s="21">
        <f t="shared" si="2"/>
        <v>-74.485099836860087</v>
      </c>
      <c r="J30" s="21">
        <f t="shared" si="3"/>
        <v>9.7985558757781532E-2</v>
      </c>
      <c r="K30" s="106"/>
    </row>
    <row r="31" spans="1:11">
      <c r="A31" s="104"/>
      <c r="B31" s="128" t="str">
        <f>+[8]pais5!B19</f>
        <v>Muebles de metal</v>
      </c>
      <c r="C31" s="21">
        <f>+[8]pais5!C19</f>
        <v>2.6451611600000007</v>
      </c>
      <c r="D31" s="24">
        <f>+[8]pais5!E19</f>
        <v>0.93212614000000027</v>
      </c>
      <c r="E31" s="21">
        <f t="shared" si="0"/>
        <v>-64.76108321505825</v>
      </c>
      <c r="F31" s="21">
        <f t="shared" si="1"/>
        <v>0.84474694812350004</v>
      </c>
      <c r="G31" s="21">
        <f>+[8]pais5!D19</f>
        <v>0.15922630999999998</v>
      </c>
      <c r="H31" s="24">
        <f>+[8]pais5!F19</f>
        <v>1.3339119999999999E-2</v>
      </c>
      <c r="I31" s="21">
        <f t="shared" si="2"/>
        <v>-91.622540269883785</v>
      </c>
      <c r="J31" s="21">
        <f t="shared" si="3"/>
        <v>8.7793885421306631E-2</v>
      </c>
      <c r="K31" s="106"/>
    </row>
    <row r="32" spans="1:11">
      <c r="A32" s="104"/>
      <c r="B32" s="128" t="str">
        <f>+[8]pais5!B20</f>
        <v>Ropa cama sintética</v>
      </c>
      <c r="C32" s="21">
        <f>+[8]pais5!C20</f>
        <v>1.87481437</v>
      </c>
      <c r="D32" s="24">
        <f>+[8]pais5!E20</f>
        <v>0.85031894999999991</v>
      </c>
      <c r="E32" s="21">
        <f t="shared" si="0"/>
        <v>-54.645165750463079</v>
      </c>
      <c r="F32" s="21">
        <f t="shared" si="1"/>
        <v>0.77060851221711113</v>
      </c>
      <c r="G32" s="21">
        <f>+[8]pais5!D20</f>
        <v>0</v>
      </c>
      <c r="H32" s="24">
        <f>+[8]pais5!F20</f>
        <v>5.5606800000000005E-2</v>
      </c>
      <c r="I32" s="21" t="str">
        <f t="shared" si="2"/>
        <v/>
      </c>
      <c r="J32" s="21">
        <f t="shared" si="3"/>
        <v>0.36598643897389893</v>
      </c>
      <c r="K32" s="106"/>
    </row>
    <row r="33" spans="1:11">
      <c r="A33" s="104"/>
      <c r="B33" s="128" t="str">
        <f>+[8]pais5!B21</f>
        <v>Partes de construcciones</v>
      </c>
      <c r="C33" s="21">
        <f>+[8]pais5!C21</f>
        <v>1.7913399100000003</v>
      </c>
      <c r="D33" s="24">
        <f>+[8]pais5!E21</f>
        <v>0.70876569000000011</v>
      </c>
      <c r="E33" s="21">
        <f t="shared" si="0"/>
        <v>-60.433768820569632</v>
      </c>
      <c r="F33" s="21">
        <f t="shared" si="1"/>
        <v>0.64232471107627831</v>
      </c>
      <c r="G33" s="21">
        <f>+[8]pais5!D21</f>
        <v>0.31278048000000003</v>
      </c>
      <c r="H33" s="24">
        <f>+[8]pais5!F21</f>
        <v>0.24934595000000001</v>
      </c>
      <c r="I33" s="21">
        <f t="shared" si="2"/>
        <v>-20.280846809877652</v>
      </c>
      <c r="J33" s="21">
        <f t="shared" si="3"/>
        <v>1.641116487786815</v>
      </c>
      <c r="K33" s="106"/>
    </row>
    <row r="34" spans="1:11">
      <c r="A34" s="104"/>
      <c r="B34" s="128" t="str">
        <f>+[8]pais5!B22</f>
        <v>Harina de maíz</v>
      </c>
      <c r="C34" s="21">
        <f>+[8]pais5!C22</f>
        <v>0.66181447000000004</v>
      </c>
      <c r="D34" s="24">
        <f>+[8]pais5!E22</f>
        <v>0.70811067999999977</v>
      </c>
      <c r="E34" s="21">
        <f t="shared" si="0"/>
        <v>6.9953456895555322</v>
      </c>
      <c r="F34" s="21">
        <f t="shared" si="1"/>
        <v>0.6417311028995023</v>
      </c>
      <c r="G34" s="21">
        <f>+[8]pais5!D22</f>
        <v>7.5695999999999999E-2</v>
      </c>
      <c r="H34" s="24">
        <f>+[8]pais5!F22</f>
        <v>0</v>
      </c>
      <c r="I34" s="21" t="str">
        <f t="shared" si="2"/>
        <v/>
      </c>
      <c r="J34" s="21">
        <f t="shared" si="3"/>
        <v>0</v>
      </c>
      <c r="K34" s="106"/>
    </row>
    <row r="35" spans="1:11">
      <c r="A35" s="104"/>
      <c r="B35" s="128" t="str">
        <f>+[8]pais5!B23</f>
        <v>Penicilinas o derivados</v>
      </c>
      <c r="C35" s="21">
        <f>+[8]pais5!C23</f>
        <v>0.35302919999999999</v>
      </c>
      <c r="D35" s="24">
        <f>+[8]pais5!E23</f>
        <v>0.69297031999999992</v>
      </c>
      <c r="E35" s="21">
        <f t="shared" si="0"/>
        <v>96.292635283426947</v>
      </c>
      <c r="F35" s="21">
        <f t="shared" si="1"/>
        <v>0.62801002765587599</v>
      </c>
      <c r="G35" s="21">
        <f>+[8]pais5!D23</f>
        <v>5.0890000000000005E-2</v>
      </c>
      <c r="H35" s="24">
        <f>+[8]pais5!F23</f>
        <v>0.28447707999999999</v>
      </c>
      <c r="I35" s="21">
        <f t="shared" si="2"/>
        <v>459.0038907447435</v>
      </c>
      <c r="J35" s="21">
        <f t="shared" si="3"/>
        <v>1.8723385175714653</v>
      </c>
      <c r="K35" s="106"/>
    </row>
    <row r="36" spans="1:11">
      <c r="A36" s="104"/>
      <c r="B36" s="128" t="str">
        <f>+[8]pais5!B24</f>
        <v>Empaquetaduras de caucho</v>
      </c>
      <c r="C36" s="21">
        <f>+[8]pais5!C24</f>
        <v>7.0668739999999994E-2</v>
      </c>
      <c r="D36" s="24">
        <f>+[8]pais5!E24</f>
        <v>0.66005331</v>
      </c>
      <c r="E36" s="21">
        <f t="shared" si="0"/>
        <v>834.01029932046345</v>
      </c>
      <c r="F36" s="21">
        <f t="shared" si="1"/>
        <v>0.59817871776593912</v>
      </c>
      <c r="G36" s="21">
        <f>+[8]pais5!D24</f>
        <v>5.9779999999999998E-3</v>
      </c>
      <c r="H36" s="24">
        <f>+[8]pais5!F24</f>
        <v>0</v>
      </c>
      <c r="I36" s="21" t="str">
        <f t="shared" si="2"/>
        <v/>
      </c>
      <c r="J36" s="21">
        <f t="shared" si="3"/>
        <v>0</v>
      </c>
      <c r="K36" s="106"/>
    </row>
    <row r="37" spans="1:11">
      <c r="A37" s="104"/>
      <c r="B37" s="128" t="str">
        <f>+[8]pais5!B25</f>
        <v>Pantalones largos</v>
      </c>
      <c r="C37" s="21">
        <f>+[8]pais5!C25</f>
        <v>2.7509464399999999</v>
      </c>
      <c r="D37" s="24">
        <f>+[8]pais5!E25</f>
        <v>0.64684073999999991</v>
      </c>
      <c r="E37" s="21">
        <f t="shared" si="0"/>
        <v>-76.486610913442576</v>
      </c>
      <c r="F37" s="21">
        <f t="shared" si="1"/>
        <v>0.58620471799765872</v>
      </c>
      <c r="G37" s="21">
        <f>+[8]pais5!D25</f>
        <v>5.5540900000000002E-3</v>
      </c>
      <c r="H37" s="24">
        <f>+[8]pais5!F25</f>
        <v>1.0076359999999999E-2</v>
      </c>
      <c r="I37" s="21">
        <f t="shared" si="2"/>
        <v>81.422339213084399</v>
      </c>
      <c r="J37" s="21">
        <f t="shared" si="3"/>
        <v>6.6319427016462651E-2</v>
      </c>
      <c r="K37" s="106"/>
    </row>
    <row r="38" spans="1:11">
      <c r="A38" s="104"/>
      <c r="B38" s="128" t="str">
        <f>+[8]pais5!B26</f>
        <v>Morteros, hormigónes</v>
      </c>
      <c r="C38" s="21">
        <f>+[8]pais5!C26</f>
        <v>0.71756093999999981</v>
      </c>
      <c r="D38" s="24">
        <f>+[8]pais5!E26</f>
        <v>0.64061412999999989</v>
      </c>
      <c r="E38" s="21">
        <f t="shared" si="0"/>
        <v>-10.723383298985024</v>
      </c>
      <c r="F38" s="21">
        <f t="shared" si="1"/>
        <v>0.58056180169165816</v>
      </c>
      <c r="G38" s="21">
        <f>+[8]pais5!D26</f>
        <v>3.5266659999999998E-2</v>
      </c>
      <c r="H38" s="24">
        <f>+[8]pais5!F26</f>
        <v>7.8491669999999999E-2</v>
      </c>
      <c r="I38" s="21">
        <f t="shared" si="2"/>
        <v>122.56621409569264</v>
      </c>
      <c r="J38" s="21">
        <f t="shared" si="3"/>
        <v>0.51660744355752197</v>
      </c>
      <c r="K38" s="106"/>
    </row>
    <row r="39" spans="1:11">
      <c r="A39" s="104"/>
      <c r="B39" s="128" t="str">
        <f>+[8]pais5!B27</f>
        <v>Claveles</v>
      </c>
      <c r="C39" s="21">
        <f>+[8]pais5!C27</f>
        <v>0.23099498000000007</v>
      </c>
      <c r="D39" s="24">
        <f>+[8]pais5!E27</f>
        <v>0.60557169999999994</v>
      </c>
      <c r="E39" s="21">
        <f t="shared" si="0"/>
        <v>162.15794819437193</v>
      </c>
      <c r="F39" s="21">
        <f t="shared" si="1"/>
        <v>0.54880431252036288</v>
      </c>
      <c r="G39" s="21">
        <f>+[8]pais5!D27</f>
        <v>2.24735E-2</v>
      </c>
      <c r="H39" s="24">
        <f>+[8]pais5!F27</f>
        <v>5.3407999999999997E-2</v>
      </c>
      <c r="I39" s="21">
        <f t="shared" si="2"/>
        <v>137.64878634836583</v>
      </c>
      <c r="J39" s="21">
        <f t="shared" si="3"/>
        <v>0.35151463009412498</v>
      </c>
      <c r="K39" s="106"/>
    </row>
    <row r="40" spans="1:11">
      <c r="A40" s="104"/>
      <c r="B40" s="128" t="str">
        <f>+[8]pais5!B28</f>
        <v>Productos para la piel</v>
      </c>
      <c r="C40" s="21">
        <f>+[8]pais5!C28</f>
        <v>0.54912822000000006</v>
      </c>
      <c r="D40" s="24">
        <f>+[8]pais5!E28</f>
        <v>0.6005210700000001</v>
      </c>
      <c r="E40" s="21">
        <f t="shared" si="0"/>
        <v>9.3589890535948008</v>
      </c>
      <c r="F40" s="21">
        <f t="shared" si="1"/>
        <v>0.54422713772017872</v>
      </c>
      <c r="G40" s="21">
        <f>+[8]pais5!D28</f>
        <v>6.9587960000000004E-2</v>
      </c>
      <c r="H40" s="24">
        <f>+[8]pais5!F28</f>
        <v>1.6567459999999999E-2</v>
      </c>
      <c r="I40" s="21">
        <f t="shared" si="2"/>
        <v>-76.192059660895367</v>
      </c>
      <c r="J40" s="21">
        <f t="shared" si="3"/>
        <v>0.10904180222998826</v>
      </c>
      <c r="K40" s="106"/>
    </row>
    <row r="41" spans="1:11">
      <c r="A41" s="104"/>
      <c r="B41" s="128" t="str">
        <f>+[8]pais5!B29</f>
        <v>Manufacturas de plástico</v>
      </c>
      <c r="C41" s="21">
        <f>+[8]pais5!C29</f>
        <v>0.4900377800000002</v>
      </c>
      <c r="D41" s="24">
        <f>+[8]pais5!E29</f>
        <v>0.58099053000000001</v>
      </c>
      <c r="E41" s="21">
        <f t="shared" si="0"/>
        <v>18.560354673062097</v>
      </c>
      <c r="F41" s="21">
        <f t="shared" si="1"/>
        <v>0.52652742589769508</v>
      </c>
      <c r="G41" s="21">
        <f>+[8]pais5!D29</f>
        <v>8.6270199999999991E-2</v>
      </c>
      <c r="H41" s="24">
        <f>+[8]pais5!F29</f>
        <v>7.7689489999999986E-2</v>
      </c>
      <c r="I41" s="21">
        <f t="shared" si="2"/>
        <v>-9.946319818430938</v>
      </c>
      <c r="J41" s="21">
        <f t="shared" si="3"/>
        <v>0.51132774752005727</v>
      </c>
      <c r="K41" s="106"/>
    </row>
    <row r="42" spans="1:11">
      <c r="A42" s="104"/>
      <c r="B42" s="128" t="str">
        <f>+[8]pais5!B30</f>
        <v>Accesorios de tuberia</v>
      </c>
      <c r="C42" s="21">
        <f>+[8]pais5!C30</f>
        <v>0.74114069000000005</v>
      </c>
      <c r="D42" s="24">
        <f>+[8]pais5!E30</f>
        <v>0.56987680000000063</v>
      </c>
      <c r="E42" s="21">
        <f t="shared" si="0"/>
        <v>-23.108148332808366</v>
      </c>
      <c r="F42" s="21">
        <f t="shared" si="1"/>
        <v>0.51645551706809401</v>
      </c>
      <c r="G42" s="21">
        <f>+[8]pais5!D30</f>
        <v>0.15877921000000003</v>
      </c>
      <c r="H42" s="24">
        <f>+[8]pais5!F30</f>
        <v>5.1474570000000004E-2</v>
      </c>
      <c r="I42" s="21">
        <f t="shared" si="2"/>
        <v>-67.581039104552801</v>
      </c>
      <c r="J42" s="21">
        <f t="shared" si="3"/>
        <v>0.33878940295094645</v>
      </c>
      <c r="K42" s="106"/>
    </row>
    <row r="43" spans="1:11">
      <c r="A43" s="104"/>
      <c r="B43" s="128" t="str">
        <f>+[8]pais5!B31</f>
        <v>Corticosteroides</v>
      </c>
      <c r="C43" s="21">
        <f>+[8]pais5!C31</f>
        <v>1.2355714800000006</v>
      </c>
      <c r="D43" s="24">
        <f>+[8]pais5!E31</f>
        <v>0.5588995499999998</v>
      </c>
      <c r="E43" s="21">
        <f t="shared" si="0"/>
        <v>-54.765907189764576</v>
      </c>
      <c r="F43" s="21">
        <f t="shared" si="1"/>
        <v>0.50650729435620934</v>
      </c>
      <c r="G43" s="21">
        <f>+[8]pais5!D31</f>
        <v>5.9023799999999994E-2</v>
      </c>
      <c r="H43" s="24">
        <f>+[8]pais5!F31</f>
        <v>2.5491999999999997E-2</v>
      </c>
      <c r="I43" s="21">
        <f t="shared" si="2"/>
        <v>-56.810642486590154</v>
      </c>
      <c r="J43" s="21">
        <f t="shared" si="3"/>
        <v>0.16778031288120571</v>
      </c>
      <c r="K43" s="106"/>
    </row>
    <row r="44" spans="1:11">
      <c r="A44" s="104"/>
      <c r="B44" s="128" t="s">
        <v>51</v>
      </c>
      <c r="C44" s="21">
        <f>+C13-SUM(C14:C43)</f>
        <v>55.19305652000034</v>
      </c>
      <c r="D44" s="24">
        <f>+D13-SUM(D14:D43)</f>
        <v>34.871263270000611</v>
      </c>
      <c r="E44" s="21">
        <f t="shared" si="0"/>
        <v>-36.819474280493438</v>
      </c>
      <c r="F44" s="21">
        <f t="shared" si="1"/>
        <v>31.602367920444873</v>
      </c>
      <c r="G44" s="21">
        <f>+G13-SUM(G14:G43)</f>
        <v>5.6610029899999974</v>
      </c>
      <c r="H44" s="24">
        <f>+H13-SUM(H14:H43)</f>
        <v>4.0199123799999938</v>
      </c>
      <c r="I44" s="21">
        <f t="shared" si="2"/>
        <v>-28.989396629871845</v>
      </c>
      <c r="J44" s="21">
        <f t="shared" si="3"/>
        <v>26.457796833180264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[22]cuadro_historico1!B7/1000000</f>
        <v>210.207232</v>
      </c>
      <c r="D13" s="72">
        <f>[22]cuadro_historico1!C7/1000000</f>
        <v>242.00093200000001</v>
      </c>
      <c r="E13" s="72">
        <f>[22]cuadro_historico1!D7/1000000</f>
        <v>170.79666</v>
      </c>
      <c r="F13" s="72">
        <f>[22]cuadro_historico1!E7/1000000</f>
        <v>227.822484</v>
      </c>
      <c r="G13" s="72">
        <f>[22]cuadro_historico1!F7/1000000</f>
        <v>256.65837199999999</v>
      </c>
      <c r="H13" s="74">
        <f>[22]cuadro_historico1!G7/1000000</f>
        <v>205.435192</v>
      </c>
      <c r="I13" s="72">
        <f t="shared" ref="I13" si="0">IF(OR(OR(H13=0,G13=0),H13=""),"",(H13/G13-1)*100)</f>
        <v>-19.957728088449024</v>
      </c>
      <c r="J13" s="72">
        <f t="shared" ref="J13" si="1">IF(OR(OR(H13=0,G13=0),H13=""),"",H13/G13*100)</f>
        <v>80.042271911550984</v>
      </c>
      <c r="K13" s="72">
        <f>IF(OR(OR(H13=0,G13=0),H13=""),"",(G13/F13-1)*100)</f>
        <v>12.657173907383079</v>
      </c>
      <c r="L13" s="64"/>
      <c r="N13" s="40">
        <f t="shared" ref="N13:N24" si="2">IF(H13="","",1)</f>
        <v>1</v>
      </c>
    </row>
    <row r="14" spans="1:15">
      <c r="A14" s="62"/>
      <c r="B14" s="71" t="s">
        <v>8</v>
      </c>
      <c r="C14" s="72">
        <f>[22]cuadro_historico1!B8/1000000</f>
        <v>262.10585800000001</v>
      </c>
      <c r="D14" s="72">
        <f>[22]cuadro_historico1!C8/1000000</f>
        <v>251.969663</v>
      </c>
      <c r="E14" s="72">
        <f>[22]cuadro_historico1!D8/1000000</f>
        <v>206.519181</v>
      </c>
      <c r="F14" s="72">
        <f>[22]cuadro_historico1!E8/1000000</f>
        <v>249.22439299999999</v>
      </c>
      <c r="G14" s="72">
        <f>[22]cuadro_historico1!F8/1000000</f>
        <v>275.85027200000002</v>
      </c>
      <c r="H14" s="74">
        <f>[22]cuadro_historico1!G8/1000000</f>
        <v>238.26693399999999</v>
      </c>
      <c r="I14" s="72">
        <f t="shared" ref="I14" si="3">IF(OR(OR(H14=0,G14=0),H14=""),"",(H14/G14-1)*100)</f>
        <v>-13.624542664942529</v>
      </c>
      <c r="J14" s="72">
        <f t="shared" ref="J14" si="4">IF(OR(OR(H14=0,G14=0),H14=""),"",H14/G14*100)</f>
        <v>86.375457335057476</v>
      </c>
      <c r="K14" s="72">
        <f>IF(OR(OR(H14=0,G14=0),H14=""),"",(G14/F14-1)*100)</f>
        <v>10.68349637830195</v>
      </c>
      <c r="L14" s="64"/>
      <c r="N14" s="40">
        <f t="shared" si="2"/>
        <v>1</v>
      </c>
    </row>
    <row r="15" spans="1:15">
      <c r="A15" s="62"/>
      <c r="B15" s="71" t="s">
        <v>9</v>
      </c>
      <c r="C15" s="72">
        <f>[22]cuadro_historico1!B9/1000000</f>
        <v>266.17807800000003</v>
      </c>
      <c r="D15" s="72">
        <f>[22]cuadro_historico1!C9/1000000</f>
        <v>272.31894899999998</v>
      </c>
      <c r="E15" s="72">
        <f>[22]cuadro_historico1!D9/1000000</f>
        <v>296.77774599999998</v>
      </c>
      <c r="F15" s="72">
        <f>[22]cuadro_historico1!E9/1000000</f>
        <v>386.71803999999997</v>
      </c>
      <c r="G15" s="72">
        <f>[22]cuadro_historico1!F9/1000000</f>
        <v>322.71263099999999</v>
      </c>
      <c r="H15" s="74">
        <f>[22]cuadro_historico1!G9/1000000</f>
        <v>270.63146499999999</v>
      </c>
      <c r="I15" s="72">
        <f t="shared" ref="I15" si="5">IF(OR(OR(H15=0,G15=0),H15=""),"",(H15/G15-1)*100)</f>
        <v>-16.138558270438441</v>
      </c>
      <c r="J15" s="72">
        <f t="shared" ref="J15" si="6">IF(OR(OR(H15=0,G15=0),H15=""),"",H15/G15*100)</f>
        <v>83.861441729561562</v>
      </c>
      <c r="K15" s="72">
        <f>IF(OR(OR(H15=0,G15=0),H15=""),"",(G15/F15-1)*100)</f>
        <v>-16.550924027231829</v>
      </c>
      <c r="L15" s="64"/>
      <c r="N15" s="40">
        <f t="shared" si="2"/>
        <v>1</v>
      </c>
    </row>
    <row r="16" spans="1:15">
      <c r="A16" s="62"/>
      <c r="B16" s="71" t="s">
        <v>10</v>
      </c>
      <c r="C16" s="72">
        <f>[22]cuadro_historico1!B10/1000000</f>
        <v>342.13096100000001</v>
      </c>
      <c r="D16" s="72">
        <f>[22]cuadro_historico1!C10/1000000</f>
        <v>223.764308</v>
      </c>
      <c r="E16" s="72">
        <f>[22]cuadro_historico1!D10/1000000</f>
        <v>226.57357300000001</v>
      </c>
      <c r="F16" s="72">
        <f>[22]cuadro_historico1!E10/1000000</f>
        <v>340.13563499999998</v>
      </c>
      <c r="G16" s="72">
        <f>[22]cuadro_historico1!F10/1000000</f>
        <v>230.51125999999999</v>
      </c>
      <c r="H16" s="74">
        <f>[22]cuadro_historico1!G10/1000000</f>
        <v>326.83519200000001</v>
      </c>
      <c r="I16" s="72">
        <f t="shared" ref="I16" si="7">IF(OR(OR(H16=0,G16=0),H16=""),"",(H16/G16-1)*100)</f>
        <v>41.787083199319632</v>
      </c>
      <c r="J16" s="72">
        <f t="shared" ref="J16" si="8">IF(OR(OR(H16=0,G16=0),H16=""),"",H16/G16*100)</f>
        <v>141.78708319931962</v>
      </c>
      <c r="K16" s="72">
        <f>IF(OR(OR(H16=0,G16=0),H16=""),"",(G16/F16-1)*100)</f>
        <v>-32.229605992327151</v>
      </c>
      <c r="L16" s="64"/>
      <c r="N16" s="40">
        <f t="shared" si="2"/>
        <v>1</v>
      </c>
    </row>
    <row r="17" spans="1:15">
      <c r="A17" s="62"/>
      <c r="B17" s="71" t="s">
        <v>11</v>
      </c>
      <c r="C17" s="72">
        <f>[22]cuadro_historico1!B11/1000000</f>
        <v>303.01887299999999</v>
      </c>
      <c r="D17" s="72">
        <f>[22]cuadro_historico1!C11/1000000</f>
        <v>268.072677</v>
      </c>
      <c r="E17" s="72">
        <f>[22]cuadro_historico1!D11/1000000</f>
        <v>355.30443600000001</v>
      </c>
      <c r="F17" s="72">
        <f>[22]cuadro_historico1!E11/1000000</f>
        <v>265.33380799999998</v>
      </c>
      <c r="G17" s="72">
        <f>[22]cuadro_historico1!F11/1000000</f>
        <v>306.66912100000002</v>
      </c>
      <c r="H17" s="74">
        <f>[22]cuadro_historico1!G11/1000000</f>
        <v>323.48553399999997</v>
      </c>
      <c r="I17" s="72">
        <f t="shared" ref="I17:I18" si="9">IF(OR(OR(H17=0,G17=0),H17=""),"",(H17/G17-1)*100)</f>
        <v>5.4835690483490129</v>
      </c>
      <c r="J17" s="72">
        <f t="shared" ref="J17:J18" si="10">IF(OR(OR(H17=0,G17=0),H17=""),"",H17/G17*100)</f>
        <v>105.48356904834901</v>
      </c>
      <c r="K17" s="72">
        <f t="shared" ref="K17:K18" si="11">IF(OR(OR(H17=0,G17=0),H17=""),"",(G17/F17-1)*100)</f>
        <v>15.578607683495814</v>
      </c>
      <c r="L17" s="64"/>
      <c r="N17" s="40">
        <f t="shared" si="2"/>
        <v>1</v>
      </c>
    </row>
    <row r="18" spans="1:15">
      <c r="A18" s="62"/>
      <c r="B18" s="71" t="s">
        <v>12</v>
      </c>
      <c r="C18" s="72">
        <f>[22]cuadro_historico1!B12/1000000</f>
        <v>292.881032</v>
      </c>
      <c r="D18" s="72">
        <f>[22]cuadro_historico1!C12/1000000</f>
        <v>253.33715900000001</v>
      </c>
      <c r="E18" s="72">
        <f>[22]cuadro_historico1!D12/1000000</f>
        <v>234.36356799999999</v>
      </c>
      <c r="F18" s="72">
        <f>[22]cuadro_historico1!E12/1000000</f>
        <v>297.64943199999999</v>
      </c>
      <c r="G18" s="72">
        <f>[22]cuadro_historico1!F12/1000000</f>
        <v>253.80930699999999</v>
      </c>
      <c r="H18" s="74">
        <f>[22]cuadro_historico1!G12/1000000</f>
        <v>283.09079300000002</v>
      </c>
      <c r="I18" s="72">
        <f t="shared" si="9"/>
        <v>11.536805464742095</v>
      </c>
      <c r="J18" s="72">
        <f t="shared" si="10"/>
        <v>111.53680546474209</v>
      </c>
      <c r="K18" s="72">
        <f t="shared" si="11"/>
        <v>-14.728778316633917</v>
      </c>
      <c r="L18" s="64"/>
      <c r="N18" s="40">
        <f t="shared" si="2"/>
        <v>1</v>
      </c>
    </row>
    <row r="19" spans="1:15">
      <c r="A19" s="62"/>
      <c r="B19" s="71" t="s">
        <v>13</v>
      </c>
      <c r="C19" s="72">
        <f>[22]cuadro_historico1!B13/1000000</f>
        <v>338.85190699999998</v>
      </c>
      <c r="D19" s="72">
        <f>[22]cuadro_historico1!C13/1000000</f>
        <v>226.84204099999999</v>
      </c>
      <c r="E19" s="72">
        <f>[22]cuadro_historico1!D13/1000000</f>
        <v>195.535889</v>
      </c>
      <c r="F19" s="72">
        <f>[22]cuadro_historico1!E13/1000000</f>
        <v>285.16797700000001</v>
      </c>
      <c r="G19" s="72">
        <f>[22]cuadro_historico1!F13/1000000</f>
        <v>320.12071300000002</v>
      </c>
      <c r="H19" s="74">
        <f>[22]cuadro_historico1!G13/1000000</f>
        <v>279.69895000000002</v>
      </c>
      <c r="I19" s="72">
        <f t="shared" ref="I19" si="12">IF(OR(OR(H19=0,G19=0),H19=""),"",(H19/G19-1)*100)</f>
        <v>-12.62703766375779</v>
      </c>
      <c r="J19" s="72">
        <f t="shared" ref="J19" si="13">IF(OR(OR(H19=0,G19=0),H19=""),"",H19/G19*100)</f>
        <v>87.37296233624221</v>
      </c>
      <c r="K19" s="72">
        <f t="shared" ref="K19" si="14">IF(OR(OR(H19=0,G19=0),H19=""),"",(G19/F19-1)*100)</f>
        <v>12.256893767563536</v>
      </c>
      <c r="L19" s="64"/>
      <c r="N19" s="40">
        <f t="shared" si="2"/>
        <v>1</v>
      </c>
    </row>
    <row r="20" spans="1:15">
      <c r="A20" s="62"/>
      <c r="B20" s="71" t="s">
        <v>14</v>
      </c>
      <c r="C20" s="72">
        <f>[22]cuadro_historico1!B14/1000000</f>
        <v>289.91516999999999</v>
      </c>
      <c r="D20" s="72">
        <f>[22]cuadro_historico1!C14/1000000</f>
        <v>207.37031200000001</v>
      </c>
      <c r="E20" s="72">
        <f>[22]cuadro_historico1!D14/1000000</f>
        <v>221.91504</v>
      </c>
      <c r="F20" s="72">
        <f>[22]cuadro_historico1!E14/1000000</f>
        <v>321.34257700000001</v>
      </c>
      <c r="G20" s="72">
        <f>[22]cuadro_historico1!F14/1000000</f>
        <v>271.30448000000001</v>
      </c>
      <c r="H20" s="30">
        <f>[22]cuadro_historico1!G14/1000000</f>
        <v>245.679866</v>
      </c>
      <c r="I20" s="24">
        <f t="shared" ref="I20" si="15">IF(OR(OR(H20=0,G20=0),H20=""),"",(H20/G20-1)*100)</f>
        <v>-9.4449653024528004</v>
      </c>
      <c r="J20" s="24">
        <f t="shared" ref="J20" si="16">IF(OR(OR(H20=0,G20=0),H20=""),"",H20/G20*100)</f>
        <v>90.5550346975472</v>
      </c>
      <c r="K20" s="24">
        <f t="shared" ref="K20" si="17">IF(OR(OR(H20=0,G20=0),H20=""),"",(G20/F20-1)*100)</f>
        <v>-15.57157394676647</v>
      </c>
      <c r="L20" s="64"/>
      <c r="N20" s="40">
        <f t="shared" si="2"/>
        <v>1</v>
      </c>
    </row>
    <row r="21" spans="1:15">
      <c r="A21" s="62"/>
      <c r="B21" s="71" t="s">
        <v>15</v>
      </c>
      <c r="C21" s="72">
        <f>[22]cuadro_historico1!B15/1000000</f>
        <v>267.998377</v>
      </c>
      <c r="D21" s="72">
        <f>[22]cuadro_historico1!C15/1000000</f>
        <v>250.36220399999999</v>
      </c>
      <c r="E21" s="72">
        <f>[22]cuadro_historico1!D15/1000000</f>
        <v>268.68528800000001</v>
      </c>
      <c r="F21" s="72">
        <f>[22]cuadro_historico1!E15/1000000</f>
        <v>257.45700799999997</v>
      </c>
      <c r="G21" s="72">
        <f>[22]cuadro_historico1!F15/1000000</f>
        <v>256.87543799999997</v>
      </c>
      <c r="H21" s="74"/>
      <c r="I21" s="72" t="str">
        <f t="shared" ref="I21" si="18">IF(OR(OR(H21=0,G21=0),H21=""),"",(H21/G21-1)*100)</f>
        <v/>
      </c>
      <c r="J21" s="72" t="str">
        <f t="shared" ref="J21" si="19">IF(OR(OR(H21=0,G21=0),H21=""),"",H21/G21*100)</f>
        <v/>
      </c>
      <c r="K21" s="72" t="str">
        <f t="shared" ref="K21" si="20">IF(OR(OR(H21=0,G21=0),H21=""),"",(G21/F21-1)*100)</f>
        <v/>
      </c>
      <c r="L21" s="64"/>
      <c r="N21" s="40" t="str">
        <f t="shared" si="2"/>
        <v/>
      </c>
    </row>
    <row r="22" spans="1:15">
      <c r="A22" s="62"/>
      <c r="B22" s="71" t="s">
        <v>16</v>
      </c>
      <c r="C22" s="72">
        <f>[22]cuadro_historico1!B16/1000000</f>
        <v>408.94665900000001</v>
      </c>
      <c r="D22" s="72">
        <f>[22]cuadro_historico1!C16/1000000</f>
        <v>219.21742800000001</v>
      </c>
      <c r="E22" s="72">
        <f>[22]cuadro_historico1!D16/1000000</f>
        <v>251.29046700000001</v>
      </c>
      <c r="F22" s="72">
        <f>[22]cuadro_historico1!E16/1000000</f>
        <v>264.35180300000002</v>
      </c>
      <c r="G22" s="72">
        <f>[22]cuadro_historico1!F16/1000000</f>
        <v>268.69307099999997</v>
      </c>
      <c r="H22" s="74"/>
      <c r="I22" s="72" t="str">
        <f t="shared" ref="I22" si="21">IF(OR(OR(H22=0,G22=0),H22=""),"",(H22/G22-1)*100)</f>
        <v/>
      </c>
      <c r="J22" s="72" t="str">
        <f t="shared" ref="J22" si="22">IF(OR(OR(H22=0,G22=0),H22=""),"",H22/G22*100)</f>
        <v/>
      </c>
      <c r="K22" s="72" t="str">
        <f t="shared" ref="K22" si="23">IF(OR(OR(H22=0,G22=0),H22=""),"",(G22/F22-1)*100)</f>
        <v/>
      </c>
      <c r="L22" s="64"/>
      <c r="N22" s="40" t="str">
        <f t="shared" si="2"/>
        <v/>
      </c>
    </row>
    <row r="23" spans="1:15">
      <c r="A23" s="62"/>
      <c r="B23" s="71" t="s">
        <v>17</v>
      </c>
      <c r="C23" s="72">
        <f>[22]cuadro_historico1!B17/1000000</f>
        <v>284.98122599999999</v>
      </c>
      <c r="D23" s="72">
        <f>[22]cuadro_historico1!C17/1000000</f>
        <v>226.978048</v>
      </c>
      <c r="E23" s="72">
        <f>[22]cuadro_historico1!D17/1000000</f>
        <v>236.18226999999999</v>
      </c>
      <c r="F23" s="72">
        <f>[22]cuadro_historico1!E17/1000000</f>
        <v>343.74963700000001</v>
      </c>
      <c r="G23" s="72">
        <f>[22]cuadro_historico1!F17/1000000</f>
        <v>271.36029100000002</v>
      </c>
      <c r="H23" s="74"/>
      <c r="I23" s="72" t="str">
        <f t="shared" ref="I23" si="24">IF(OR(OR(H23=0,G23=0),H23=""),"",(H23/G23-1)*100)</f>
        <v/>
      </c>
      <c r="J23" s="72" t="str">
        <f t="shared" ref="J23" si="25">IF(OR(OR(H23=0,G23=0),H23=""),"",H23/G23*100)</f>
        <v/>
      </c>
      <c r="K23" s="72" t="str">
        <f t="shared" ref="K23" si="26">IF(OR(OR(H23=0,G23=0),H23=""),"",(G23/F23-1)*100)</f>
        <v/>
      </c>
      <c r="L23" s="64"/>
      <c r="N23" s="40" t="str">
        <f t="shared" si="2"/>
        <v/>
      </c>
    </row>
    <row r="24" spans="1:15">
      <c r="A24" s="62"/>
      <c r="B24" s="71" t="s">
        <v>18</v>
      </c>
      <c r="C24" s="72">
        <f>[22]cuadro_historico1!B18/1000000</f>
        <v>318.61222700000002</v>
      </c>
      <c r="D24" s="72">
        <f>[22]cuadro_historico1!C18/1000000</f>
        <v>243.16203300000001</v>
      </c>
      <c r="E24" s="72">
        <f>[22]cuadro_historico1!D18/1000000</f>
        <v>281.09912200000002</v>
      </c>
      <c r="F24" s="72">
        <f>[22]cuadro_historico1!E18/1000000</f>
        <v>503.35862100000003</v>
      </c>
      <c r="G24" s="72">
        <f>[22]cuadro_historico1!F18/1000000</f>
        <v>255.237551</v>
      </c>
      <c r="H24" s="74"/>
      <c r="I24" s="72" t="str">
        <f t="shared" ref="I24" si="27">IF(OR(OR(H24=0,G24=0),H24=""),"",(H24/G24-1)*100)</f>
        <v/>
      </c>
      <c r="J24" s="72" t="str">
        <f t="shared" ref="J24" si="28">IF(OR(OR(H24=0,G24=0),H24=""),"",H24/G24*100)</f>
        <v/>
      </c>
      <c r="K24" s="72" t="str">
        <f t="shared" ref="K24" si="29">IF(OR(OR(H24=0,G24=0),H24=""),"",(G24/F24-1)*100)</f>
        <v/>
      </c>
      <c r="L24" s="64"/>
      <c r="N24" s="40" t="str">
        <f t="shared" si="2"/>
        <v/>
      </c>
    </row>
    <row r="25" spans="1:15">
      <c r="A25" s="62"/>
      <c r="B25" s="73" t="s">
        <v>37</v>
      </c>
      <c r="C25" s="74">
        <f t="shared" ref="C25:F25" si="30">SUM(C13:C24)</f>
        <v>3585.8276000000001</v>
      </c>
      <c r="D25" s="74">
        <f t="shared" si="30"/>
        <v>2885.3957540000001</v>
      </c>
      <c r="E25" s="74">
        <f t="shared" si="30"/>
        <v>2945.0432399999995</v>
      </c>
      <c r="F25" s="74">
        <f t="shared" si="30"/>
        <v>3742.3114149999992</v>
      </c>
      <c r="G25" s="74">
        <f>SUM(G13:G24)</f>
        <v>3289.8025070000003</v>
      </c>
      <c r="H25" s="88">
        <f>SUM(H13:H24)</f>
        <v>2173.1239260000002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-19.533338579913885</v>
      </c>
      <c r="E26" s="74">
        <f>(E25/D25-1)*100</f>
        <v>2.067220273590209</v>
      </c>
      <c r="F26" s="74">
        <f>(F25/E25-1)*100</f>
        <v>27.07152697017785</v>
      </c>
      <c r="G26" s="74">
        <f>(G25/F25-1)*100</f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 t="shared" ref="C28:H28" si="31">SUMPRODUCT(C13:C24,$N$13:$N$24)</f>
        <v>2305.289111</v>
      </c>
      <c r="D28" s="74">
        <f t="shared" si="31"/>
        <v>1945.6760410000002</v>
      </c>
      <c r="E28" s="74">
        <f t="shared" si="31"/>
        <v>1907.7860929999999</v>
      </c>
      <c r="F28" s="74">
        <f t="shared" si="31"/>
        <v>2373.3943459999996</v>
      </c>
      <c r="G28" s="74">
        <f t="shared" si="31"/>
        <v>2237.636156</v>
      </c>
      <c r="H28" s="30">
        <f t="shared" si="31"/>
        <v>2173.1239260000002</v>
      </c>
      <c r="I28" s="70">
        <f>IF(OR(OR(H28=0,G28=0),H28=""),"",(H28/G28-1)*100)</f>
        <v>-2.8830527173515974</v>
      </c>
      <c r="J28" s="30">
        <f>IF(OR(OR(H28=0,G28=0),H28=""),"",H28/G28*100)</f>
        <v>97.116947282648397</v>
      </c>
      <c r="K28" s="30">
        <f>IF(OR(OR(H28=0,G28=0),G28=""),"",(G28/F28-1)*100)</f>
        <v>-5.7200014076379535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-15.59947809947383</v>
      </c>
      <c r="E29" s="74">
        <f t="shared" ref="E29:H29" si="32">(E28/D28-1)*100</f>
        <v>-1.9473924333532011</v>
      </c>
      <c r="F29" s="74">
        <f t="shared" si="32"/>
        <v>24.405684406045182</v>
      </c>
      <c r="G29" s="74">
        <f t="shared" si="32"/>
        <v>-5.7200014076379535</v>
      </c>
      <c r="H29" s="30">
        <f t="shared" si="32"/>
        <v>-2.8830527173515974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[24]historico_tradicionales!C7/1000000</f>
        <v>4.9081330000000003</v>
      </c>
      <c r="D13" s="72">
        <f>[24]historico_tradicionales!D7/1000000</f>
        <v>39.303502999999999</v>
      </c>
      <c r="E13" s="72">
        <f>[24]historico_tradicionales!E7/1000000</f>
        <v>15.849413</v>
      </c>
      <c r="F13" s="72">
        <f>[24]historico_tradicionales!F7/1000000</f>
        <v>32.649073000000001</v>
      </c>
      <c r="G13" s="72">
        <f>[24]historico_tradicionales!G7/1000000</f>
        <v>29.168998999999999</v>
      </c>
      <c r="H13" s="74">
        <f>[24]historico_tradicionales!H7/1000000</f>
        <v>17.413149000000001</v>
      </c>
      <c r="I13" s="72">
        <f t="shared" ref="I13" si="0">IF(OR(OR(H13=0,G13=0),H13=""),"",(H13/G13-1)*100)</f>
        <v>-40.302548606484578</v>
      </c>
      <c r="J13" s="72">
        <f t="shared" ref="J13" si="1">IF(OR(OR(H13=0,G13=0),H13=""),"",H13/G13*100)</f>
        <v>59.697451393515422</v>
      </c>
      <c r="K13" s="72">
        <f t="shared" ref="K13" si="2">IF(OR(OR(H13=0,G13=0),H13=""),"",(G13/F13-1)*100)</f>
        <v>-10.659028512080582</v>
      </c>
      <c r="L13" s="64"/>
      <c r="M13" s="14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[24]historico_tradicionales!C8/1000000</f>
        <v>13.215481</v>
      </c>
      <c r="D14" s="72">
        <f>[24]historico_tradicionales!D8/1000000</f>
        <v>35.060710999999998</v>
      </c>
      <c r="E14" s="72">
        <f>[24]historico_tradicionales!E8/1000000</f>
        <v>15.829096</v>
      </c>
      <c r="F14" s="72">
        <f>[24]historico_tradicionales!F8/1000000</f>
        <v>27.516204999999999</v>
      </c>
      <c r="G14" s="72">
        <f>[24]historico_tradicionales!G8/1000000</f>
        <v>40.585464000000002</v>
      </c>
      <c r="H14" s="74">
        <f>[24]historico_tradicionales!H8/1000000</f>
        <v>30.976023999999999</v>
      </c>
      <c r="I14" s="72">
        <f t="shared" ref="I14" si="4">IF(OR(OR(H14=0,G14=0),H14=""),"",(H14/G14-1)*100)</f>
        <v>-23.677048511752886</v>
      </c>
      <c r="J14" s="72">
        <f t="shared" ref="J14" si="5">IF(OR(OR(H14=0,G14=0),H14=""),"",H14/G14*100)</f>
        <v>76.322951488247114</v>
      </c>
      <c r="K14" s="72">
        <f t="shared" ref="K14" si="6">IF(OR(OR(H14=0,G14=0),H14=""),"",(G14/F14-1)*100)</f>
        <v>47.496589736847802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[24]historico_tradicionales!C9/1000000</f>
        <v>15.536369000000001</v>
      </c>
      <c r="D15" s="72">
        <f>[24]historico_tradicionales!D9/1000000</f>
        <v>32.991284</v>
      </c>
      <c r="E15" s="72">
        <f>[24]historico_tradicionales!E9/1000000</f>
        <v>23.157443000000001</v>
      </c>
      <c r="F15" s="72">
        <f>[24]historico_tradicionales!F9/1000000</f>
        <v>52.089571999999997</v>
      </c>
      <c r="G15" s="72">
        <f>[24]historico_tradicionales!G9/1000000</f>
        <v>27.181937999999999</v>
      </c>
      <c r="H15" s="74">
        <f>[24]historico_tradicionales!H9/1000000</f>
        <v>15.453935</v>
      </c>
      <c r="I15" s="72">
        <f t="shared" ref="I15" si="7">IF(OR(OR(H15=0,G15=0),H15=""),"",(H15/G15-1)*100)</f>
        <v>-43.14630914101857</v>
      </c>
      <c r="J15" s="72">
        <f t="shared" ref="J15" si="8">IF(OR(OR(H15=0,G15=0),H15=""),"",H15/G15*100)</f>
        <v>56.85369085898143</v>
      </c>
      <c r="K15" s="72">
        <f t="shared" ref="K15" si="9">IF(OR(OR(H15=0,G15=0),H15=""),"",(G15/F15-1)*100)</f>
        <v>-47.816929653405481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[24]historico_tradicionales!C10/1000000</f>
        <v>24.652837000000002</v>
      </c>
      <c r="D16" s="72">
        <f>[24]historico_tradicionales!D10/1000000</f>
        <v>30.051521999999999</v>
      </c>
      <c r="E16" s="72">
        <f>[24]historico_tradicionales!E10/1000000</f>
        <v>14.453158999999999</v>
      </c>
      <c r="F16" s="72">
        <f>[24]historico_tradicionales!F10/1000000</f>
        <v>86.402929</v>
      </c>
      <c r="G16" s="72">
        <f>[24]historico_tradicionales!G10/1000000</f>
        <v>13.412137</v>
      </c>
      <c r="H16" s="74">
        <f>[24]historico_tradicionales!H10/1000000</f>
        <v>17.345039</v>
      </c>
      <c r="I16" s="72">
        <f t="shared" ref="I16" si="10">IF(OR(OR(H16=0,G16=0),H16=""),"",(H16/G16-1)*100)</f>
        <v>29.323455315137338</v>
      </c>
      <c r="J16" s="72">
        <f t="shared" ref="J16" si="11">IF(OR(OR(H16=0,G16=0),H16=""),"",H16/G16*100)</f>
        <v>129.32345531513732</v>
      </c>
      <c r="K16" s="72">
        <f t="shared" ref="K16" si="12">IF(OR(OR(H16=0,G16=0),H16=""),"",(G16/F16-1)*100)</f>
        <v>-84.47721951648191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[24]historico_tradicionales!C11/1000000</f>
        <v>30.291212000000002</v>
      </c>
      <c r="D17" s="72">
        <f>[24]historico_tradicionales!D11/1000000</f>
        <v>15.3309</v>
      </c>
      <c r="E17" s="72">
        <f>[24]historico_tradicionales!E11/1000000</f>
        <v>25.110378999999998</v>
      </c>
      <c r="F17" s="72">
        <f>[24]historico_tradicionales!F11/1000000</f>
        <v>33.364111999999999</v>
      </c>
      <c r="G17" s="72">
        <f>[24]historico_tradicionales!G11/1000000</f>
        <v>21.011600999999999</v>
      </c>
      <c r="H17" s="74">
        <f>[24]historico_tradicionales!H11/1000000</f>
        <v>21.488112999999998</v>
      </c>
      <c r="I17" s="72">
        <f t="shared" ref="I17:I18" si="13">IF(OR(OR(H17=0,G17=0),H17=""),"",(H17/G17-1)*100)</f>
        <v>2.2678519356997162</v>
      </c>
      <c r="J17" s="72">
        <f t="shared" ref="J17:J18" si="14">IF(OR(OR(H17=0,G17=0),H17=""),"",H17/G17*100)</f>
        <v>102.26785193569971</v>
      </c>
      <c r="K17" s="72">
        <f t="shared" ref="K17:K18" si="15">IF(OR(OR(H17=0,G17=0),H17=""),"",(G17/F17-1)*100)</f>
        <v>-37.023347122201244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[24]historico_tradicionales!C12/1000000</f>
        <v>33.686580999999997</v>
      </c>
      <c r="D18" s="72">
        <f>[24]historico_tradicionales!D12/1000000</f>
        <v>27.916739</v>
      </c>
      <c r="E18" s="72">
        <f>[24]historico_tradicionales!E12/1000000</f>
        <v>32.448985999999998</v>
      </c>
      <c r="F18" s="72">
        <f>[24]historico_tradicionales!F12/1000000</f>
        <v>26.562277999999999</v>
      </c>
      <c r="G18" s="72">
        <f>[24]historico_tradicionales!G12/1000000</f>
        <v>17.302167000000001</v>
      </c>
      <c r="H18" s="74">
        <f>[24]historico_tradicionales!H12/1000000</f>
        <v>20.906894999999999</v>
      </c>
      <c r="I18" s="72">
        <f t="shared" si="13"/>
        <v>20.833968369395571</v>
      </c>
      <c r="J18" s="72">
        <f t="shared" si="14"/>
        <v>120.83396836939558</v>
      </c>
      <c r="K18" s="72">
        <f t="shared" si="15"/>
        <v>-34.861885716277797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[24]historico_tradicionales!C13/1000000</f>
        <v>27.157115999999998</v>
      </c>
      <c r="D19" s="72">
        <f>[24]historico_tradicionales!D13/1000000</f>
        <v>13.003639</v>
      </c>
      <c r="E19" s="72">
        <f>[24]historico_tradicionales!E13/1000000</f>
        <v>13.670313</v>
      </c>
      <c r="F19" s="72">
        <f>[24]historico_tradicionales!F13/1000000</f>
        <v>29.919844999999999</v>
      </c>
      <c r="G19" s="72">
        <f>[24]historico_tradicionales!G13/1000000</f>
        <v>21.928730000000002</v>
      </c>
      <c r="H19" s="74">
        <f>[24]historico_tradicionales!H13/1000000</f>
        <v>16.898796000000001</v>
      </c>
      <c r="I19" s="72">
        <f t="shared" ref="I19" si="16">IF(OR(OR(H19=0,G19=0),H19=""),"",(H19/G19-1)*100)</f>
        <v>-22.937643903682524</v>
      </c>
      <c r="J19" s="72">
        <f t="shared" ref="J19" si="17">IF(OR(OR(H19=0,G19=0),H19=""),"",H19/G19*100)</f>
        <v>77.062356096317473</v>
      </c>
      <c r="K19" s="72">
        <f t="shared" ref="K19" si="18">IF(OR(OR(H19=0,G19=0),H19=""),"",(G19/F19-1)*100)</f>
        <v>-26.708410421243823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[24]historico_tradicionales!C14/1000000</f>
        <v>17.197130999999999</v>
      </c>
      <c r="D20" s="72">
        <f>[24]historico_tradicionales!D14/1000000</f>
        <v>13.985434</v>
      </c>
      <c r="E20" s="72">
        <f>[24]historico_tradicionales!E14/1000000</f>
        <v>20.265488000000001</v>
      </c>
      <c r="F20" s="72">
        <f>[24]historico_tradicionales!F14/1000000</f>
        <v>27.650538000000001</v>
      </c>
      <c r="G20" s="72">
        <f>[24]historico_tradicionales!G14/1000000</f>
        <v>15.897212</v>
      </c>
      <c r="H20" s="30">
        <f>[24]historico_tradicionales!H14/1000000</f>
        <v>21.486941999999999</v>
      </c>
      <c r="I20" s="24">
        <f t="shared" ref="I20" si="19">IF(OR(OR(H20=0,G20=0),H20=""),"",(H20/G20-1)*100)</f>
        <v>35.16170005155621</v>
      </c>
      <c r="J20" s="24">
        <f t="shared" ref="J20" si="20">IF(OR(OR(H20=0,G20=0),H20=""),"",H20/G20*100)</f>
        <v>135.16170005155621</v>
      </c>
      <c r="K20" s="24">
        <f t="shared" ref="K20" si="21">IF(OR(OR(H20=0,G20=0),H20=""),"",(G20/F20-1)*100)</f>
        <v>-42.506681063493232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[24]historico_tradicionales!C15/1000000</f>
        <v>27.797909000000001</v>
      </c>
      <c r="D21" s="72">
        <f>[24]historico_tradicionales!D15/1000000</f>
        <v>16.610230999999999</v>
      </c>
      <c r="E21" s="72">
        <f>[24]historico_tradicionales!E15/1000000</f>
        <v>18.731957999999999</v>
      </c>
      <c r="F21" s="72">
        <f>[24]historico_tradicionales!F15/1000000</f>
        <v>26.088028999999999</v>
      </c>
      <c r="G21" s="72">
        <f>[24]historico_tradicionales!G15/1000000</f>
        <v>15.189285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[24]historico_tradicionales!C16/1000000</f>
        <v>37.939425</v>
      </c>
      <c r="D22" s="72">
        <f>[24]historico_tradicionales!D16/1000000</f>
        <v>12.805666</v>
      </c>
      <c r="E22" s="72">
        <f>[24]historico_tradicionales!E16/1000000</f>
        <v>24.135225999999999</v>
      </c>
      <c r="F22" s="72">
        <f>[24]historico_tradicionales!F16/1000000</f>
        <v>26.805617000000002</v>
      </c>
      <c r="G22" s="72">
        <f>[24]historico_tradicionales!G16/1000000</f>
        <v>18.212147000000002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[24]historico_tradicionales!C17/1000000</f>
        <v>23.466853</v>
      </c>
      <c r="D23" s="72">
        <f>[24]historico_tradicionales!D17/1000000</f>
        <v>16.578146</v>
      </c>
      <c r="E23" s="72">
        <f>[24]historico_tradicionales!E17/1000000</f>
        <v>33.995558000000003</v>
      </c>
      <c r="F23" s="72">
        <f>[24]historico_tradicionales!F17/1000000</f>
        <v>27.155206</v>
      </c>
      <c r="G23" s="72">
        <f>[24]historico_tradicionales!G17/1000000</f>
        <v>18.588825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[24]historico_tradicionales!C18/1000000</f>
        <v>31.650980000000001</v>
      </c>
      <c r="D24" s="72">
        <f>[24]historico_tradicionales!D18/1000000</f>
        <v>23.241848000000001</v>
      </c>
      <c r="E24" s="72">
        <f>[24]historico_tradicionales!E18/1000000</f>
        <v>30.091881000000001</v>
      </c>
      <c r="F24" s="72">
        <f>[24]historico_tradicionales!F18/1000000</f>
        <v>30.185131999999999</v>
      </c>
      <c r="G24" s="72">
        <f>[24]historico_tradicionales!G18/1000000</f>
        <v>19.335864000000001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287.50002699999999</v>
      </c>
      <c r="D25" s="74">
        <f t="shared" si="34"/>
        <v>276.87962300000004</v>
      </c>
      <c r="E25" s="74">
        <f t="shared" si="34"/>
        <v>267.73889999999994</v>
      </c>
      <c r="F25" s="74">
        <f t="shared" si="34"/>
        <v>426.38853600000004</v>
      </c>
      <c r="G25" s="74">
        <f>SUM(G13:G24)</f>
        <v>257.814369</v>
      </c>
      <c r="H25" s="88">
        <f>SUM(H13:H24)</f>
        <v>161.96889300000001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-3.6940532182975994</v>
      </c>
      <c r="E26" s="74">
        <f>(E25/D25-1)*100</f>
        <v>-3.3013346742385874</v>
      </c>
      <c r="F26" s="74">
        <f>(F25/E25-1)*100</f>
        <v>59.255355123965984</v>
      </c>
      <c r="G26" s="74">
        <f>(G25/F25-1)*100</f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166.64485999999999</v>
      </c>
      <c r="D28" s="74">
        <f t="shared" ref="D28:E28" si="35">SUMPRODUCT(D13:D24,$N$13:$N$24)</f>
        <v>207.64373200000003</v>
      </c>
      <c r="E28" s="74">
        <f t="shared" si="35"/>
        <v>160.78427699999997</v>
      </c>
      <c r="F28" s="74">
        <f>SUMPRODUCT(F13:F24,$N$13:$N$24)</f>
        <v>316.15455200000002</v>
      </c>
      <c r="G28" s="74">
        <f>SUMPRODUCT(G13:G24,$N$13:$N$24)</f>
        <v>186.488248</v>
      </c>
      <c r="H28" s="30">
        <f>SUMPRODUCT(H13:H24,$N$13:$N$24)</f>
        <v>161.96889300000001</v>
      </c>
      <c r="I28" s="70">
        <f>IF(OR(OR(H28=0,G28=0),H28=""),"",(H28/G28-1)*100)</f>
        <v>-13.147935734802974</v>
      </c>
      <c r="J28" s="30">
        <f>IF(OR(OR(H28=0,G28=0),H28=""),"",H28/G28*100)</f>
        <v>86.852064265197029</v>
      </c>
      <c r="K28" s="30">
        <f>IF(OR(OR(H28=0,G28=0),G28=""),"",(G28/F28-1)*100)</f>
        <v>-41.013581230992372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24.602542196621037</v>
      </c>
      <c r="E29" s="74">
        <f t="shared" ref="E29:H29" si="36">(E28/D28-1)*100</f>
        <v>-22.567237907282479</v>
      </c>
      <c r="F29" s="74">
        <f t="shared" si="36"/>
        <v>96.632754084530333</v>
      </c>
      <c r="G29" s="74">
        <f t="shared" si="36"/>
        <v>-41.013581230992372</v>
      </c>
      <c r="H29" s="30">
        <f t="shared" si="36"/>
        <v>-13.147935734802974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[24]historico_tradicionales!C19/1000000</f>
        <v>205.29909900000001</v>
      </c>
      <c r="D13" s="72">
        <f>[24]historico_tradicionales!D19/1000000</f>
        <v>202.697429</v>
      </c>
      <c r="E13" s="72">
        <f>[24]historico_tradicionales!E19/1000000</f>
        <v>154.947247</v>
      </c>
      <c r="F13" s="72">
        <f>[24]historico_tradicionales!F19/1000000</f>
        <v>195.17341099999999</v>
      </c>
      <c r="G13" s="72">
        <f>[24]historico_tradicionales!G19/1000000</f>
        <v>227.489373</v>
      </c>
      <c r="H13" s="74">
        <f>[24]historico_tradicionales!H19/1000000</f>
        <v>188.022043</v>
      </c>
      <c r="I13" s="72">
        <f t="shared" ref="I13" si="0">IF(OR(OR(H13=0,G13=0),H13=""),"",(H13/G13-1)*100)</f>
        <v>-17.34908733516972</v>
      </c>
      <c r="J13" s="72">
        <f t="shared" ref="J13" si="1">IF(OR(OR(H13=0,G13=0),H13=""),"",H13/G13*100)</f>
        <v>82.650912664830273</v>
      </c>
      <c r="K13" s="72">
        <f t="shared" ref="K13" si="2">IF(OR(OR(H13=0,G13=0),H13=""),"",(G13/F13-1)*100)</f>
        <v>16.557563775938732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[24]historico_tradicionales!C20/1000000</f>
        <v>248.890377</v>
      </c>
      <c r="D14" s="72">
        <f>[24]historico_tradicionales!D20/1000000</f>
        <v>216.908951</v>
      </c>
      <c r="E14" s="72">
        <f>[24]historico_tradicionales!E20/1000000</f>
        <v>190.69008500000001</v>
      </c>
      <c r="F14" s="72">
        <f>[24]historico_tradicionales!F20/1000000</f>
        <v>221.70818700000001</v>
      </c>
      <c r="G14" s="72">
        <f>[24]historico_tradicionales!G20/1000000</f>
        <v>235.26480799999999</v>
      </c>
      <c r="H14" s="74">
        <f>[24]historico_tradicionales!H20/1000000</f>
        <v>207.29091</v>
      </c>
      <c r="I14" s="72">
        <f t="shared" ref="I14" si="4">IF(OR(OR(H14=0,G14=0),H14=""),"",(H14/G14-1)*100)</f>
        <v>-11.890387788045198</v>
      </c>
      <c r="J14" s="72">
        <f t="shared" ref="J14" si="5">IF(OR(OR(H14=0,G14=0),H14=""),"",H14/G14*100)</f>
        <v>88.109612211954797</v>
      </c>
      <c r="K14" s="72">
        <f t="shared" ref="K14" si="6">IF(OR(OR(H14=0,G14=0),H14=""),"",(G14/F14-1)*100)</f>
        <v>6.1146235434237584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[24]historico_tradicionales!C21/1000000</f>
        <v>250.64170899999999</v>
      </c>
      <c r="D15" s="72">
        <f>[24]historico_tradicionales!D21/1000000</f>
        <v>239.327665</v>
      </c>
      <c r="E15" s="72">
        <f>[24]historico_tradicionales!E21/1000000</f>
        <v>273.62030399999998</v>
      </c>
      <c r="F15" s="72">
        <f>[24]historico_tradicionales!F21/1000000</f>
        <v>334.628468</v>
      </c>
      <c r="G15" s="72">
        <f>[24]historico_tradicionales!G21/1000000</f>
        <v>295.53069299999999</v>
      </c>
      <c r="H15" s="74">
        <f>[24]historico_tradicionales!H21/1000000</f>
        <v>255.17752999999999</v>
      </c>
      <c r="I15" s="72">
        <f t="shared" ref="I15" si="7">IF(OR(OR(H15=0,G15=0),H15=""),"",(H15/G15-1)*100)</f>
        <v>-13.654474460965716</v>
      </c>
      <c r="J15" s="72">
        <f t="shared" ref="J15" si="8">IF(OR(OR(H15=0,G15=0),H15=""),"",H15/G15*100)</f>
        <v>86.345525539034284</v>
      </c>
      <c r="K15" s="72">
        <f t="shared" ref="K15" si="9">IF(OR(OR(H15=0,G15=0),H15=""),"",(G15/F15-1)*100)</f>
        <v>-11.68393568953614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[24]historico_tradicionales!C22/1000000</f>
        <v>317.47812399999998</v>
      </c>
      <c r="D16" s="72">
        <f>[24]historico_tradicionales!D22/1000000</f>
        <v>193.712785</v>
      </c>
      <c r="E16" s="72">
        <f>[24]historico_tradicionales!E22/1000000</f>
        <v>212.12041400000001</v>
      </c>
      <c r="F16" s="72">
        <f>[24]historico_tradicionales!F22/1000000</f>
        <v>253.732707</v>
      </c>
      <c r="G16" s="72">
        <f>[24]historico_tradicionales!G22/1000000</f>
        <v>217.09912299999999</v>
      </c>
      <c r="H16" s="74">
        <f>[24]historico_tradicionales!H22/1000000</f>
        <v>309.49015300000002</v>
      </c>
      <c r="I16" s="72">
        <f t="shared" ref="I16" si="10">IF(OR(OR(H16=0,G16=0),H16=""),"",(H16/G16-1)*100)</f>
        <v>42.55707196016634</v>
      </c>
      <c r="J16" s="72">
        <f t="shared" ref="J16" si="11">IF(OR(OR(H16=0,G16=0),H16=""),"",H16/G16*100)</f>
        <v>142.55707196016633</v>
      </c>
      <c r="K16" s="72">
        <f t="shared" ref="K16" si="12">IF(OR(OR(H16=0,G16=0),H16=""),"",(G16/F16-1)*100)</f>
        <v>-14.437864330986706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[24]historico_tradicionales!C23/1000000</f>
        <v>272.72766200000001</v>
      </c>
      <c r="D17" s="72">
        <f>[24]historico_tradicionales!D23/1000000</f>
        <v>252.74177800000001</v>
      </c>
      <c r="E17" s="72">
        <f>[24]historico_tradicionales!E23/1000000</f>
        <v>330.19405699999999</v>
      </c>
      <c r="F17" s="72">
        <f>[24]historico_tradicionales!F23/1000000</f>
        <v>231.969696</v>
      </c>
      <c r="G17" s="72">
        <f>[24]historico_tradicionales!G23/1000000</f>
        <v>285.65751999999998</v>
      </c>
      <c r="H17" s="74">
        <f>[24]historico_tradicionales!H23/1000000</f>
        <v>301.99742099999997</v>
      </c>
      <c r="I17" s="72">
        <f t="shared" ref="I17:I18" si="13">IF(OR(OR(H17=0,G17=0),H17=""),"",(H17/G17-1)*100)</f>
        <v>5.7201018198295595</v>
      </c>
      <c r="J17" s="72">
        <f t="shared" ref="J17:J18" si="14">IF(OR(OR(H17=0,G17=0),H17=""),"",H17/G17*100)</f>
        <v>105.72010181982957</v>
      </c>
      <c r="K17" s="72">
        <f t="shared" ref="K17:K18" si="15">IF(OR(OR(H17=0,G17=0),H17=""),"",(G17/F17-1)*100)</f>
        <v>23.144326576174844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[24]historico_tradicionales!C24/1000000</f>
        <v>259.19445100000002</v>
      </c>
      <c r="D18" s="72">
        <f>[24]historico_tradicionales!D24/1000000</f>
        <v>225.42042000000001</v>
      </c>
      <c r="E18" s="72">
        <f>[24]historico_tradicionales!E24/1000000</f>
        <v>201.914582</v>
      </c>
      <c r="F18" s="72">
        <f>[24]historico_tradicionales!F24/1000000</f>
        <v>271.087154</v>
      </c>
      <c r="G18" s="72">
        <f>[24]historico_tradicionales!G24/1000000</f>
        <v>236.50713999999999</v>
      </c>
      <c r="H18" s="74">
        <f>[24]historico_tradicionales!H24/1000000</f>
        <v>262.183898</v>
      </c>
      <c r="I18" s="72">
        <f t="shared" si="13"/>
        <v>10.856652361531239</v>
      </c>
      <c r="J18" s="72">
        <f t="shared" si="14"/>
        <v>110.85665236153123</v>
      </c>
      <c r="K18" s="72">
        <f t="shared" si="15"/>
        <v>-12.756050402889985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[24]historico_tradicionales!C25/1000000</f>
        <v>311.69479100000001</v>
      </c>
      <c r="D19" s="72">
        <f>[24]historico_tradicionales!D25/1000000</f>
        <v>213.838402</v>
      </c>
      <c r="E19" s="72">
        <f>[24]historico_tradicionales!E25/1000000</f>
        <v>181.86557500000001</v>
      </c>
      <c r="F19" s="72">
        <f>[24]historico_tradicionales!F25/1000000</f>
        <v>255.248132</v>
      </c>
      <c r="G19" s="72">
        <f>[24]historico_tradicionales!G25/1000000</f>
        <v>298.19198299999999</v>
      </c>
      <c r="H19" s="74">
        <f>[24]historico_tradicionales!H25/1000000</f>
        <v>262.80015400000002</v>
      </c>
      <c r="I19" s="72">
        <f t="shared" ref="I19" si="16">IF(OR(OR(H19=0,G19=0),H19=""),"",(H19/G19-1)*100)</f>
        <v>-11.868806345474415</v>
      </c>
      <c r="J19" s="72">
        <f t="shared" ref="J19" si="17">IF(OR(OR(H19=0,G19=0),H19=""),"",H19/G19*100)</f>
        <v>88.131193654525589</v>
      </c>
      <c r="K19" s="72">
        <f t="shared" ref="K19" si="18">IF(OR(OR(H19=0,G19=0),H19=""),"",(G19/F19-1)*100)</f>
        <v>16.824354663641561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[24]historico_tradicionales!C26/1000000</f>
        <v>272.71803899999998</v>
      </c>
      <c r="D20" s="72">
        <f>[24]historico_tradicionales!D26/1000000</f>
        <v>193.38487799999999</v>
      </c>
      <c r="E20" s="72">
        <f>[24]historico_tradicionales!E26/1000000</f>
        <v>201.649552</v>
      </c>
      <c r="F20" s="72">
        <f>[24]historico_tradicionales!F26/1000000</f>
        <v>293.69203900000002</v>
      </c>
      <c r="G20" s="72">
        <f>[24]historico_tradicionales!G26/1000000</f>
        <v>255.40726799999999</v>
      </c>
      <c r="H20" s="30">
        <f>[24]historico_tradicionales!H26/1000000</f>
        <v>224.192924</v>
      </c>
      <c r="I20" s="24">
        <f t="shared" ref="I20" si="19">IF(OR(OR(H20=0,G20=0),H20=""),"",(H20/G20-1)*100)</f>
        <v>-12.221400058200372</v>
      </c>
      <c r="J20" s="24">
        <f t="shared" ref="J20" si="20">IF(OR(OR(H20=0,G20=0),H20=""),"",H20/G20*100)</f>
        <v>87.778599941799627</v>
      </c>
      <c r="K20" s="24">
        <f t="shared" ref="K20" si="21">IF(OR(OR(H20=0,G20=0),H20=""),"",(G20/F20-1)*100)</f>
        <v>-13.035685655749097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[24]historico_tradicionales!C27/1000000</f>
        <v>240.200468</v>
      </c>
      <c r="D21" s="72">
        <f>[24]historico_tradicionales!D27/1000000</f>
        <v>233.75197299999999</v>
      </c>
      <c r="E21" s="72">
        <f>[24]historico_tradicionales!E27/1000000</f>
        <v>249.95332999999999</v>
      </c>
      <c r="F21" s="72">
        <f>[24]historico_tradicionales!F27/1000000</f>
        <v>231.368979</v>
      </c>
      <c r="G21" s="72">
        <f>[24]historico_tradicionales!G27/1000000</f>
        <v>241.68615299999999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[24]historico_tradicionales!C28/1000000</f>
        <v>371.00723399999998</v>
      </c>
      <c r="D22" s="72">
        <f>[24]historico_tradicionales!D28/1000000</f>
        <v>206.41176200000001</v>
      </c>
      <c r="E22" s="72">
        <f>[24]historico_tradicionales!E28/1000000</f>
        <v>227.15524099999999</v>
      </c>
      <c r="F22" s="72">
        <f>[24]historico_tradicionales!F28/1000000</f>
        <v>237.54618600000001</v>
      </c>
      <c r="G22" s="72">
        <f>[24]historico_tradicionales!G28/1000000</f>
        <v>250.48092399999999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[24]historico_tradicionales!C29/1000000</f>
        <v>261.51437399999998</v>
      </c>
      <c r="D23" s="72">
        <f>[24]historico_tradicionales!D29/1000000</f>
        <v>210.399902</v>
      </c>
      <c r="E23" s="72">
        <f>[24]historico_tradicionales!E29/1000000</f>
        <v>202.186712</v>
      </c>
      <c r="F23" s="72">
        <f>[24]historico_tradicionales!F29/1000000</f>
        <v>316.59443099999999</v>
      </c>
      <c r="G23" s="72">
        <f>[24]historico_tradicionales!G29/1000000</f>
        <v>252.77146500000001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[24]historico_tradicionales!C30/1000000</f>
        <v>286.96124800000001</v>
      </c>
      <c r="D24" s="72">
        <f>[24]historico_tradicionales!D30/1000000</f>
        <v>219.920185</v>
      </c>
      <c r="E24" s="72">
        <f>[24]historico_tradicionales!E30/1000000</f>
        <v>251.00724099999999</v>
      </c>
      <c r="F24" s="72">
        <f>[24]historico_tradicionales!F30/1000000</f>
        <v>473.17348900000002</v>
      </c>
      <c r="G24" s="72">
        <f>[24]historico_tradicionales!G30/1000000</f>
        <v>235.90168700000001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3298.3275760000001</v>
      </c>
      <c r="D25" s="74">
        <f t="shared" si="34"/>
        <v>2608.51613</v>
      </c>
      <c r="E25" s="74">
        <f t="shared" si="34"/>
        <v>2677.3043400000001</v>
      </c>
      <c r="F25" s="74">
        <f t="shared" si="34"/>
        <v>3315.9228789999997</v>
      </c>
      <c r="G25" s="74">
        <f>SUM(G13:G24)</f>
        <v>3031.9881369999998</v>
      </c>
      <c r="H25" s="88">
        <f>SUM(H13:H24)</f>
        <v>2011.155033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-20.91397625327922</v>
      </c>
      <c r="E26" s="74">
        <f>(E25/D25-1)*100</f>
        <v>2.6370628576485089</v>
      </c>
      <c r="F26" s="74">
        <f>(F25/E25-1)*100</f>
        <v>23.853042385162659</v>
      </c>
      <c r="G26" s="74">
        <f>(G25/F25-1)*100</f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2138.6442520000001</v>
      </c>
      <c r="D28" s="74">
        <f t="shared" ref="D28:E28" si="35">SUMPRODUCT(D13:D24,$N$13:$N$24)</f>
        <v>1738.0323080000001</v>
      </c>
      <c r="E28" s="74">
        <f t="shared" si="35"/>
        <v>1747.001816</v>
      </c>
      <c r="F28" s="74">
        <f>SUMPRODUCT(F13:F24,$N$13:$N$24)</f>
        <v>2057.2397940000001</v>
      </c>
      <c r="G28" s="74">
        <f>SUMPRODUCT(G13:G24,$N$13:$N$24)</f>
        <v>2051.1479079999999</v>
      </c>
      <c r="H28" s="30">
        <f>SUMPRODUCT(H13:H24,$N$13:$N$24)</f>
        <v>2011.155033</v>
      </c>
      <c r="I28" s="70">
        <f>IF(OR(OR(H28=0,G28=0),H28=""),"",(H28/G28-1)*100)</f>
        <v>-1.9497801618312161</v>
      </c>
      <c r="J28" s="30">
        <f>IF(OR(OR(H28=0,G28=0),H28=""),"",H28/G28*100)</f>
        <v>98.050219838168786</v>
      </c>
      <c r="K28" s="30">
        <f>IF(OR(OR(H28=0,G28=0),G28=""),"",(G28/F28-1)*100)</f>
        <v>-0.29611939345949301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-18.732051561420693</v>
      </c>
      <c r="E29" s="74">
        <f t="shared" ref="E29:H29" si="36">(E28/D28-1)*100</f>
        <v>0.5160725700387836</v>
      </c>
      <c r="F29" s="74">
        <f t="shared" si="36"/>
        <v>17.758308844253669</v>
      </c>
      <c r="G29" s="74">
        <f t="shared" si="36"/>
        <v>-0.29611939345949301</v>
      </c>
      <c r="H29" s="30">
        <f t="shared" si="36"/>
        <v>-1.9497801618312161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[25]historico_intensidad_tecnologic!C19/1000000</f>
        <v>11.449368</v>
      </c>
      <c r="D13" s="72">
        <f>[25]historico_intensidad_tecnologic!D19/1000000</f>
        <v>38.223585999999997</v>
      </c>
      <c r="E13" s="72">
        <f>[25]historico_intensidad_tecnologic!E19/1000000</f>
        <v>35.578916999999997</v>
      </c>
      <c r="F13" s="72">
        <f>[25]historico_intensidad_tecnologic!F19/1000000</f>
        <v>76.465271000000001</v>
      </c>
      <c r="G13" s="72">
        <f>[25]historico_intensidad_tecnologic!G19/1000000</f>
        <v>103.057356</v>
      </c>
      <c r="H13" s="74">
        <f>[25]historico_intensidad_tecnologic!H19/1000000</f>
        <v>50.843620999999999</v>
      </c>
      <c r="I13" s="72">
        <f t="shared" ref="I13" si="0">IF(OR(OR(H13=0,G13=0),H13=""),"",(H13/G13-1)*100)</f>
        <v>-50.664733723616976</v>
      </c>
      <c r="J13" s="72">
        <f t="shared" ref="J13" si="1">IF(OR(OR(H13=0,G13=0),H13=""),"",H13/G13*100)</f>
        <v>49.335266276383024</v>
      </c>
      <c r="K13" s="72">
        <f t="shared" ref="K13" si="2">IF(OR(OR(H13=0,G13=0),H13=""),"",(G13/F13-1)*100)</f>
        <v>34.776683129783194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[25]historico_intensidad_tecnologic!C20/1000000</f>
        <v>29.353292</v>
      </c>
      <c r="D14" s="72">
        <f>[25]historico_intensidad_tecnologic!D20/1000000</f>
        <v>35.953192999999999</v>
      </c>
      <c r="E14" s="72">
        <f>[25]historico_intensidad_tecnologic!E20/1000000</f>
        <v>39.551887000000001</v>
      </c>
      <c r="F14" s="72">
        <f>[25]historico_intensidad_tecnologic!F20/1000000</f>
        <v>83.913959000000006</v>
      </c>
      <c r="G14" s="72">
        <f>[25]historico_intensidad_tecnologic!G20/1000000</f>
        <v>78.985445999999996</v>
      </c>
      <c r="H14" s="74">
        <f>[25]historico_intensidad_tecnologic!H20/1000000</f>
        <v>62.802674000000003</v>
      </c>
      <c r="I14" s="72">
        <f t="shared" ref="I14" si="4">IF(OR(OR(H14=0,G14=0),H14=""),"",(H14/G14-1)*100)</f>
        <v>-20.488296033676878</v>
      </c>
      <c r="J14" s="72">
        <f t="shared" ref="J14" si="5">IF(OR(OR(H14=0,G14=0),H14=""),"",H14/G14*100)</f>
        <v>79.511703966323125</v>
      </c>
      <c r="K14" s="72">
        <f t="shared" ref="K14" si="6">IF(OR(OR(H14=0,G14=0),H14=""),"",(G14/F14-1)*100)</f>
        <v>-5.8732933813789074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[25]historico_intensidad_tecnologic!C21/1000000</f>
        <v>27.438889</v>
      </c>
      <c r="D15" s="72">
        <f>[25]historico_intensidad_tecnologic!D21/1000000</f>
        <v>38.081356</v>
      </c>
      <c r="E15" s="72">
        <f>[25]historico_intensidad_tecnologic!E21/1000000</f>
        <v>59.710332000000001</v>
      </c>
      <c r="F15" s="72">
        <f>[25]historico_intensidad_tecnologic!F21/1000000</f>
        <v>112.78113</v>
      </c>
      <c r="G15" s="72">
        <f>[25]historico_intensidad_tecnologic!G21/1000000</f>
        <v>123.590428</v>
      </c>
      <c r="H15" s="74">
        <f>[25]historico_intensidad_tecnologic!H21/1000000</f>
        <v>98.963423000000006</v>
      </c>
      <c r="I15" s="72">
        <f t="shared" ref="I15" si="7">IF(OR(OR(H15=0,G15=0),H15=""),"",(H15/G15-1)*100)</f>
        <v>-19.92630448694619</v>
      </c>
      <c r="J15" s="72">
        <f t="shared" ref="J15" si="8">IF(OR(OR(H15=0,G15=0),H15=""),"",H15/G15*100)</f>
        <v>80.073695513053806</v>
      </c>
      <c r="K15" s="72">
        <f t="shared" ref="K15" si="9">IF(OR(OR(H15=0,G15=0),H15=""),"",(G15/F15-1)*100)</f>
        <v>9.5843143263416586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[25]historico_intensidad_tecnologic!C22/1000000</f>
        <v>24.233457000000001</v>
      </c>
      <c r="D16" s="72">
        <f>[25]historico_intensidad_tecnologic!D22/1000000</f>
        <v>40.676340000000003</v>
      </c>
      <c r="E16" s="72">
        <f>[25]historico_intensidad_tecnologic!E22/1000000</f>
        <v>36.316001</v>
      </c>
      <c r="F16" s="72">
        <f>[25]historico_intensidad_tecnologic!F22/1000000</f>
        <v>109.009939</v>
      </c>
      <c r="G16" s="72">
        <f>[25]historico_intensidad_tecnologic!G22/1000000</f>
        <v>55.853386999999998</v>
      </c>
      <c r="H16" s="74">
        <f>[25]historico_intensidad_tecnologic!H22/1000000</f>
        <v>117.311171</v>
      </c>
      <c r="I16" s="72">
        <f t="shared" ref="I16" si="10">IF(OR(OR(H16=0,G16=0),H16=""),"",(H16/G16-1)*100)</f>
        <v>110.0341220130482</v>
      </c>
      <c r="J16" s="72">
        <f t="shared" ref="J16" si="11">IF(OR(OR(H16=0,G16=0),H16=""),"",H16/G16*100)</f>
        <v>210.0341220130482</v>
      </c>
      <c r="K16" s="72">
        <f t="shared" ref="K16" si="12">IF(OR(OR(H16=0,G16=0),H16=""),"",(G16/F16-1)*100)</f>
        <v>-48.763032515778214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[25]historico_intensidad_tecnologic!C23/1000000</f>
        <v>31.560879</v>
      </c>
      <c r="D17" s="72">
        <f>[25]historico_intensidad_tecnologic!D23/1000000</f>
        <v>31.903929999999999</v>
      </c>
      <c r="E17" s="72">
        <f>[25]historico_intensidad_tecnologic!E23/1000000</f>
        <v>93.453502</v>
      </c>
      <c r="F17" s="72">
        <f>[25]historico_intensidad_tecnologic!F23/1000000</f>
        <v>95.863068999999996</v>
      </c>
      <c r="G17" s="72">
        <f>[25]historico_intensidad_tecnologic!G23/1000000</f>
        <v>78.643209999999996</v>
      </c>
      <c r="H17" s="74">
        <f>[25]historico_intensidad_tecnologic!H23/1000000</f>
        <v>108.88458199999999</v>
      </c>
      <c r="I17" s="72">
        <f t="shared" ref="I17:I18" si="13">IF(OR(OR(H17=0,G17=0),H17=""),"",(H17/G17-1)*100)</f>
        <v>38.453888136051418</v>
      </c>
      <c r="J17" s="72">
        <f t="shared" ref="J17:J18" si="14">IF(OR(OR(H17=0,G17=0),H17=""),"",H17/G17*100)</f>
        <v>138.4538881360514</v>
      </c>
      <c r="K17" s="72">
        <f t="shared" ref="K17:K18" si="15">IF(OR(OR(H17=0,G17=0),H17=""),"",(G17/F17-1)*100)</f>
        <v>-17.962974876174687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[25]historico_intensidad_tecnologic!C24/1000000</f>
        <v>23.495373000000001</v>
      </c>
      <c r="D18" s="72">
        <f>[25]historico_intensidad_tecnologic!D24/1000000</f>
        <v>41.351607999999999</v>
      </c>
      <c r="E18" s="72">
        <f>[25]historico_intensidad_tecnologic!E24/1000000</f>
        <v>48.789141000000001</v>
      </c>
      <c r="F18" s="72">
        <f>[25]historico_intensidad_tecnologic!F24/1000000</f>
        <v>91.378673000000006</v>
      </c>
      <c r="G18" s="72">
        <f>[25]historico_intensidad_tecnologic!G24/1000000</f>
        <v>55.590037000000002</v>
      </c>
      <c r="H18" s="74">
        <f>[25]historico_intensidad_tecnologic!H24/1000000</f>
        <v>94.940662000000003</v>
      </c>
      <c r="I18" s="72">
        <f t="shared" si="13"/>
        <v>70.787189798056801</v>
      </c>
      <c r="J18" s="72">
        <f t="shared" si="14"/>
        <v>170.7871897980568</v>
      </c>
      <c r="K18" s="72">
        <f t="shared" si="15"/>
        <v>-39.165195581249037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[25]historico_intensidad_tecnologic!C25/1000000</f>
        <v>25.970631000000001</v>
      </c>
      <c r="D19" s="72">
        <f>[25]historico_intensidad_tecnologic!D25/1000000</f>
        <v>28.143013</v>
      </c>
      <c r="E19" s="72">
        <f>[25]historico_intensidad_tecnologic!E25/1000000</f>
        <v>27.177731999999999</v>
      </c>
      <c r="F19" s="72">
        <f>[25]historico_intensidad_tecnologic!F25/1000000</f>
        <v>65.838876999999997</v>
      </c>
      <c r="G19" s="72">
        <f>[25]historico_intensidad_tecnologic!G25/1000000</f>
        <v>101.80981300000001</v>
      </c>
      <c r="H19" s="74">
        <f>[25]historico_intensidad_tecnologic!H25/1000000</f>
        <v>75.380401000000006</v>
      </c>
      <c r="I19" s="72">
        <f t="shared" ref="I19" si="16">IF(OR(OR(H19=0,G19=0),H19=""),"",(H19/G19-1)*100)</f>
        <v>-25.959591930494952</v>
      </c>
      <c r="J19" s="72">
        <f t="shared" ref="J19" si="17">IF(OR(OR(H19=0,G19=0),H19=""),"",H19/G19*100)</f>
        <v>74.040408069505048</v>
      </c>
      <c r="K19" s="72">
        <f t="shared" ref="K19" si="18">IF(OR(OR(H19=0,G19=0),H19=""),"",(G19/F19-1)*100)</f>
        <v>54.634795790942817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[25]historico_intensidad_tecnologic!C26/1000000</f>
        <v>17.662241000000002</v>
      </c>
      <c r="D20" s="72">
        <f>[25]historico_intensidad_tecnologic!D26/1000000</f>
        <v>24.973901999999999</v>
      </c>
      <c r="E20" s="72">
        <f>[25]historico_intensidad_tecnologic!E26/1000000</f>
        <v>50.193570999999999</v>
      </c>
      <c r="F20" s="72">
        <f>[25]historico_intensidad_tecnologic!F26/1000000</f>
        <v>70.261865</v>
      </c>
      <c r="G20" s="72">
        <f>[25]historico_intensidad_tecnologic!G26/1000000</f>
        <v>58.422401000000001</v>
      </c>
      <c r="H20" s="30">
        <f>[25]historico_intensidad_tecnologic!H26/1000000</f>
        <v>70.101549000000006</v>
      </c>
      <c r="I20" s="24">
        <f t="shared" ref="I20" si="19">IF(OR(OR(H20=0,G20=0),H20=""),"",(H20/G20-1)*100)</f>
        <v>19.990873021463116</v>
      </c>
      <c r="J20" s="24">
        <f t="shared" ref="J20" si="20">IF(OR(OR(H20=0,G20=0),H20=""),"",H20/G20*100)</f>
        <v>119.99087302146312</v>
      </c>
      <c r="K20" s="24">
        <f t="shared" ref="K20" si="21">IF(OR(OR(H20=0,G20=0),H20=""),"",(G20/F20-1)*100)</f>
        <v>-16.850483544665373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[25]historico_intensidad_tecnologic!C27/1000000</f>
        <v>11.456572</v>
      </c>
      <c r="D21" s="72">
        <f>[25]historico_intensidad_tecnologic!D27/1000000</f>
        <v>32.465789999999998</v>
      </c>
      <c r="E21" s="72">
        <f>[25]historico_intensidad_tecnologic!E27/1000000</f>
        <v>46.919072999999997</v>
      </c>
      <c r="F21" s="72">
        <f>[25]historico_intensidad_tecnologic!F27/1000000</f>
        <v>40.080185999999998</v>
      </c>
      <c r="G21" s="72">
        <f>[25]historico_intensidad_tecnologic!G27/1000000</f>
        <v>47.716819999999998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[25]historico_intensidad_tecnologic!C28/1000000</f>
        <v>28.241161000000002</v>
      </c>
      <c r="D22" s="72">
        <f>[25]historico_intensidad_tecnologic!D28/1000000</f>
        <v>30.818999000000002</v>
      </c>
      <c r="E22" s="72">
        <f>[25]historico_intensidad_tecnologic!E28/1000000</f>
        <v>43.989147000000003</v>
      </c>
      <c r="F22" s="72">
        <f>[25]historico_intensidad_tecnologic!F28/1000000</f>
        <v>57.183249000000004</v>
      </c>
      <c r="G22" s="72">
        <f>[25]historico_intensidad_tecnologic!G28/1000000</f>
        <v>47.382145000000001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[25]historico_intensidad_tecnologic!C29/1000000</f>
        <v>18.526928999999999</v>
      </c>
      <c r="D23" s="72">
        <f>[25]historico_intensidad_tecnologic!D29/1000000</f>
        <v>51.309499000000002</v>
      </c>
      <c r="E23" s="72">
        <f>[25]historico_intensidad_tecnologic!E29/1000000</f>
        <v>76.347656999999998</v>
      </c>
      <c r="F23" s="72">
        <f>[25]historico_intensidad_tecnologic!F29/1000000</f>
        <v>72.571134999999998</v>
      </c>
      <c r="G23" s="72">
        <f>[25]historico_intensidad_tecnologic!G29/1000000</f>
        <v>62.322563000000002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[25]historico_intensidad_tecnologic!C30/1000000</f>
        <v>24.58625</v>
      </c>
      <c r="D24" s="72">
        <f>[25]historico_intensidad_tecnologic!D30/1000000</f>
        <v>44.622079999999997</v>
      </c>
      <c r="E24" s="72">
        <f>[25]historico_intensidad_tecnologic!E30/1000000</f>
        <v>106.151449</v>
      </c>
      <c r="F24" s="72">
        <f>[25]historico_intensidad_tecnologic!F30/1000000</f>
        <v>55.955758000000003</v>
      </c>
      <c r="G24" s="72">
        <f>[25]historico_intensidad_tecnologic!G30/1000000</f>
        <v>45.386305999999998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273.97504199999997</v>
      </c>
      <c r="D25" s="74">
        <f t="shared" si="34"/>
        <v>438.52329599999996</v>
      </c>
      <c r="E25" s="74">
        <f t="shared" si="34"/>
        <v>664.17840899999999</v>
      </c>
      <c r="F25" s="74">
        <f t="shared" si="34"/>
        <v>931.30311100000017</v>
      </c>
      <c r="G25" s="74">
        <f>SUM(G13:G24)</f>
        <v>858.7599120000001</v>
      </c>
      <c r="H25" s="88">
        <f>SUM(H13:H24)</f>
        <v>679.22808299999997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60.059577981559364</v>
      </c>
      <c r="E26" s="74">
        <f>(E25/D25-1)*100</f>
        <v>51.457953330716563</v>
      </c>
      <c r="F26" s="74">
        <f>(F25/E25-1)*100</f>
        <v>40.21881747137617</v>
      </c>
      <c r="G26" s="74">
        <f>(G25/F25-1)*100</f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191.16413</v>
      </c>
      <c r="D28" s="74">
        <f t="shared" ref="D28:E28" si="35">SUMPRODUCT(D13:D24,$N$13:$N$24)</f>
        <v>279.30692799999997</v>
      </c>
      <c r="E28" s="74">
        <f t="shared" si="35"/>
        <v>390.77108299999998</v>
      </c>
      <c r="F28" s="74">
        <f>SUMPRODUCT(F13:F24,$N$13:$N$24)</f>
        <v>705.51278300000013</v>
      </c>
      <c r="G28" s="74">
        <f>SUMPRODUCT(G13:G24,$N$13:$N$24)</f>
        <v>655.95207800000003</v>
      </c>
      <c r="H28" s="30">
        <f>SUMPRODUCT(H13:H24,$N$13:$N$24)</f>
        <v>679.22808299999997</v>
      </c>
      <c r="I28" s="70">
        <f>IF(OR(OR(H28=0,G28=0),H28=""),"",(H28/G28-1)*100)</f>
        <v>3.5484307132570558</v>
      </c>
      <c r="J28" s="30">
        <f>IF(OR(OR(H28=0,G28=0),H28=""),"",H28/G28*100)</f>
        <v>103.54843071325706</v>
      </c>
      <c r="K28" s="30">
        <f>IF(OR(OR(H28=0,G28=0),G28=""),"",(G28/F28-1)*100)</f>
        <v>-7.0247777494911956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46.108439904494624</v>
      </c>
      <c r="E29" s="74">
        <f t="shared" ref="E29:H29" si="36">(E28/D28-1)*100</f>
        <v>39.90740788212743</v>
      </c>
      <c r="F29" s="74">
        <f t="shared" si="36"/>
        <v>80.543754052548493</v>
      </c>
      <c r="G29" s="74">
        <f t="shared" si="36"/>
        <v>-7.0247777494911956</v>
      </c>
      <c r="H29" s="30">
        <f t="shared" si="36"/>
        <v>3.5484307132570558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+'Histórico basadas rescursos nat'!C13+'Histórico manufacturas baja tek'!C13+'Histórico manufacturas medi tek'!C13+'Histórico manufacturas alta tek'!C13</f>
        <v>186.72145700000002</v>
      </c>
      <c r="D13" s="72">
        <f>+'Histórico basadas rescursos nat'!D13+'Histórico manufacturas baja tek'!D13+'Histórico manufacturas medi tek'!D13+'Histórico manufacturas alta tek'!D13</f>
        <v>189.72878900000001</v>
      </c>
      <c r="E13" s="72">
        <f>+'Histórico basadas rescursos nat'!E13+'Histórico manufacturas baja tek'!E13+'Histórico manufacturas medi tek'!E13+'Histórico manufacturas alta tek'!E13</f>
        <v>128.99963</v>
      </c>
      <c r="F13" s="72">
        <f>+'Histórico basadas rescursos nat'!F13+'Histórico manufacturas baja tek'!F13+'Histórico manufacturas medi tek'!F13+'Histórico manufacturas alta tek'!F13</f>
        <v>143.05766500000001</v>
      </c>
      <c r="G13" s="72">
        <f>+'Histórico basadas rescursos nat'!G13+'Histórico manufacturas baja tek'!G13+'Histórico manufacturas medi tek'!G13+'Histórico manufacturas alta tek'!G13</f>
        <v>145.82353300000003</v>
      </c>
      <c r="H13" s="74">
        <f>+'Histórico basadas rescursos nat'!H13+'Histórico manufacturas baja tek'!H13+'Histórico manufacturas medi tek'!H13+'Histórico manufacturas alta tek'!H13</f>
        <v>145.558685</v>
      </c>
      <c r="I13" s="72">
        <f t="shared" ref="I13" si="0">IF(OR(OR(H13=0,G13=0),H13=""),"",(H13/G13-1)*100)</f>
        <v>-0.18162226257405489</v>
      </c>
      <c r="J13" s="72">
        <f t="shared" ref="J13" si="1">IF(OR(OR(H13=0,G13=0),H13=""),"",H13/G13*100)</f>
        <v>99.818377737425948</v>
      </c>
      <c r="K13" s="72">
        <f t="shared" ref="K13" si="2">IF(OR(OR(H13=0,G13=0),H13=""),"",(G13/F13-1)*100)</f>
        <v>1.9333937821507163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+'Histórico basadas rescursos nat'!C14+'Histórico manufacturas baja tek'!C14+'Histórico manufacturas medi tek'!C14+'Histórico manufacturas alta tek'!C14</f>
        <v>223.25113399999998</v>
      </c>
      <c r="D14" s="72">
        <f>+'Histórico basadas rescursos nat'!D14+'Histórico manufacturas baja tek'!D14+'Histórico manufacturas medi tek'!D14+'Histórico manufacturas alta tek'!D14</f>
        <v>204.25098700000001</v>
      </c>
      <c r="E14" s="72">
        <f>+'Histórico basadas rescursos nat'!E14+'Histórico manufacturas baja tek'!E14+'Histórico manufacturas medi tek'!E14+'Histórico manufacturas alta tek'!E14</f>
        <v>159.64611399999998</v>
      </c>
      <c r="F14" s="72">
        <f>+'Histórico basadas rescursos nat'!F14+'Histórico manufacturas baja tek'!F14+'Histórico manufacturas medi tek'!F14+'Histórico manufacturas alta tek'!F14</f>
        <v>157.08013099999999</v>
      </c>
      <c r="G14" s="72">
        <f>+'Histórico basadas rescursos nat'!G14+'Histórico manufacturas baja tek'!G14+'Histórico manufacturas medi tek'!G14+'Histórico manufacturas alta tek'!G14</f>
        <v>188.78066299999998</v>
      </c>
      <c r="H14" s="74">
        <f>+'Histórico basadas rescursos nat'!H14+'Histórico manufacturas baja tek'!H14+'Histórico manufacturas medi tek'!H14+'Histórico manufacturas alta tek'!H14</f>
        <v>167.94888599999999</v>
      </c>
      <c r="I14" s="72">
        <f t="shared" ref="I14" si="4">IF(OR(OR(H14=0,G14=0),H14=""),"",(H14/G14-1)*100)</f>
        <v>-11.034910392278896</v>
      </c>
      <c r="J14" s="72">
        <f t="shared" ref="J14" si="5">IF(OR(OR(H14=0,G14=0),H14=""),"",H14/G14*100)</f>
        <v>88.965089607721097</v>
      </c>
      <c r="K14" s="72">
        <f t="shared" ref="K14" si="6">IF(OR(OR(H14=0,G14=0),H14=""),"",(G14/F14-1)*100)</f>
        <v>20.181121443042336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+'Histórico basadas rescursos nat'!C15+'Histórico manufacturas baja tek'!C15+'Histórico manufacturas medi tek'!C15+'Histórico manufacturas alta tek'!C15</f>
        <v>227.725144</v>
      </c>
      <c r="D15" s="72">
        <f>+'Histórico basadas rescursos nat'!D15+'Histórico manufacturas baja tek'!D15+'Histórico manufacturas medi tek'!D15+'Histórico manufacturas alta tek'!D15</f>
        <v>221.77847800000001</v>
      </c>
      <c r="E15" s="72">
        <f>+'Histórico basadas rescursos nat'!E15+'Histórico manufacturas baja tek'!E15+'Histórico manufacturas medi tek'!E15+'Histórico manufacturas alta tek'!E15</f>
        <v>223.833538</v>
      </c>
      <c r="F15" s="72">
        <f>+'Histórico basadas rescursos nat'!F15+'Histórico manufacturas baja tek'!F15+'Histórico manufacturas medi tek'!F15+'Histórico manufacturas alta tek'!F15</f>
        <v>263.88249199999996</v>
      </c>
      <c r="G15" s="72">
        <f>+'Histórico basadas rescursos nat'!G15+'Histórico manufacturas baja tek'!G15+'Histórico manufacturas medi tek'!G15+'Histórico manufacturas alta tek'!G15</f>
        <v>189.481121</v>
      </c>
      <c r="H15" s="74">
        <f>+'Histórico basadas rescursos nat'!H15+'Histórico manufacturas baja tek'!H15+'Histórico manufacturas medi tek'!H15+'Histórico manufacturas alta tek'!H15</f>
        <v>165.79597699999999</v>
      </c>
      <c r="I15" s="72">
        <f t="shared" ref="I15" si="7">IF(OR(OR(H15=0,G15=0),H15=""),"",(H15/G15-1)*100)</f>
        <v>-12.500002045058622</v>
      </c>
      <c r="J15" s="72">
        <f t="shared" ref="J15" si="8">IF(OR(OR(H15=0,G15=0),H15=""),"",H15/G15*100)</f>
        <v>87.499997954941378</v>
      </c>
      <c r="K15" s="72">
        <f t="shared" ref="K15" si="9">IF(OR(OR(H15=0,G15=0),H15=""),"",(G15/F15-1)*100)</f>
        <v>-28.194887215177566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+'Histórico basadas rescursos nat'!C16+'Histórico manufacturas baja tek'!C16+'Histórico manufacturas medi tek'!C16+'Histórico manufacturas alta tek'!C16</f>
        <v>307.86174499999998</v>
      </c>
      <c r="D16" s="72">
        <f>+'Histórico basadas rescursos nat'!D16+'Histórico manufacturas baja tek'!D16+'Histórico manufacturas medi tek'!D16+'Histórico manufacturas alta tek'!D16</f>
        <v>173.32683</v>
      </c>
      <c r="E16" s="72">
        <f>+'Histórico basadas rescursos nat'!E16+'Histórico manufacturas baja tek'!E16+'Histórico manufacturas medi tek'!E16+'Histórico manufacturas alta tek'!E16</f>
        <v>180.484848</v>
      </c>
      <c r="F16" s="72">
        <f>+'Histórico basadas rescursos nat'!F16+'Histórico manufacturas baja tek'!F16+'Histórico manufacturas medi tek'!F16+'Histórico manufacturas alta tek'!F16</f>
        <v>219.62689700000001</v>
      </c>
      <c r="G16" s="72">
        <f>+'Histórico basadas rescursos nat'!G16+'Histórico manufacturas baja tek'!G16+'Histórico manufacturas medi tek'!G16+'Histórico manufacturas alta tek'!G16</f>
        <v>165.98500300000001</v>
      </c>
      <c r="H16" s="74">
        <f>+'Histórico basadas rescursos nat'!H16+'Histórico manufacturas baja tek'!H16+'Histórico manufacturas medi tek'!H16+'Histórico manufacturas alta tek'!H16</f>
        <v>200.87951899999999</v>
      </c>
      <c r="I16" s="72">
        <f t="shared" ref="I16" si="10">IF(OR(OR(H16=0,G16=0),H16=""),"",(H16/G16-1)*100)</f>
        <v>21.022692032002421</v>
      </c>
      <c r="J16" s="72">
        <f t="shared" ref="J16" si="11">IF(OR(OR(H16=0,G16=0),H16=""),"",H16/G16*100)</f>
        <v>121.02269203200242</v>
      </c>
      <c r="K16" s="72">
        <f t="shared" ref="K16" si="12">IF(OR(OR(H16=0,G16=0),H16=""),"",(G16/F16-1)*100)</f>
        <v>-24.424100478002931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+'Histórico basadas rescursos nat'!C17+'Histórico manufacturas baja tek'!C17+'Histórico manufacturas medi tek'!C17+'Histórico manufacturas alta tek'!C17</f>
        <v>261.65249400000005</v>
      </c>
      <c r="D17" s="72">
        <f>+'Histórico basadas rescursos nat'!D17+'Histórico manufacturas baja tek'!D17+'Histórico manufacturas medi tek'!D17+'Histórico manufacturas alta tek'!D17</f>
        <v>225.89194599999999</v>
      </c>
      <c r="E17" s="72">
        <f>+'Histórico basadas rescursos nat'!E17+'Histórico manufacturas baja tek'!E17+'Histórico manufacturas medi tek'!E17+'Histórico manufacturas alta tek'!E17</f>
        <v>250.23930200000001</v>
      </c>
      <c r="F17" s="72">
        <f>+'Histórico basadas rescursos nat'!F17+'Histórico manufacturas baja tek'!F17+'Histórico manufacturas medi tek'!F17+'Histórico manufacturas alta tek'!F17</f>
        <v>158.58305800000002</v>
      </c>
      <c r="G17" s="72">
        <f>+'Histórico basadas rescursos nat'!G17+'Histórico manufacturas baja tek'!G17+'Histórico manufacturas medi tek'!G17+'Histórico manufacturas alta tek'!G17</f>
        <v>218.180429</v>
      </c>
      <c r="H17" s="74">
        <f>+'Histórico basadas rescursos nat'!H17+'Histórico manufacturas baja tek'!H17+'Histórico manufacturas medi tek'!H17+'Histórico manufacturas alta tek'!H17</f>
        <v>207.73585200000002</v>
      </c>
      <c r="I17" s="72">
        <f t="shared" ref="I17:I18" si="13">IF(OR(OR(H17=0,G17=0),H17=""),"",(H17/G17-1)*100)</f>
        <v>-4.7871282717112944</v>
      </c>
      <c r="J17" s="72">
        <f t="shared" ref="J17:J18" si="14">IF(OR(OR(H17=0,G17=0),H17=""),"",H17/G17*100)</f>
        <v>95.212871728288704</v>
      </c>
      <c r="K17" s="72">
        <f t="shared" ref="K17:K18" si="15">IF(OR(OR(H17=0,G17=0),H17=""),"",(G17/F17-1)*100)</f>
        <v>37.581171501939359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+'Histórico basadas rescursos nat'!C18+'Histórico manufacturas baja tek'!C18+'Histórico manufacturas medi tek'!C18+'Histórico manufacturas alta tek'!C18</f>
        <v>259.92492500000003</v>
      </c>
      <c r="D18" s="72">
        <f>+'Histórico basadas rescursos nat'!D18+'Histórico manufacturas baja tek'!D18+'Histórico manufacturas medi tek'!D18+'Histórico manufacturas alta tek'!D18</f>
        <v>200.38200600000002</v>
      </c>
      <c r="E18" s="72">
        <f>+'Histórico basadas rescursos nat'!E18+'Histórico manufacturas baja tek'!E18+'Histórico manufacturas medi tek'!E18+'Histórico manufacturas alta tek'!E18</f>
        <v>177.16872100000001</v>
      </c>
      <c r="F18" s="72">
        <f>+'Histórico basadas rescursos nat'!F18+'Histórico manufacturas baja tek'!F18+'Histórico manufacturas medi tek'!F18+'Histórico manufacturas alta tek'!F18</f>
        <v>194.14026699999999</v>
      </c>
      <c r="G18" s="72">
        <f>+'Histórico basadas rescursos nat'!G18+'Histórico manufacturas baja tek'!G18+'Histórico manufacturas medi tek'!G18+'Histórico manufacturas alta tek'!G18</f>
        <v>188.57412499999998</v>
      </c>
      <c r="H18" s="74">
        <f>+'Histórico basadas rescursos nat'!H18+'Histórico manufacturas baja tek'!H18+'Histórico manufacturas medi tek'!H18+'Histórico manufacturas alta tek'!H18</f>
        <v>181.33002199999999</v>
      </c>
      <c r="I18" s="72">
        <f t="shared" si="13"/>
        <v>-3.8415148419752687</v>
      </c>
      <c r="J18" s="72">
        <f t="shared" si="14"/>
        <v>96.158485158024732</v>
      </c>
      <c r="K18" s="72">
        <f t="shared" si="15"/>
        <v>-2.867072393590564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+'Histórico basadas rescursos nat'!C19+'Histórico manufacturas baja tek'!C19+'Histórico manufacturas medi tek'!C19+'Histórico manufacturas alta tek'!C19</f>
        <v>301.44893000000002</v>
      </c>
      <c r="D19" s="72">
        <f>+'Histórico basadas rescursos nat'!D19+'Histórico manufacturas baja tek'!D19+'Histórico manufacturas medi tek'!D19+'Histórico manufacturas alta tek'!D19</f>
        <v>187.86971399999999</v>
      </c>
      <c r="E19" s="72">
        <f>+'Histórico basadas rescursos nat'!E19+'Histórico manufacturas baja tek'!E19+'Histórico manufacturas medi tek'!E19+'Histórico manufacturas alta tek'!E19</f>
        <v>157.586443</v>
      </c>
      <c r="F19" s="72">
        <f>+'Histórico basadas rescursos nat'!F19+'Histórico manufacturas baja tek'!F19+'Histórico manufacturas medi tek'!F19+'Histórico manufacturas alta tek'!F19</f>
        <v>209.21799600000003</v>
      </c>
      <c r="G19" s="72">
        <f>+'Histórico basadas rescursos nat'!G19+'Histórico manufacturas baja tek'!G19+'Histórico manufacturas medi tek'!G19+'Histórico manufacturas alta tek'!G19</f>
        <v>208.42786599999999</v>
      </c>
      <c r="H19" s="74">
        <f>+'Histórico basadas rescursos nat'!H19+'Histórico manufacturas baja tek'!H19+'Histórico manufacturas medi tek'!H19+'Histórico manufacturas alta tek'!H19</f>
        <v>192.357978</v>
      </c>
      <c r="I19" s="72">
        <f t="shared" ref="I19" si="16">IF(OR(OR(H19=0,G19=0),H19=""),"",(H19/G19-1)*100)</f>
        <v>-7.7100477534035594</v>
      </c>
      <c r="J19" s="72">
        <f t="shared" ref="J19" si="17">IF(OR(OR(H19=0,G19=0),H19=""),"",H19/G19*100)</f>
        <v>92.289952246596442</v>
      </c>
      <c r="K19" s="72">
        <f t="shared" ref="K19" si="18">IF(OR(OR(H19=0,G19=0),H19=""),"",(G19/F19-1)*100)</f>
        <v>-0.377658717274032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+'Histórico basadas rescursos nat'!C20+'Histórico manufacturas baja tek'!C20+'Histórico manufacturas medi tek'!C20+'Histórico manufacturas alta tek'!C20</f>
        <v>262.80760099999998</v>
      </c>
      <c r="D20" s="72">
        <f>+'Histórico basadas rescursos nat'!D20+'Histórico manufacturas baja tek'!D20+'Histórico manufacturas medi tek'!D20+'Histórico manufacturas alta tek'!D20</f>
        <v>173.600583</v>
      </c>
      <c r="E20" s="72">
        <f>+'Histórico basadas rescursos nat'!E20+'Histórico manufacturas baja tek'!E20+'Histórico manufacturas medi tek'!E20+'Histórico manufacturas alta tek'!E20</f>
        <v>164.03965399999998</v>
      </c>
      <c r="F20" s="72">
        <f>+'Histórico basadas rescursos nat'!F20+'Histórico manufacturas baja tek'!F20+'Histórico manufacturas medi tek'!F20+'Histórico manufacturas alta tek'!F20</f>
        <v>238.600797</v>
      </c>
      <c r="G20" s="72">
        <f>+'Histórico basadas rescursos nat'!G20+'Histórico manufacturas baja tek'!G20+'Histórico manufacturas medi tek'!G20+'Histórico manufacturas alta tek'!G20</f>
        <v>202.21350399999997</v>
      </c>
      <c r="H20" s="30">
        <f>+'Histórico basadas rescursos nat'!H20+'Histórico manufacturas baja tek'!H20+'Histórico manufacturas medi tek'!H20+'Histórico manufacturas alta tek'!H20</f>
        <v>169.278086</v>
      </c>
      <c r="I20" s="24">
        <f t="shared" ref="I20" si="19">IF(OR(OR(H20=0,G20=0),H20=""),"",(H20/G20-1)*100)</f>
        <v>-16.287447350697203</v>
      </c>
      <c r="J20" s="24">
        <f t="shared" ref="J20" si="20">IF(OR(OR(H20=0,G20=0),H20=""),"",H20/G20*100)</f>
        <v>83.712552649302793</v>
      </c>
      <c r="K20" s="24">
        <f t="shared" ref="K20" si="21">IF(OR(OR(H20=0,G20=0),H20=""),"",(G20/F20-1)*100)</f>
        <v>-15.250281414609034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+'Histórico basadas rescursos nat'!C21+'Histórico manufacturas baja tek'!C21+'Histórico manufacturas medi tek'!C21+'Histórico manufacturas alta tek'!C21</f>
        <v>248.80765300000002</v>
      </c>
      <c r="D21" s="72">
        <f>+'Histórico basadas rescursos nat'!D21+'Histórico manufacturas baja tek'!D21+'Histórico manufacturas medi tek'!D21+'Histórico manufacturas alta tek'!D21</f>
        <v>205.11027299999998</v>
      </c>
      <c r="E21" s="72">
        <f>+'Histórico basadas rescursos nat'!E21+'Histórico manufacturas baja tek'!E21+'Histórico manufacturas medi tek'!E21+'Histórico manufacturas alta tek'!E21</f>
        <v>211.91974999999999</v>
      </c>
      <c r="F21" s="72">
        <f>+'Histórico basadas rescursos nat'!F21+'Histórico manufacturas baja tek'!F21+'Histórico manufacturas medi tek'!F21+'Histórico manufacturas alta tek'!F21</f>
        <v>206.34022999999999</v>
      </c>
      <c r="G21" s="72">
        <f>+'Histórico basadas rescursos nat'!G21+'Histórico manufacturas baja tek'!G21+'Histórico manufacturas medi tek'!G21+'Histórico manufacturas alta tek'!G21</f>
        <v>196.57244599999999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+'Histórico basadas rescursos nat'!C22+'Histórico manufacturas baja tek'!C22+'Histórico manufacturas medi tek'!C22+'Histórico manufacturas alta tek'!C22</f>
        <v>364.85734500000001</v>
      </c>
      <c r="D22" s="72">
        <f>+'Histórico basadas rescursos nat'!D22+'Histórico manufacturas baja tek'!D22+'Histórico manufacturas medi tek'!D22+'Histórico manufacturas alta tek'!D22</f>
        <v>179.19640600000002</v>
      </c>
      <c r="E22" s="72">
        <f>+'Histórico basadas rescursos nat'!E22+'Histórico manufacturas baja tek'!E22+'Histórico manufacturas medi tek'!E22+'Histórico manufacturas alta tek'!E22</f>
        <v>198.665753</v>
      </c>
      <c r="F22" s="72">
        <f>+'Histórico basadas rescursos nat'!F22+'Histórico manufacturas baja tek'!F22+'Histórico manufacturas medi tek'!F22+'Histórico manufacturas alta tek'!F22</f>
        <v>195.81629699999999</v>
      </c>
      <c r="G22" s="72">
        <f>+'Histórico basadas rescursos nat'!G22+'Histórico manufacturas baja tek'!G22+'Histórico manufacturas medi tek'!G22+'Histórico manufacturas alta tek'!G22</f>
        <v>210.162609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+'Histórico basadas rescursos nat'!C23+'Histórico manufacturas baja tek'!C23+'Histórico manufacturas medi tek'!C23+'Histórico manufacturas alta tek'!C23</f>
        <v>253.49296999999999</v>
      </c>
      <c r="D23" s="72">
        <f>+'Histórico basadas rescursos nat'!D23+'Histórico manufacturas baja tek'!D23+'Histórico manufacturas medi tek'!D23+'Histórico manufacturas alta tek'!D23</f>
        <v>168.24496599999998</v>
      </c>
      <c r="E23" s="72">
        <f>+'Histórico basadas rescursos nat'!E23+'Histórico manufacturas baja tek'!E23+'Histórico manufacturas medi tek'!E23+'Histórico manufacturas alta tek'!E23</f>
        <v>151.14404000000002</v>
      </c>
      <c r="F23" s="72">
        <f>+'Histórico basadas rescursos nat'!F23+'Histórico manufacturas baja tek'!F23+'Histórico manufacturas medi tek'!F23+'Histórico manufacturas alta tek'!F23</f>
        <v>262.65066100000001</v>
      </c>
      <c r="G23" s="72">
        <f>+'Histórico basadas rescursos nat'!G23+'Histórico manufacturas baja tek'!G23+'Histórico manufacturas medi tek'!G23+'Histórico manufacturas alta tek'!G23</f>
        <v>199.73657900000001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+'Histórico basadas rescursos nat'!C24+'Histórico manufacturas baja tek'!C24+'Histórico manufacturas medi tek'!C24+'Histórico manufacturas alta tek'!C24</f>
        <v>280.14815199999998</v>
      </c>
      <c r="D24" s="72">
        <f>+'Histórico basadas rescursos nat'!D24+'Histórico manufacturas baja tek'!D24+'Histórico manufacturas medi tek'!D24+'Histórico manufacturas alta tek'!D24</f>
        <v>189.00046499999999</v>
      </c>
      <c r="E24" s="72">
        <f>+'Histórico basadas rescursos nat'!E24+'Histórico manufacturas baja tek'!E24+'Histórico manufacturas medi tek'!E24+'Histórico manufacturas alta tek'!E24</f>
        <v>167.96380199999999</v>
      </c>
      <c r="F24" s="72">
        <f>+'Histórico basadas rescursos nat'!F24+'Histórico manufacturas baja tek'!F24+'Histórico manufacturas medi tek'!F24+'Histórico manufacturas alta tek'!F24</f>
        <v>437.575962</v>
      </c>
      <c r="G24" s="72">
        <f>+'Histórico basadas rescursos nat'!G24+'Histórico manufacturas baja tek'!G24+'Histórico manufacturas medi tek'!G24+'Histórico manufacturas alta tek'!G24</f>
        <v>203.153245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3178.6995499999994</v>
      </c>
      <c r="D25" s="74">
        <f t="shared" si="34"/>
        <v>2318.3814430000002</v>
      </c>
      <c r="E25" s="74">
        <f t="shared" si="34"/>
        <v>2171.6915950000002</v>
      </c>
      <c r="F25" s="74">
        <f t="shared" si="34"/>
        <v>2686.5724530000002</v>
      </c>
      <c r="G25" s="74">
        <f>SUM(G13:G24)</f>
        <v>2317.0911229999997</v>
      </c>
      <c r="H25" s="88">
        <f>SUM(H13:H24)</f>
        <v>1430.8850049999999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-27.065096699686485</v>
      </c>
      <c r="E26" s="74">
        <f>(E25/D25-1)*100</f>
        <v>-6.3272525081197291</v>
      </c>
      <c r="F26" s="74">
        <f>(F25/E25-1)*100</f>
        <v>23.708746637203792</v>
      </c>
      <c r="G26" s="74">
        <f>(G25/F25-1)*100</f>
        <v>-13.752889098055544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2031.3934299999999</v>
      </c>
      <c r="D28" s="74">
        <f t="shared" ref="D28:E28" si="35">SUMPRODUCT(D13:D24,$N$13:$N$24)</f>
        <v>1576.8293329999999</v>
      </c>
      <c r="E28" s="74">
        <f t="shared" si="35"/>
        <v>1441.9982499999999</v>
      </c>
      <c r="F28" s="74">
        <f>SUMPRODUCT(F13:F24,$N$13:$N$24)</f>
        <v>1584.1893030000001</v>
      </c>
      <c r="G28" s="74">
        <f>SUMPRODUCT(G13:G24,$N$13:$N$24)</f>
        <v>1507.466244</v>
      </c>
      <c r="H28" s="30">
        <f>SUMPRODUCT(H13:H24,$N$13:$N$24)</f>
        <v>1430.8850049999999</v>
      </c>
      <c r="I28" s="70">
        <f>IF(OR(OR(H28=0,G28=0),H28=""),"",(H28/G28-1)*100)</f>
        <v>-5.0801296085274172</v>
      </c>
      <c r="J28" s="30">
        <f>IF(OR(OR(H28=0,G28=0),H28=""),"",H28/G28*100)</f>
        <v>94.919870391472585</v>
      </c>
      <c r="K28" s="30">
        <f>IF(OR(OR(H28=0,G28=0),G28=""),"",(G28/F28-1)*100)</f>
        <v>-4.8430486719427179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-22.376960084979704</v>
      </c>
      <c r="E29" s="74">
        <f t="shared" ref="E29:H29" si="36">(E28/D28-1)*100</f>
        <v>-8.5507721208786016</v>
      </c>
      <c r="F29" s="74">
        <f t="shared" si="36"/>
        <v>9.8606952539644475</v>
      </c>
      <c r="G29" s="74">
        <f t="shared" si="36"/>
        <v>-4.8430486719427179</v>
      </c>
      <c r="H29" s="30">
        <f t="shared" si="36"/>
        <v>-5.0801296085274172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[25]historico_intensidad_tecnologic!C31/1000000</f>
        <v>19.404335</v>
      </c>
      <c r="D13" s="72">
        <f>[25]historico_intensidad_tecnologic!D31/1000000</f>
        <v>33.199252999999999</v>
      </c>
      <c r="E13" s="72">
        <f>[25]historico_intensidad_tecnologic!E31/1000000</f>
        <v>19.423838</v>
      </c>
      <c r="F13" s="72">
        <f>[25]historico_intensidad_tecnologic!F31/1000000</f>
        <v>19.761903</v>
      </c>
      <c r="G13" s="72">
        <f>[25]historico_intensidad_tecnologic!G31/1000000</f>
        <v>31.143080000000001</v>
      </c>
      <c r="H13" s="74">
        <f>[25]historico_intensidad_tecnologic!H31/1000000</f>
        <v>31.936990999999999</v>
      </c>
      <c r="I13" s="72">
        <f t="shared" ref="I13" si="0">IF(OR(OR(H13=0,G13=0),H13=""),"",(H13/G13-1)*100)</f>
        <v>2.5492372623388437</v>
      </c>
      <c r="J13" s="72">
        <f t="shared" ref="J13" si="1">IF(OR(OR(H13=0,G13=0),H13=""),"",H13/G13*100)</f>
        <v>102.54923726233885</v>
      </c>
      <c r="K13" s="72">
        <f t="shared" ref="K13" si="2">IF(OR(OR(H13=0,G13=0),H13=""),"",(G13/F13-1)*100)</f>
        <v>57.591503206953298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[25]historico_intensidad_tecnologic!C32/1000000</f>
        <v>35.535169000000003</v>
      </c>
      <c r="D14" s="72">
        <f>[25]historico_intensidad_tecnologic!D32/1000000</f>
        <v>36.178716000000001</v>
      </c>
      <c r="E14" s="72">
        <f>[25]historico_intensidad_tecnologic!E32/1000000</f>
        <v>25.536850999999999</v>
      </c>
      <c r="F14" s="72">
        <f>[25]historico_intensidad_tecnologic!F32/1000000</f>
        <v>19.592668</v>
      </c>
      <c r="G14" s="72">
        <f>[25]historico_intensidad_tecnologic!G32/1000000</f>
        <v>36.954486000000003</v>
      </c>
      <c r="H14" s="74">
        <f>[25]historico_intensidad_tecnologic!H32/1000000</f>
        <v>39.092033999999998</v>
      </c>
      <c r="I14" s="72">
        <f t="shared" ref="I14" si="4">IF(OR(OR(H14=0,G14=0),H14=""),"",(H14/G14-1)*100)</f>
        <v>5.7842720366885869</v>
      </c>
      <c r="J14" s="72">
        <f t="shared" ref="J14" si="5">IF(OR(OR(H14=0,G14=0),H14=""),"",H14/G14*100)</f>
        <v>105.78427203668859</v>
      </c>
      <c r="K14" s="72">
        <f t="shared" ref="K14" si="6">IF(OR(OR(H14=0,G14=0),H14=""),"",(G14/F14-1)*100)</f>
        <v>88.61385289639982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[25]historico_intensidad_tecnologic!C33/1000000</f>
        <v>40.003261999999999</v>
      </c>
      <c r="D15" s="72">
        <f>[25]historico_intensidad_tecnologic!D33/1000000</f>
        <v>36.946570999999999</v>
      </c>
      <c r="E15" s="72">
        <f>[25]historico_intensidad_tecnologic!E33/1000000</f>
        <v>32.256864999999998</v>
      </c>
      <c r="F15" s="72">
        <f>[25]historico_intensidad_tecnologic!F33/1000000</f>
        <v>34.376002999999997</v>
      </c>
      <c r="G15" s="72">
        <f>[25]historico_intensidad_tecnologic!G33/1000000</f>
        <v>39.617266000000001</v>
      </c>
      <c r="H15" s="74">
        <f>[25]historico_intensidad_tecnologic!H33/1000000</f>
        <v>30.279764</v>
      </c>
      <c r="I15" s="72">
        <f t="shared" ref="I15" si="7">IF(OR(OR(H15=0,G15=0),H15=""),"",(H15/G15-1)*100)</f>
        <v>-23.569274063485345</v>
      </c>
      <c r="J15" s="72">
        <f t="shared" ref="J15" si="8">IF(OR(OR(H15=0,G15=0),H15=""),"",H15/G15*100)</f>
        <v>76.430725936514648</v>
      </c>
      <c r="K15" s="72">
        <f t="shared" ref="K15" si="9">IF(OR(OR(H15=0,G15=0),H15=""),"",(G15/F15-1)*100)</f>
        <v>15.24686566963589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[25]historico_intensidad_tecnologic!C34/1000000</f>
        <v>68.962761999999998</v>
      </c>
      <c r="D16" s="72">
        <f>[25]historico_intensidad_tecnologic!D34/1000000</f>
        <v>24.392817999999998</v>
      </c>
      <c r="E16" s="72">
        <f>[25]historico_intensidad_tecnologic!E34/1000000</f>
        <v>29.191517999999999</v>
      </c>
      <c r="F16" s="72">
        <f>[25]historico_intensidad_tecnologic!F34/1000000</f>
        <v>78.922756000000007</v>
      </c>
      <c r="G16" s="72">
        <f>[25]historico_intensidad_tecnologic!G34/1000000</f>
        <v>32.603639999999999</v>
      </c>
      <c r="H16" s="74">
        <f>[25]historico_intensidad_tecnologic!H34/1000000</f>
        <v>39.651344000000002</v>
      </c>
      <c r="I16" s="72">
        <f t="shared" ref="I16" si="10">IF(OR(OR(H16=0,G16=0),H16=""),"",(H16/G16-1)*100)</f>
        <v>21.616310326086307</v>
      </c>
      <c r="J16" s="72">
        <f t="shared" ref="J16" si="11">IF(OR(OR(H16=0,G16=0),H16=""),"",H16/G16*100)</f>
        <v>121.61631032608631</v>
      </c>
      <c r="K16" s="72">
        <f t="shared" ref="K16" si="12">IF(OR(OR(H16=0,G16=0),H16=""),"",(G16/F16-1)*100)</f>
        <v>-58.689177047998683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[25]historico_intensidad_tecnologic!C35/1000000</f>
        <v>50.627218999999997</v>
      </c>
      <c r="D17" s="72">
        <f>[25]historico_intensidad_tecnologic!D35/1000000</f>
        <v>26.788233999999999</v>
      </c>
      <c r="E17" s="72">
        <f>[25]historico_intensidad_tecnologic!E35/1000000</f>
        <v>31.292995000000001</v>
      </c>
      <c r="F17" s="72">
        <f>[25]historico_intensidad_tecnologic!F35/1000000</f>
        <v>28.489495999999999</v>
      </c>
      <c r="G17" s="72">
        <f>[25]historico_intensidad_tecnologic!G35/1000000</f>
        <v>38.740254999999998</v>
      </c>
      <c r="H17" s="74">
        <f>[25]historico_intensidad_tecnologic!H35/1000000</f>
        <v>37.532885</v>
      </c>
      <c r="I17" s="72">
        <f t="shared" ref="I17:I18" si="13">IF(OR(OR(H17=0,G17=0),H17=""),"",(H17/G17-1)*100)</f>
        <v>-3.1165773173150169</v>
      </c>
      <c r="J17" s="72">
        <f t="shared" ref="J17:J18" si="14">IF(OR(OR(H17=0,G17=0),H17=""),"",H17/G17*100)</f>
        <v>96.88342268268498</v>
      </c>
      <c r="K17" s="72">
        <f t="shared" ref="K17:K18" si="15">IF(OR(OR(H17=0,G17=0),H17=""),"",(G17/F17-1)*100)</f>
        <v>35.980836586228129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[25]historico_intensidad_tecnologic!C36/1000000</f>
        <v>71.879599999999996</v>
      </c>
      <c r="D18" s="72">
        <f>[25]historico_intensidad_tecnologic!D36/1000000</f>
        <v>22.363285999999999</v>
      </c>
      <c r="E18" s="72">
        <f>[25]historico_intensidad_tecnologic!E36/1000000</f>
        <v>30.560026000000001</v>
      </c>
      <c r="F18" s="72">
        <f>[25]historico_intensidad_tecnologic!F36/1000000</f>
        <v>38.657924999999999</v>
      </c>
      <c r="G18" s="72">
        <f>[25]historico_intensidad_tecnologic!G36/1000000</f>
        <v>39.054671999999997</v>
      </c>
      <c r="H18" s="74">
        <f>[25]historico_intensidad_tecnologic!H36/1000000</f>
        <v>34.031956999999998</v>
      </c>
      <c r="I18" s="72">
        <f t="shared" si="13"/>
        <v>-12.860727648666458</v>
      </c>
      <c r="J18" s="72">
        <f t="shared" si="14"/>
        <v>87.139272351333545</v>
      </c>
      <c r="K18" s="72">
        <f t="shared" si="15"/>
        <v>1.0263018514314881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[25]historico_intensidad_tecnologic!C37/1000000</f>
        <v>62.214162999999999</v>
      </c>
      <c r="D19" s="72">
        <f>[25]historico_intensidad_tecnologic!D37/1000000</f>
        <v>27.634944999999998</v>
      </c>
      <c r="E19" s="72">
        <f>[25]historico_intensidad_tecnologic!E37/1000000</f>
        <v>26.095575</v>
      </c>
      <c r="F19" s="72">
        <f>[25]historico_intensidad_tecnologic!F37/1000000</f>
        <v>40.073118999999998</v>
      </c>
      <c r="G19" s="72">
        <f>[25]historico_intensidad_tecnologic!G37/1000000</f>
        <v>39.349750999999998</v>
      </c>
      <c r="H19" s="74">
        <f>[25]historico_intensidad_tecnologic!H37/1000000</f>
        <v>36.822349000000003</v>
      </c>
      <c r="I19" s="72">
        <f t="shared" ref="I19" si="16">IF(OR(OR(H19=0,G19=0),H19=""),"",(H19/G19-1)*100)</f>
        <v>-6.4229173902523478</v>
      </c>
      <c r="J19" s="72">
        <f t="shared" ref="J19" si="17">IF(OR(OR(H19=0,G19=0),H19=""),"",H19/G19*100)</f>
        <v>93.577082609747649</v>
      </c>
      <c r="K19" s="72">
        <f t="shared" ref="K19" si="18">IF(OR(OR(H19=0,G19=0),H19=""),"",(G19/F19-1)*100)</f>
        <v>-1.8051202852465753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[25]historico_intensidad_tecnologic!C38/1000000</f>
        <v>56.475669000000003</v>
      </c>
      <c r="D20" s="72">
        <f>[25]historico_intensidad_tecnologic!D38/1000000</f>
        <v>30.602354999999999</v>
      </c>
      <c r="E20" s="72">
        <f>[25]historico_intensidad_tecnologic!E38/1000000</f>
        <v>25.372413000000002</v>
      </c>
      <c r="F20" s="72">
        <f>[25]historico_intensidad_tecnologic!F38/1000000</f>
        <v>38.351875999999997</v>
      </c>
      <c r="G20" s="72">
        <f>[25]historico_intensidad_tecnologic!G38/1000000</f>
        <v>45.721719</v>
      </c>
      <c r="H20" s="30">
        <f>[25]historico_intensidad_tecnologic!H38/1000000</f>
        <v>36.834505999999998</v>
      </c>
      <c r="I20" s="24">
        <f t="shared" ref="I20" si="19">IF(OR(OR(H20=0,G20=0),H20=""),"",(H20/G20-1)*100)</f>
        <v>-19.437617820099906</v>
      </c>
      <c r="J20" s="24">
        <f t="shared" ref="J20" si="20">IF(OR(OR(H20=0,G20=0),H20=""),"",H20/G20*100)</f>
        <v>80.562382179900098</v>
      </c>
      <c r="K20" s="24">
        <f t="shared" ref="K20" si="21">IF(OR(OR(H20=0,G20=0),H20=""),"",(G20/F20-1)*100)</f>
        <v>19.216382009578894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[25]historico_intensidad_tecnologic!C39/1000000</f>
        <v>40.943089999999998</v>
      </c>
      <c r="D21" s="72">
        <f>[25]historico_intensidad_tecnologic!D39/1000000</f>
        <v>35.238087999999998</v>
      </c>
      <c r="E21" s="72">
        <f>[25]historico_intensidad_tecnologic!E39/1000000</f>
        <v>29.684374999999999</v>
      </c>
      <c r="F21" s="72">
        <f>[25]historico_intensidad_tecnologic!F39/1000000</f>
        <v>37.214649999999999</v>
      </c>
      <c r="G21" s="72">
        <f>[25]historico_intensidad_tecnologic!G39/1000000</f>
        <v>41.292535000000001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[25]historico_intensidad_tecnologic!C40/1000000</f>
        <v>59.784436999999997</v>
      </c>
      <c r="D22" s="72">
        <f>[25]historico_intensidad_tecnologic!D40/1000000</f>
        <v>28.815688999999999</v>
      </c>
      <c r="E22" s="72">
        <f>[25]historico_intensidad_tecnologic!E40/1000000</f>
        <v>33.353411999999999</v>
      </c>
      <c r="F22" s="72">
        <f>[25]historico_intensidad_tecnologic!F40/1000000</f>
        <v>30.530895000000001</v>
      </c>
      <c r="G22" s="72">
        <f>[25]historico_intensidad_tecnologic!G40/1000000</f>
        <v>39.761316000000001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[25]historico_intensidad_tecnologic!C41/1000000</f>
        <v>37.392091000000001</v>
      </c>
      <c r="D23" s="72">
        <f>[25]historico_intensidad_tecnologic!D41/1000000</f>
        <v>28.895007</v>
      </c>
      <c r="E23" s="72">
        <f>[25]historico_intensidad_tecnologic!E41/1000000</f>
        <v>26.537697000000001</v>
      </c>
      <c r="F23" s="72">
        <f>[25]historico_intensidad_tecnologic!F41/1000000</f>
        <v>35.060509000000003</v>
      </c>
      <c r="G23" s="72">
        <f>[25]historico_intensidad_tecnologic!G41/1000000</f>
        <v>42.251362999999998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[25]historico_intensidad_tecnologic!C42/1000000</f>
        <v>47.370643999999999</v>
      </c>
      <c r="D24" s="72">
        <f>[25]historico_intensidad_tecnologic!D42/1000000</f>
        <v>32.502701000000002</v>
      </c>
      <c r="E24" s="72">
        <f>[25]historico_intensidad_tecnologic!E42/1000000</f>
        <v>30.797248</v>
      </c>
      <c r="F24" s="72">
        <f>[25]historico_intensidad_tecnologic!F42/1000000</f>
        <v>35.200983000000001</v>
      </c>
      <c r="G24" s="72">
        <f>[25]historico_intensidad_tecnologic!G42/1000000</f>
        <v>46.495717999999997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590.59244100000001</v>
      </c>
      <c r="D25" s="74">
        <f t="shared" si="34"/>
        <v>363.55766299999999</v>
      </c>
      <c r="E25" s="74">
        <f t="shared" si="34"/>
        <v>340.10281299999997</v>
      </c>
      <c r="F25" s="74">
        <f t="shared" si="34"/>
        <v>436.23278300000004</v>
      </c>
      <c r="G25" s="74">
        <f>SUM(G13:G24)</f>
        <v>472.98580099999992</v>
      </c>
      <c r="H25" s="88">
        <f>SUM(H13:H24)</f>
        <v>286.18182999999999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-38.441869932432816</v>
      </c>
      <c r="E26" s="74">
        <f>(E25/D25-1)*100</f>
        <v>-6.4514800228540388</v>
      </c>
      <c r="F26" s="74">
        <f>(F25/E25-1)*100</f>
        <v>28.264973509642832</v>
      </c>
      <c r="G26" s="74">
        <f>(G25/F25-1)*100</f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405.10217899999998</v>
      </c>
      <c r="D28" s="74">
        <f t="shared" ref="D28:E28" si="35">SUMPRODUCT(D13:D24,$N$13:$N$24)</f>
        <v>238.10617799999997</v>
      </c>
      <c r="E28" s="74">
        <f t="shared" si="35"/>
        <v>219.73008099999998</v>
      </c>
      <c r="F28" s="74">
        <f>SUMPRODUCT(F13:F24,$N$13:$N$24)</f>
        <v>298.22574600000002</v>
      </c>
      <c r="G28" s="74">
        <f>SUMPRODUCT(G13:G24,$N$13:$N$24)</f>
        <v>303.18486899999994</v>
      </c>
      <c r="H28" s="30">
        <f>SUMPRODUCT(H13:H24,$N$13:$N$24)</f>
        <v>286.18182999999999</v>
      </c>
      <c r="I28" s="70">
        <f>IF(OR(OR(H28=0,G28=0),H28=""),"",(H28/G28-1)*100)</f>
        <v>-5.6081423377364992</v>
      </c>
      <c r="J28" s="30">
        <f>IF(OR(OR(H28=0,G28=0),H28=""),"",H28/G28*100)</f>
        <v>94.391857662263504</v>
      </c>
      <c r="K28" s="30">
        <f>IF(OR(OR(H28=0,G28=0),G28=""),"",(G28/F28-1)*100)</f>
        <v>1.6628755452924304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-41.223180139941931</v>
      </c>
      <c r="E29" s="74">
        <f t="shared" ref="E29:H29" si="36">(E28/D28-1)*100</f>
        <v>-7.7176061345203717</v>
      </c>
      <c r="F29" s="74">
        <f t="shared" si="36"/>
        <v>35.723677269294797</v>
      </c>
      <c r="G29" s="74">
        <f t="shared" si="36"/>
        <v>1.6628755452924304</v>
      </c>
      <c r="H29" s="30">
        <f t="shared" si="36"/>
        <v>-5.6081423377364992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[25]historico_intensidad_tecnologic!C43/1000000</f>
        <v>88.437582000000006</v>
      </c>
      <c r="D13" s="72">
        <f>[25]historico_intensidad_tecnologic!D43/1000000</f>
        <v>64.961584000000002</v>
      </c>
      <c r="E13" s="72">
        <f>[25]historico_intensidad_tecnologic!E43/1000000</f>
        <v>38.253278999999999</v>
      </c>
      <c r="F13" s="72">
        <f>[25]historico_intensidad_tecnologic!F43/1000000</f>
        <v>37.782482000000002</v>
      </c>
      <c r="G13" s="72">
        <f>[25]historico_intensidad_tecnologic!G43/1000000</f>
        <v>47.299083000000003</v>
      </c>
      <c r="H13" s="74">
        <f>[25]historico_intensidad_tecnologic!H43/1000000</f>
        <v>47.223115999999997</v>
      </c>
      <c r="I13" s="72">
        <f t="shared" ref="I13" si="0">IF(OR(OR(H13=0,G13=0),H13=""),"",(H13/G13-1)*100)</f>
        <v>-0.16060987905411883</v>
      </c>
      <c r="J13" s="72">
        <f t="shared" ref="J13" si="1">IF(OR(OR(H13=0,G13=0),H13=""),"",H13/G13*100)</f>
        <v>99.839390120945879</v>
      </c>
      <c r="K13" s="72">
        <f t="shared" ref="K13" si="2">IF(OR(OR(H13=0,G13=0),H13=""),"",(G13/F13-1)*100)</f>
        <v>25.187866165065607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[25]historico_intensidad_tecnologic!C44/1000000</f>
        <v>84.472150999999997</v>
      </c>
      <c r="D14" s="72">
        <f>[25]historico_intensidad_tecnologic!D44/1000000</f>
        <v>70.957369999999997</v>
      </c>
      <c r="E14" s="72">
        <f>[25]historico_intensidad_tecnologic!E44/1000000</f>
        <v>53.389837</v>
      </c>
      <c r="F14" s="72">
        <f>[25]historico_intensidad_tecnologic!F44/1000000</f>
        <v>64.074016999999998</v>
      </c>
      <c r="G14" s="72">
        <f>[25]historico_intensidad_tecnologic!G44/1000000</f>
        <v>55.068254000000003</v>
      </c>
      <c r="H14" s="74">
        <f>[25]historico_intensidad_tecnologic!H44/1000000</f>
        <v>54.015389999999996</v>
      </c>
      <c r="I14" s="72">
        <f t="shared" ref="I14" si="4">IF(OR(OR(H14=0,G14=0),H14=""),"",(H14/G14-1)*100)</f>
        <v>-1.9119255170138572</v>
      </c>
      <c r="J14" s="72">
        <f t="shared" ref="J14" si="5">IF(OR(OR(H14=0,G14=0),H14=""),"",H14/G14*100)</f>
        <v>98.088074482986144</v>
      </c>
      <c r="K14" s="72">
        <f t="shared" ref="K14" si="6">IF(OR(OR(H14=0,G14=0),H14=""),"",(G14/F14-1)*100)</f>
        <v>-14.055249571756978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[25]historico_intensidad_tecnologic!C45/1000000</f>
        <v>81.187340000000006</v>
      </c>
      <c r="D15" s="72">
        <f>[25]historico_intensidad_tecnologic!D45/1000000</f>
        <v>76.748938999999993</v>
      </c>
      <c r="E15" s="72">
        <f>[25]historico_intensidad_tecnologic!E45/1000000</f>
        <v>63.580505000000002</v>
      </c>
      <c r="F15" s="72">
        <f>[25]historico_intensidad_tecnologic!F45/1000000</f>
        <v>77.618882999999997</v>
      </c>
      <c r="G15" s="72">
        <f>[25]historico_intensidad_tecnologic!G45/1000000</f>
        <v>66.097010999999995</v>
      </c>
      <c r="H15" s="74">
        <f>[25]historico_intensidad_tecnologic!H45/1000000</f>
        <v>56.042361999999997</v>
      </c>
      <c r="I15" s="72">
        <f t="shared" ref="I15" si="7">IF(OR(OR(H15=0,G15=0),H15=""),"",(H15/G15-1)*100)</f>
        <v>-15.211957163993384</v>
      </c>
      <c r="J15" s="72">
        <f t="shared" ref="J15" si="8">IF(OR(OR(H15=0,G15=0),H15=""),"",H15/G15*100)</f>
        <v>84.788042836006611</v>
      </c>
      <c r="K15" s="72">
        <f t="shared" ref="K15" si="9">IF(OR(OR(H15=0,G15=0),H15=""),"",(G15/F15-1)*100)</f>
        <v>-14.844161052923166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[25]historico_intensidad_tecnologic!C46/1000000</f>
        <v>118.820877</v>
      </c>
      <c r="D16" s="72">
        <f>[25]historico_intensidad_tecnologic!D46/1000000</f>
        <v>55.561546999999997</v>
      </c>
      <c r="E16" s="72">
        <f>[25]historico_intensidad_tecnologic!E46/1000000</f>
        <v>58.702657000000002</v>
      </c>
      <c r="F16" s="72">
        <f>[25]historico_intensidad_tecnologic!F46/1000000</f>
        <v>59.840927000000001</v>
      </c>
      <c r="G16" s="72">
        <f>[25]historico_intensidad_tecnologic!G46/1000000</f>
        <v>55.793081999999998</v>
      </c>
      <c r="H16" s="74">
        <f>[25]historico_intensidad_tecnologic!H46/1000000</f>
        <v>58.701132999999999</v>
      </c>
      <c r="I16" s="72">
        <f t="shared" ref="I16" si="10">IF(OR(OR(H16=0,G16=0),H16=""),"",(H16/G16-1)*100)</f>
        <v>5.2122071334937292</v>
      </c>
      <c r="J16" s="72">
        <f t="shared" ref="J16" si="11">IF(OR(OR(H16=0,G16=0),H16=""),"",H16/G16*100)</f>
        <v>105.21220713349373</v>
      </c>
      <c r="K16" s="72">
        <f t="shared" ref="K16" si="12">IF(OR(OR(H16=0,G16=0),H16=""),"",(G16/F16-1)*100)</f>
        <v>-6.7643420697677374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[25]historico_intensidad_tecnologic!C47/1000000</f>
        <v>111.525355</v>
      </c>
      <c r="D17" s="72">
        <f>[25]historico_intensidad_tecnologic!D47/1000000</f>
        <v>93.260051000000004</v>
      </c>
      <c r="E17" s="72">
        <f>[25]historico_intensidad_tecnologic!E47/1000000</f>
        <v>57.660742999999997</v>
      </c>
      <c r="F17" s="72">
        <f>[25]historico_intensidad_tecnologic!F47/1000000</f>
        <v>47.217824</v>
      </c>
      <c r="G17" s="72">
        <f>[25]historico_intensidad_tecnologic!G47/1000000</f>
        <v>66.040589999999995</v>
      </c>
      <c r="H17" s="74">
        <f>[25]historico_intensidad_tecnologic!H47/1000000</f>
        <v>64.164793000000003</v>
      </c>
      <c r="I17" s="72">
        <f t="shared" ref="I17:I18" si="13">IF(OR(OR(H17=0,G17=0),H17=""),"",(H17/G17-1)*100)</f>
        <v>-2.8403698392155396</v>
      </c>
      <c r="J17" s="72">
        <f t="shared" ref="J17:J18" si="14">IF(OR(OR(H17=0,G17=0),H17=""),"",H17/G17*100)</f>
        <v>97.159630160784459</v>
      </c>
      <c r="K17" s="72">
        <f t="shared" ref="K17:K18" si="15">IF(OR(OR(H17=0,G17=0),H17=""),"",(G17/F17-1)*100)</f>
        <v>39.863687915817536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[25]historico_intensidad_tecnologic!C48/1000000</f>
        <v>89.125365000000002</v>
      </c>
      <c r="D18" s="72">
        <f>[25]historico_intensidad_tecnologic!D48/1000000</f>
        <v>86.122669000000002</v>
      </c>
      <c r="E18" s="72">
        <f>[25]historico_intensidad_tecnologic!E48/1000000</f>
        <v>62.226002000000001</v>
      </c>
      <c r="F18" s="72">
        <f>[25]historico_intensidad_tecnologic!F48/1000000</f>
        <v>58.835847000000001</v>
      </c>
      <c r="G18" s="72">
        <f>[25]historico_intensidad_tecnologic!G48/1000000</f>
        <v>62.476953999999999</v>
      </c>
      <c r="H18" s="74">
        <f>[25]historico_intensidad_tecnologic!H48/1000000</f>
        <v>50.674520999999999</v>
      </c>
      <c r="I18" s="72">
        <f t="shared" si="13"/>
        <v>-18.890858539614463</v>
      </c>
      <c r="J18" s="72">
        <f t="shared" si="14"/>
        <v>81.10914146038553</v>
      </c>
      <c r="K18" s="72">
        <f t="shared" si="15"/>
        <v>6.1885860162767647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[25]historico_intensidad_tecnologic!C49/1000000</f>
        <v>99.360218000000003</v>
      </c>
      <c r="D19" s="72">
        <f>[25]historico_intensidad_tecnologic!D49/1000000</f>
        <v>58.254475999999997</v>
      </c>
      <c r="E19" s="72">
        <f>[25]historico_intensidad_tecnologic!E49/1000000</f>
        <v>57.792147</v>
      </c>
      <c r="F19" s="72">
        <f>[25]historico_intensidad_tecnologic!F49/1000000</f>
        <v>51.743690999999998</v>
      </c>
      <c r="G19" s="72">
        <f>[25]historico_intensidad_tecnologic!G49/1000000</f>
        <v>74.847920000000002</v>
      </c>
      <c r="H19" s="74">
        <f>[25]historico_intensidad_tecnologic!H49/1000000</f>
        <v>59.146653000000001</v>
      </c>
      <c r="I19" s="72">
        <f t="shared" ref="I19" si="16">IF(OR(OR(H19=0,G19=0),H19=""),"",(H19/G19-1)*100)</f>
        <v>-20.977559563445446</v>
      </c>
      <c r="J19" s="72">
        <f t="shared" ref="J19" si="17">IF(OR(OR(H19=0,G19=0),H19=""),"",H19/G19*100)</f>
        <v>79.022440436554547</v>
      </c>
      <c r="K19" s="72">
        <f t="shared" ref="K19" si="18">IF(OR(OR(H19=0,G19=0),H19=""),"",(G19/F19-1)*100)</f>
        <v>44.651296715574482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[25]historico_intensidad_tecnologic!C50/1000000</f>
        <v>91.750337999999999</v>
      </c>
      <c r="D20" s="72">
        <f>[25]historico_intensidad_tecnologic!D50/1000000</f>
        <v>47.323711000000003</v>
      </c>
      <c r="E20" s="72">
        <f>[25]historico_intensidad_tecnologic!E50/1000000</f>
        <v>47.272435999999999</v>
      </c>
      <c r="F20" s="72">
        <f>[25]historico_intensidad_tecnologic!F50/1000000</f>
        <v>59.643309000000002</v>
      </c>
      <c r="G20" s="72">
        <f>[25]historico_intensidad_tecnologic!G50/1000000</f>
        <v>65.476478999999998</v>
      </c>
      <c r="H20" s="30">
        <f>[25]historico_intensidad_tecnologic!H50/1000000</f>
        <v>51.089905999999999</v>
      </c>
      <c r="I20" s="24">
        <f t="shared" ref="I20" si="19">IF(OR(OR(H20=0,G20=0),H20=""),"",(H20/G20-1)*100)</f>
        <v>-21.972123760656093</v>
      </c>
      <c r="J20" s="24">
        <f t="shared" ref="J20" si="20">IF(OR(OR(H20=0,G20=0),H20=""),"",H20/G20*100)</f>
        <v>78.027876239343911</v>
      </c>
      <c r="K20" s="24">
        <f t="shared" ref="K20" si="21">IF(OR(OR(H20=0,G20=0),H20=""),"",(G20/F20-1)*100)</f>
        <v>9.7800911750218091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[25]historico_intensidad_tecnologic!C51/1000000</f>
        <v>87.287746999999996</v>
      </c>
      <c r="D21" s="72">
        <f>[25]historico_intensidad_tecnologic!D51/1000000</f>
        <v>60.902158</v>
      </c>
      <c r="E21" s="72">
        <f>[25]historico_intensidad_tecnologic!E51/1000000</f>
        <v>66.503658000000001</v>
      </c>
      <c r="F21" s="72">
        <f>[25]historico_intensidad_tecnologic!F51/1000000</f>
        <v>53.922736999999998</v>
      </c>
      <c r="G21" s="72">
        <f>[25]historico_intensidad_tecnologic!G51/1000000</f>
        <v>69.434658999999996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[25]historico_intensidad_tecnologic!C52/1000000</f>
        <v>141.96741299999999</v>
      </c>
      <c r="D22" s="72">
        <f>[25]historico_intensidad_tecnologic!D52/1000000</f>
        <v>54.660938000000002</v>
      </c>
      <c r="E22" s="72">
        <f>[25]historico_intensidad_tecnologic!E52/1000000</f>
        <v>60.430861</v>
      </c>
      <c r="F22" s="72">
        <f>[25]historico_intensidad_tecnologic!F52/1000000</f>
        <v>62.034784999999999</v>
      </c>
      <c r="G22" s="72">
        <f>[25]historico_intensidad_tecnologic!G52/1000000</f>
        <v>74.334303000000006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[25]historico_intensidad_tecnologic!C53/1000000</f>
        <v>107.96252200000001</v>
      </c>
      <c r="D23" s="72">
        <f>[25]historico_intensidad_tecnologic!D53/1000000</f>
        <v>51.297908999999997</v>
      </c>
      <c r="E23" s="72">
        <f>[25]historico_intensidad_tecnologic!E53/1000000</f>
        <v>51.264521000000002</v>
      </c>
      <c r="F23" s="72">
        <f>[25]historico_intensidad_tecnologic!F53/1000000</f>
        <v>69.416544000000002</v>
      </c>
      <c r="G23" s="72">
        <f>[25]historico_intensidad_tecnologic!G53/1000000</f>
        <v>64.026893000000001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[25]historico_intensidad_tecnologic!C54/1000000</f>
        <v>108.60164899999999</v>
      </c>
      <c r="D24" s="72">
        <f>[25]historico_intensidad_tecnologic!D54/1000000</f>
        <v>61.088583999999997</v>
      </c>
      <c r="E24" s="72">
        <f>[25]historico_intensidad_tecnologic!E54/1000000</f>
        <v>65.737679999999997</v>
      </c>
      <c r="F24" s="72">
        <f>[25]historico_intensidad_tecnologic!F54/1000000</f>
        <v>61.114671000000001</v>
      </c>
      <c r="G24" s="72">
        <f>[25]historico_intensidad_tecnologic!G54/1000000</f>
        <v>60.877428999999999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1210.4985569999999</v>
      </c>
      <c r="D25" s="74">
        <f t="shared" si="34"/>
        <v>781.13993599999992</v>
      </c>
      <c r="E25" s="74">
        <f t="shared" si="34"/>
        <v>682.81432599999994</v>
      </c>
      <c r="F25" s="74">
        <f t="shared" si="34"/>
        <v>703.24571700000013</v>
      </c>
      <c r="G25" s="74">
        <f>SUM(G13:G24)</f>
        <v>761.77265699999987</v>
      </c>
      <c r="H25" s="88">
        <f>SUM(H13:H24)</f>
        <v>441.05787400000003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-35.469569006681603</v>
      </c>
      <c r="E26" s="74">
        <f>(E25/D25-1)*100</f>
        <v>-12.58745142432457</v>
      </c>
      <c r="F26" s="74">
        <f>(F25/E25-1)*100</f>
        <v>2.9922323275918261</v>
      </c>
      <c r="G26" s="74">
        <f>(G25/F25-1)*100</f>
        <v>8.3224026233208903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764.67922599999997</v>
      </c>
      <c r="D28" s="74">
        <f t="shared" ref="D28:E28" si="35">SUMPRODUCT(D13:D24,$N$13:$N$24)</f>
        <v>553.19034699999997</v>
      </c>
      <c r="E28" s="74">
        <f t="shared" si="35"/>
        <v>438.8776059999999</v>
      </c>
      <c r="F28" s="74">
        <f>SUMPRODUCT(F13:F24,$N$13:$N$24)</f>
        <v>456.75698</v>
      </c>
      <c r="G28" s="74">
        <f>SUMPRODUCT(G13:G24,$N$13:$N$24)</f>
        <v>493.09937299999996</v>
      </c>
      <c r="H28" s="30">
        <f>SUMPRODUCT(H13:H24,$N$13:$N$24)</f>
        <v>441.05787400000003</v>
      </c>
      <c r="I28" s="70">
        <f>IF(OR(OR(H28=0,G28=0),H28=""),"",(H28/G28-1)*100)</f>
        <v>-10.553957650236134</v>
      </c>
      <c r="J28" s="30">
        <f>IF(OR(OR(H28=0,G28=0),H28=""),"",H28/G28*100)</f>
        <v>89.446042349763871</v>
      </c>
      <c r="K28" s="30">
        <f>IF(OR(OR(H28=0,G28=0),G28=""),"",(G28/F28-1)*100)</f>
        <v>7.9566146969445306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-27.657202106337852</v>
      </c>
      <c r="E29" s="74">
        <f t="shared" ref="E29:H29" si="36">(E28/D28-1)*100</f>
        <v>-20.664268930202446</v>
      </c>
      <c r="F29" s="74">
        <f t="shared" si="36"/>
        <v>4.073886148567829</v>
      </c>
      <c r="G29" s="74">
        <f t="shared" si="36"/>
        <v>7.9566146969445306</v>
      </c>
      <c r="H29" s="30">
        <f t="shared" si="36"/>
        <v>-10.553957650236134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[25]historico_intensidad_tecnologic!C55/1000000</f>
        <v>48.843764999999998</v>
      </c>
      <c r="D13" s="72">
        <f>[25]historico_intensidad_tecnologic!D55/1000000</f>
        <v>61.408431</v>
      </c>
      <c r="E13" s="72">
        <f>[25]historico_intensidad_tecnologic!E55/1000000</f>
        <v>37.789897000000003</v>
      </c>
      <c r="F13" s="72">
        <f>[25]historico_intensidad_tecnologic!F55/1000000</f>
        <v>46.638987</v>
      </c>
      <c r="G13" s="72">
        <f>[25]historico_intensidad_tecnologic!G55/1000000</f>
        <v>45.939686999999999</v>
      </c>
      <c r="H13" s="74">
        <f>[25]historico_intensidad_tecnologic!H55/1000000</f>
        <v>40.446969000000003</v>
      </c>
      <c r="I13" s="72">
        <f t="shared" ref="I13" si="0">IF(OR(OR(H13=0,G13=0),H13=""),"",(H13/G13-1)*100)</f>
        <v>-11.956367922141043</v>
      </c>
      <c r="J13" s="72">
        <f t="shared" ref="J13" si="1">IF(OR(OR(H13=0,G13=0),H13=""),"",H13/G13*100)</f>
        <v>88.043632077858959</v>
      </c>
      <c r="K13" s="72">
        <f t="shared" ref="K13" si="2">IF(OR(OR(H13=0,G13=0),H13=""),"",(G13/F13-1)*100)</f>
        <v>-1.4993893413679849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[25]historico_intensidad_tecnologic!C56/1000000</f>
        <v>72.626948999999996</v>
      </c>
      <c r="D14" s="72">
        <f>[25]historico_intensidad_tecnologic!D56/1000000</f>
        <v>64.736019999999996</v>
      </c>
      <c r="E14" s="72">
        <f>[25]historico_intensidad_tecnologic!E56/1000000</f>
        <v>53.768990000000002</v>
      </c>
      <c r="F14" s="72">
        <f>[25]historico_intensidad_tecnologic!F56/1000000</f>
        <v>50.424180999999997</v>
      </c>
      <c r="G14" s="72">
        <f>[25]historico_intensidad_tecnologic!G56/1000000</f>
        <v>68.526257999999999</v>
      </c>
      <c r="H14" s="74">
        <f>[25]historico_intensidad_tecnologic!H56/1000000</f>
        <v>47.953975999999997</v>
      </c>
      <c r="I14" s="72">
        <f t="shared" ref="I14" si="4">IF(OR(OR(H14=0,G14=0),H14=""),"",(H14/G14-1)*100)</f>
        <v>-30.021020555361421</v>
      </c>
      <c r="J14" s="72">
        <f t="shared" ref="J14" si="5">IF(OR(OR(H14=0,G14=0),H14=""),"",H14/G14*100)</f>
        <v>69.978979444638583</v>
      </c>
      <c r="K14" s="72">
        <f t="shared" ref="K14" si="6">IF(OR(OR(H14=0,G14=0),H14=""),"",(G14/F14-1)*100)</f>
        <v>35.899595473846176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[25]historico_intensidad_tecnologic!C57/1000000</f>
        <v>71.823590999999993</v>
      </c>
      <c r="D15" s="72">
        <f>[25]historico_intensidad_tecnologic!D57/1000000</f>
        <v>61.942202000000002</v>
      </c>
      <c r="E15" s="72">
        <f>[25]historico_intensidad_tecnologic!E57/1000000</f>
        <v>62.266665000000003</v>
      </c>
      <c r="F15" s="72">
        <f>[25]historico_intensidad_tecnologic!F57/1000000</f>
        <v>100.953115</v>
      </c>
      <c r="G15" s="72">
        <f>[25]historico_intensidad_tecnologic!G57/1000000</f>
        <v>58.934610999999997</v>
      </c>
      <c r="H15" s="74">
        <f>[25]historico_intensidad_tecnologic!H57/1000000</f>
        <v>50.895563000000003</v>
      </c>
      <c r="I15" s="72">
        <f t="shared" ref="I15" si="7">IF(OR(OR(H15=0,G15=0),H15=""),"",(H15/G15-1)*100)</f>
        <v>-13.640622825185012</v>
      </c>
      <c r="J15" s="72">
        <f t="shared" ref="J15" si="8">IF(OR(OR(H15=0,G15=0),H15=""),"",H15/G15*100)</f>
        <v>86.359377174814995</v>
      </c>
      <c r="K15" s="72">
        <f t="shared" ref="K15" si="9">IF(OR(OR(H15=0,G15=0),H15=""),"",(G15/F15-1)*100)</f>
        <v>-41.621800377333571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[25]historico_intensidad_tecnologic!C58/1000000</f>
        <v>76.941412999999997</v>
      </c>
      <c r="D16" s="72">
        <f>[25]historico_intensidad_tecnologic!D58/1000000</f>
        <v>52.098587000000002</v>
      </c>
      <c r="E16" s="72">
        <f>[25]historico_intensidad_tecnologic!E58/1000000</f>
        <v>66.303871999999998</v>
      </c>
      <c r="F16" s="72">
        <f>[25]historico_intensidad_tecnologic!F58/1000000</f>
        <v>56.565981999999998</v>
      </c>
      <c r="G16" s="72">
        <f>[25]historico_intensidad_tecnologic!G58/1000000</f>
        <v>53.75553</v>
      </c>
      <c r="H16" s="74">
        <f>[25]historico_intensidad_tecnologic!H58/1000000</f>
        <v>61.034323000000001</v>
      </c>
      <c r="I16" s="72">
        <f t="shared" ref="I16" si="10">IF(OR(OR(H16=0,G16=0),H16=""),"",(H16/G16-1)*100)</f>
        <v>13.540547363220124</v>
      </c>
      <c r="J16" s="72">
        <f t="shared" ref="J16" si="11">IF(OR(OR(H16=0,G16=0),H16=""),"",H16/G16*100)</f>
        <v>113.54054736322013</v>
      </c>
      <c r="K16" s="72">
        <f t="shared" ref="K16" si="12">IF(OR(OR(H16=0,G16=0),H16=""),"",(G16/F16-1)*100)</f>
        <v>-4.9684490583050351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[25]historico_intensidad_tecnologic!C59/1000000</f>
        <v>62.414915000000001</v>
      </c>
      <c r="D17" s="72">
        <f>[25]historico_intensidad_tecnologic!D59/1000000</f>
        <v>57.78781</v>
      </c>
      <c r="E17" s="72">
        <f>[25]historico_intensidad_tecnologic!E59/1000000</f>
        <v>65.455372999999994</v>
      </c>
      <c r="F17" s="72">
        <f>[25]historico_intensidad_tecnologic!F59/1000000</f>
        <v>53.477654000000001</v>
      </c>
      <c r="G17" s="72">
        <f>[25]historico_intensidad_tecnologic!G59/1000000</f>
        <v>77.938742000000005</v>
      </c>
      <c r="H17" s="74">
        <f>[25]historico_intensidad_tecnologic!H59/1000000</f>
        <v>66.148072999999997</v>
      </c>
      <c r="I17" s="72">
        <f t="shared" ref="I17:I18" si="13">IF(OR(OR(H17=0,G17=0),H17=""),"",(H17/G17-1)*100)</f>
        <v>-15.128123315103048</v>
      </c>
      <c r="J17" s="72">
        <f t="shared" ref="J17:J18" si="14">IF(OR(OR(H17=0,G17=0),H17=""),"",H17/G17*100)</f>
        <v>84.871876684896947</v>
      </c>
      <c r="K17" s="72">
        <f t="shared" ref="K17:K18" si="15">IF(OR(OR(H17=0,G17=0),H17=""),"",(G17/F17-1)*100)</f>
        <v>45.740764918371333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[25]historico_intensidad_tecnologic!C60/1000000</f>
        <v>57.177173000000003</v>
      </c>
      <c r="D18" s="72">
        <f>[25]historico_intensidad_tecnologic!D60/1000000</f>
        <v>50.229357</v>
      </c>
      <c r="E18" s="72">
        <f>[25]historico_intensidad_tecnologic!E60/1000000</f>
        <v>60.470792000000003</v>
      </c>
      <c r="F18" s="72">
        <f>[25]historico_intensidad_tecnologic!F60/1000000</f>
        <v>57.038702000000001</v>
      </c>
      <c r="G18" s="72">
        <f>[25]historico_intensidad_tecnologic!G60/1000000</f>
        <v>63.497152</v>
      </c>
      <c r="H18" s="74">
        <f>[25]historico_intensidad_tecnologic!H60/1000000</f>
        <v>58.764502999999998</v>
      </c>
      <c r="I18" s="72">
        <f t="shared" si="13"/>
        <v>-7.4533248357343655</v>
      </c>
      <c r="J18" s="72">
        <f t="shared" si="14"/>
        <v>92.546675164265636</v>
      </c>
      <c r="K18" s="72">
        <f t="shared" si="15"/>
        <v>11.32292596700395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[25]historico_intensidad_tecnologic!C61/1000000</f>
        <v>85.029786999999999</v>
      </c>
      <c r="D19" s="72">
        <f>[25]historico_intensidad_tecnologic!D61/1000000</f>
        <v>54.972816000000002</v>
      </c>
      <c r="E19" s="72">
        <f>[25]historico_intensidad_tecnologic!E61/1000000</f>
        <v>46.211635999999999</v>
      </c>
      <c r="F19" s="72">
        <f>[25]historico_intensidad_tecnologic!F61/1000000</f>
        <v>48.072729000000002</v>
      </c>
      <c r="G19" s="72">
        <f>[25]historico_intensidad_tecnologic!G61/1000000</f>
        <v>61.858424999999997</v>
      </c>
      <c r="H19" s="74">
        <f>[25]historico_intensidad_tecnologic!H61/1000000</f>
        <v>58.075239000000003</v>
      </c>
      <c r="I19" s="72">
        <f t="shared" ref="I19" si="16">IF(OR(OR(H19=0,G19=0),H19=""),"",(H19/G19-1)*100)</f>
        <v>-6.1158783140695778</v>
      </c>
      <c r="J19" s="72">
        <f t="shared" ref="J19" si="17">IF(OR(OR(H19=0,G19=0),H19=""),"",H19/G19*100)</f>
        <v>93.884121685930424</v>
      </c>
      <c r="K19" s="72">
        <f t="shared" ref="K19" si="18">IF(OR(OR(H19=0,G19=0),H19=""),"",(G19/F19-1)*100)</f>
        <v>28.676749347847498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[25]historico_intensidad_tecnologic!C62/1000000</f>
        <v>74.656531999999999</v>
      </c>
      <c r="D20" s="72">
        <f>[25]historico_intensidad_tecnologic!D62/1000000</f>
        <v>47.031281</v>
      </c>
      <c r="E20" s="72">
        <f>[25]historico_intensidad_tecnologic!E62/1000000</f>
        <v>56.414729000000001</v>
      </c>
      <c r="F20" s="72">
        <f>[25]historico_intensidad_tecnologic!F62/1000000</f>
        <v>73.633843999999996</v>
      </c>
      <c r="G20" s="72">
        <f>[25]historico_intensidad_tecnologic!G62/1000000</f>
        <v>61.538640000000001</v>
      </c>
      <c r="H20" s="30">
        <f>[25]historico_intensidad_tecnologic!H62/1000000</f>
        <v>49.251789000000002</v>
      </c>
      <c r="I20" s="24">
        <f t="shared" ref="I20" si="19">IF(OR(OR(H20=0,G20=0),H20=""),"",(H20/G20-1)*100)</f>
        <v>-19.966074973382575</v>
      </c>
      <c r="J20" s="24">
        <f t="shared" ref="J20" si="20">IF(OR(OR(H20=0,G20=0),H20=""),"",H20/G20*100)</f>
        <v>80.033925026617425</v>
      </c>
      <c r="K20" s="24">
        <f t="shared" ref="K20" si="21">IF(OR(OR(H20=0,G20=0),H20=""),"",(G20/F20-1)*100)</f>
        <v>-16.426147737173679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[25]historico_intensidad_tecnologic!C63/1000000</f>
        <v>83.977678999999995</v>
      </c>
      <c r="D21" s="72">
        <f>[25]historico_intensidad_tecnologic!D63/1000000</f>
        <v>59.540171999999998</v>
      </c>
      <c r="E21" s="72">
        <f>[25]historico_intensidad_tecnologic!E63/1000000</f>
        <v>61.848799999999997</v>
      </c>
      <c r="F21" s="72">
        <f>[25]historico_intensidad_tecnologic!F63/1000000</f>
        <v>67.056094000000002</v>
      </c>
      <c r="G21" s="72">
        <f>[25]historico_intensidad_tecnologic!G63/1000000</f>
        <v>61.096767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[25]historico_intensidad_tecnologic!C64/1000000</f>
        <v>95.013569000000004</v>
      </c>
      <c r="D22" s="72">
        <f>[25]historico_intensidad_tecnologic!D64/1000000</f>
        <v>54.547277000000001</v>
      </c>
      <c r="E22" s="72">
        <f>[25]historico_intensidad_tecnologic!E64/1000000</f>
        <v>58.923802999999999</v>
      </c>
      <c r="F22" s="72">
        <f>[25]historico_intensidad_tecnologic!F64/1000000</f>
        <v>60.339018000000003</v>
      </c>
      <c r="G22" s="72">
        <f>[25]historico_intensidad_tecnologic!G64/1000000</f>
        <v>65.967648999999994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[25]historico_intensidad_tecnologic!C65/1000000</f>
        <v>75.885167999999993</v>
      </c>
      <c r="D23" s="72">
        <f>[25]historico_intensidad_tecnologic!D65/1000000</f>
        <v>53.212328999999997</v>
      </c>
      <c r="E23" s="72">
        <f>[25]historico_intensidad_tecnologic!E65/1000000</f>
        <v>49.355688000000001</v>
      </c>
      <c r="F23" s="72">
        <f>[25]historico_intensidad_tecnologic!F65/1000000</f>
        <v>59.162184000000003</v>
      </c>
      <c r="G23" s="72">
        <f>[25]historico_intensidad_tecnologic!G65/1000000</f>
        <v>61.319668999999998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[25]historico_intensidad_tecnologic!C66/1000000</f>
        <v>90.468321000000003</v>
      </c>
      <c r="D24" s="72">
        <f>[25]historico_intensidad_tecnologic!D66/1000000</f>
        <v>57.411330999999997</v>
      </c>
      <c r="E24" s="72">
        <f>[25]historico_intensidad_tecnologic!E66/1000000</f>
        <v>51.909180999999997</v>
      </c>
      <c r="F24" s="72">
        <f>[25]historico_intensidad_tecnologic!F66/1000000</f>
        <v>67.148574999999994</v>
      </c>
      <c r="G24" s="72">
        <f>[25]historico_intensidad_tecnologic!G66/1000000</f>
        <v>59.663249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894.85886199999982</v>
      </c>
      <c r="D25" s="74">
        <f t="shared" si="34"/>
        <v>674.91761299999996</v>
      </c>
      <c r="E25" s="74">
        <f t="shared" si="34"/>
        <v>670.719426</v>
      </c>
      <c r="F25" s="74">
        <f t="shared" si="34"/>
        <v>740.51106499999992</v>
      </c>
      <c r="G25" s="74">
        <f>SUM(G13:G24)</f>
        <v>740.0363789999999</v>
      </c>
      <c r="H25" s="88">
        <f>SUM(H13:H24)</f>
        <v>432.57043499999997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-24.578317133545902</v>
      </c>
      <c r="E26" s="74">
        <f>(E25/D25-1)*100</f>
        <v>-0.62202955133131566</v>
      </c>
      <c r="F26" s="74">
        <f>(F25/E25-1)*100</f>
        <v>10.405489433371496</v>
      </c>
      <c r="G26" s="74">
        <f>(G25/F25-1)*100</f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549.51412499999992</v>
      </c>
      <c r="D28" s="74">
        <f t="shared" ref="D28:E28" si="35">SUMPRODUCT(D13:D24,$N$13:$N$24)</f>
        <v>450.206504</v>
      </c>
      <c r="E28" s="74">
        <f t="shared" si="35"/>
        <v>448.68195400000008</v>
      </c>
      <c r="F28" s="74">
        <f>SUMPRODUCT(F13:F24,$N$13:$N$24)</f>
        <v>486.80519399999997</v>
      </c>
      <c r="G28" s="74">
        <f>SUMPRODUCT(G13:G24,$N$13:$N$24)</f>
        <v>491.98904500000003</v>
      </c>
      <c r="H28" s="30">
        <f>SUMPRODUCT(H13:H24,$N$13:$N$24)</f>
        <v>432.57043499999997</v>
      </c>
      <c r="I28" s="70">
        <f>IF(OR(OR(H28=0,G28=0),H28=""),"",(H28/G28-1)*100)</f>
        <v>-12.077222166603329</v>
      </c>
      <c r="J28" s="30">
        <f>IF(OR(OR(H28=0,G28=0),H28=""),"",H28/G28*100)</f>
        <v>87.922777833396665</v>
      </c>
      <c r="K28" s="30">
        <f>IF(OR(OR(H28=0,G28=0),G28=""),"",(G28/F28-1)*100)</f>
        <v>1.0648717523749518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-18.071895968097262</v>
      </c>
      <c r="E29" s="74">
        <f t="shared" ref="E29:H29" si="36">(E28/D28-1)*100</f>
        <v>-0.33863349073248727</v>
      </c>
      <c r="F29" s="74">
        <f t="shared" si="36"/>
        <v>8.4967179223793607</v>
      </c>
      <c r="G29" s="74">
        <f t="shared" si="36"/>
        <v>1.0648717523749518</v>
      </c>
      <c r="H29" s="30">
        <f t="shared" si="36"/>
        <v>-12.077222166603329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[25]historico_intensidad_tecnologic!C67/1000000</f>
        <v>30.035775000000001</v>
      </c>
      <c r="D13" s="72">
        <f>[25]historico_intensidad_tecnologic!D67/1000000</f>
        <v>30.159521000000002</v>
      </c>
      <c r="E13" s="72">
        <f>[25]historico_intensidad_tecnologic!E67/1000000</f>
        <v>33.532615999999997</v>
      </c>
      <c r="F13" s="72">
        <f>[25]historico_intensidad_tecnologic!F67/1000000</f>
        <v>38.874293000000002</v>
      </c>
      <c r="G13" s="72">
        <f>[25]historico_intensidad_tecnologic!G67/1000000</f>
        <v>21.441683000000001</v>
      </c>
      <c r="H13" s="74">
        <f>[25]historico_intensidad_tecnologic!H67/1000000</f>
        <v>25.951609000000001</v>
      </c>
      <c r="I13" s="72">
        <f t="shared" ref="I13" si="0">IF(OR(OR(H13=0,G13=0),H13=""),"",(H13/G13-1)*100)</f>
        <v>21.03345152523708</v>
      </c>
      <c r="J13" s="72">
        <f t="shared" ref="J13" si="1">IF(OR(OR(H13=0,G13=0),H13=""),"",H13/G13*100)</f>
        <v>121.03345152523708</v>
      </c>
      <c r="K13" s="72">
        <f t="shared" ref="K13" si="2">IF(OR(OR(H13=0,G13=0),H13=""),"",(G13/F13-1)*100)</f>
        <v>-44.843542234967458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[25]historico_intensidad_tecnologic!C68/1000000</f>
        <v>30.616865000000001</v>
      </c>
      <c r="D14" s="72">
        <f>[25]historico_intensidad_tecnologic!D68/1000000</f>
        <v>32.378881</v>
      </c>
      <c r="E14" s="72">
        <f>[25]historico_intensidad_tecnologic!E68/1000000</f>
        <v>26.950436</v>
      </c>
      <c r="F14" s="72">
        <f>[25]historico_intensidad_tecnologic!F68/1000000</f>
        <v>22.989265</v>
      </c>
      <c r="G14" s="72">
        <f>[25]historico_intensidad_tecnologic!G68/1000000</f>
        <v>28.231665</v>
      </c>
      <c r="H14" s="74">
        <f>[25]historico_intensidad_tecnologic!H68/1000000</f>
        <v>26.887485999999999</v>
      </c>
      <c r="I14" s="72">
        <f t="shared" ref="I14" si="4">IF(OR(OR(H14=0,G14=0),H14=""),"",(H14/G14-1)*100)</f>
        <v>-4.7612459272239231</v>
      </c>
      <c r="J14" s="72">
        <f t="shared" ref="J14" si="5">IF(OR(OR(H14=0,G14=0),H14=""),"",H14/G14*100)</f>
        <v>95.238754072776075</v>
      </c>
      <c r="K14" s="72">
        <f t="shared" ref="K14" si="6">IF(OR(OR(H14=0,G14=0),H14=""),"",(G14/F14-1)*100)</f>
        <v>22.803686851232531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[25]historico_intensidad_tecnologic!C69/1000000</f>
        <v>34.710951000000001</v>
      </c>
      <c r="D15" s="72">
        <f>[25]historico_intensidad_tecnologic!D69/1000000</f>
        <v>46.140765999999999</v>
      </c>
      <c r="E15" s="72">
        <f>[25]historico_intensidad_tecnologic!E69/1000000</f>
        <v>65.729502999999994</v>
      </c>
      <c r="F15" s="72">
        <f>[25]historico_intensidad_tecnologic!F69/1000000</f>
        <v>50.934491000000001</v>
      </c>
      <c r="G15" s="72">
        <f>[25]historico_intensidad_tecnologic!G69/1000000</f>
        <v>24.832232999999999</v>
      </c>
      <c r="H15" s="74">
        <f>[25]historico_intensidad_tecnologic!H69/1000000</f>
        <v>28.578288000000001</v>
      </c>
      <c r="I15" s="72">
        <f t="shared" ref="I15" si="7">IF(OR(OR(H15=0,G15=0),H15=""),"",(H15/G15-1)*100)</f>
        <v>15.085453652114179</v>
      </c>
      <c r="J15" s="72">
        <f t="shared" ref="J15" si="8">IF(OR(OR(H15=0,G15=0),H15=""),"",H15/G15*100)</f>
        <v>115.08545365211418</v>
      </c>
      <c r="K15" s="72">
        <f t="shared" ref="K15" si="9">IF(OR(OR(H15=0,G15=0),H15=""),"",(G15/F15-1)*100)</f>
        <v>-51.246723953715367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[25]historico_intensidad_tecnologic!C70/1000000</f>
        <v>43.136693000000001</v>
      </c>
      <c r="D16" s="72">
        <f>[25]historico_intensidad_tecnologic!D70/1000000</f>
        <v>41.273878000000003</v>
      </c>
      <c r="E16" s="72">
        <f>[25]historico_intensidad_tecnologic!E70/1000000</f>
        <v>26.286801000000001</v>
      </c>
      <c r="F16" s="72">
        <f>[25]historico_intensidad_tecnologic!F70/1000000</f>
        <v>24.297232000000001</v>
      </c>
      <c r="G16" s="72">
        <f>[25]historico_intensidad_tecnologic!G70/1000000</f>
        <v>23.832750999999998</v>
      </c>
      <c r="H16" s="74">
        <f>[25]historico_intensidad_tecnologic!H70/1000000</f>
        <v>41.492719000000001</v>
      </c>
      <c r="I16" s="72">
        <f t="shared" ref="I16" si="10">IF(OR(OR(H16=0,G16=0),H16=""),"",(H16/G16-1)*100)</f>
        <v>74.099578349138142</v>
      </c>
      <c r="J16" s="72">
        <f t="shared" ref="J16" si="11">IF(OR(OR(H16=0,G16=0),H16=""),"",H16/G16*100)</f>
        <v>174.09957834913814</v>
      </c>
      <c r="K16" s="72">
        <f t="shared" ref="K16" si="12">IF(OR(OR(H16=0,G16=0),H16=""),"",(G16/F16-1)*100)</f>
        <v>-1.9116622008630513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[25]historico_intensidad_tecnologic!C71/1000000</f>
        <v>37.085005000000002</v>
      </c>
      <c r="D17" s="72">
        <f>[25]historico_intensidad_tecnologic!D71/1000000</f>
        <v>48.055850999999997</v>
      </c>
      <c r="E17" s="72">
        <f>[25]historico_intensidad_tecnologic!E71/1000000</f>
        <v>95.830190999999999</v>
      </c>
      <c r="F17" s="72">
        <f>[25]historico_intensidad_tecnologic!F71/1000000</f>
        <v>29.398084000000001</v>
      </c>
      <c r="G17" s="72">
        <f>[25]historico_intensidad_tecnologic!G71/1000000</f>
        <v>35.460842</v>
      </c>
      <c r="H17" s="74">
        <f>[25]historico_intensidad_tecnologic!H71/1000000</f>
        <v>39.890101000000001</v>
      </c>
      <c r="I17" s="72">
        <f t="shared" ref="I17:I18" si="13">IF(OR(OR(H17=0,G17=0),H17=""),"",(H17/G17-1)*100)</f>
        <v>12.490563534842192</v>
      </c>
      <c r="J17" s="72">
        <f t="shared" ref="J17:J18" si="14">IF(OR(OR(H17=0,G17=0),H17=""),"",H17/G17*100)</f>
        <v>112.4905635348422</v>
      </c>
      <c r="K17" s="72">
        <f t="shared" ref="K17:K18" si="15">IF(OR(OR(H17=0,G17=0),H17=""),"",(G17/F17-1)*100)</f>
        <v>20.622969850688232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[25]historico_intensidad_tecnologic!C72/1000000</f>
        <v>41.742787</v>
      </c>
      <c r="D18" s="72">
        <f>[25]historico_intensidad_tecnologic!D72/1000000</f>
        <v>41.666694</v>
      </c>
      <c r="E18" s="72">
        <f>[25]historico_intensidad_tecnologic!E72/1000000</f>
        <v>23.911901</v>
      </c>
      <c r="F18" s="72">
        <f>[25]historico_intensidad_tecnologic!F72/1000000</f>
        <v>39.607793000000001</v>
      </c>
      <c r="G18" s="72">
        <f>[25]historico_intensidad_tecnologic!G72/1000000</f>
        <v>23.545347</v>
      </c>
      <c r="H18" s="74">
        <f>[25]historico_intensidad_tecnologic!H72/1000000</f>
        <v>37.859040999999998</v>
      </c>
      <c r="I18" s="72">
        <f t="shared" si="13"/>
        <v>60.792028250847174</v>
      </c>
      <c r="J18" s="72">
        <f t="shared" si="14"/>
        <v>160.79202825084718</v>
      </c>
      <c r="K18" s="72">
        <f t="shared" si="15"/>
        <v>-40.553751631654912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[25]historico_intensidad_tecnologic!C73/1000000</f>
        <v>54.844762000000003</v>
      </c>
      <c r="D19" s="72">
        <f>[25]historico_intensidad_tecnologic!D73/1000000</f>
        <v>47.007477000000002</v>
      </c>
      <c r="E19" s="72">
        <f>[25]historico_intensidad_tecnologic!E73/1000000</f>
        <v>27.487085</v>
      </c>
      <c r="F19" s="72">
        <f>[25]historico_intensidad_tecnologic!F73/1000000</f>
        <v>69.328457</v>
      </c>
      <c r="G19" s="72">
        <f>[25]historico_intensidad_tecnologic!G73/1000000</f>
        <v>32.371769999999998</v>
      </c>
      <c r="H19" s="74">
        <f>[25]historico_intensidad_tecnologic!H73/1000000</f>
        <v>38.313737000000003</v>
      </c>
      <c r="I19" s="72">
        <f t="shared" ref="I19" si="16">IF(OR(OR(H19=0,G19=0),H19=""),"",(H19/G19-1)*100)</f>
        <v>18.355397310681521</v>
      </c>
      <c r="J19" s="72">
        <f t="shared" ref="J19" si="17">IF(OR(OR(H19=0,G19=0),H19=""),"",H19/G19*100)</f>
        <v>118.35539731068152</v>
      </c>
      <c r="K19" s="72">
        <f t="shared" ref="K19" si="18">IF(OR(OR(H19=0,G19=0),H19=""),"",(G19/F19-1)*100)</f>
        <v>-53.3066630921845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[25]historico_intensidad_tecnologic!C74/1000000</f>
        <v>39.925061999999997</v>
      </c>
      <c r="D20" s="72">
        <f>[25]historico_intensidad_tecnologic!D74/1000000</f>
        <v>48.643236000000002</v>
      </c>
      <c r="E20" s="72">
        <f>[25]historico_intensidad_tecnologic!E74/1000000</f>
        <v>34.980075999999997</v>
      </c>
      <c r="F20" s="72">
        <f>[25]historico_intensidad_tecnologic!F74/1000000</f>
        <v>66.971767999999997</v>
      </c>
      <c r="G20" s="72">
        <f>[25]historico_intensidad_tecnologic!G74/1000000</f>
        <v>29.476666000000002</v>
      </c>
      <c r="H20" s="30">
        <f>[25]historico_intensidad_tecnologic!H74/1000000</f>
        <v>32.101885000000003</v>
      </c>
      <c r="I20" s="24">
        <f t="shared" ref="I20" si="19">IF(OR(OR(H20=0,G20=0),H20=""),"",(H20/G20-1)*100)</f>
        <v>8.9060920254685492</v>
      </c>
      <c r="J20" s="24">
        <f t="shared" ref="J20" si="20">IF(OR(OR(H20=0,G20=0),H20=""),"",H20/G20*100)</f>
        <v>108.90609202546855</v>
      </c>
      <c r="K20" s="24">
        <f t="shared" ref="K20" si="21">IF(OR(OR(H20=0,G20=0),H20=""),"",(G20/F20-1)*100)</f>
        <v>-55.986429983452133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[25]historico_intensidad_tecnologic!C75/1000000</f>
        <v>36.599136999999999</v>
      </c>
      <c r="D21" s="72">
        <f>[25]historico_intensidad_tecnologic!D75/1000000</f>
        <v>49.429855000000003</v>
      </c>
      <c r="E21" s="72">
        <f>[25]historico_intensidad_tecnologic!E75/1000000</f>
        <v>53.882916999999999</v>
      </c>
      <c r="F21" s="72">
        <f>[25]historico_intensidad_tecnologic!F75/1000000</f>
        <v>48.146749</v>
      </c>
      <c r="G21" s="72">
        <f>[25]historico_intensidad_tecnologic!G75/1000000</f>
        <v>24.748484999999999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[25]historico_intensidad_tecnologic!C76/1000000</f>
        <v>68.091926000000001</v>
      </c>
      <c r="D22" s="72">
        <f>[25]historico_intensidad_tecnologic!D76/1000000</f>
        <v>41.172502000000001</v>
      </c>
      <c r="E22" s="72">
        <f>[25]historico_intensidad_tecnologic!E76/1000000</f>
        <v>45.957676999999997</v>
      </c>
      <c r="F22" s="72">
        <f>[25]historico_intensidad_tecnologic!F76/1000000</f>
        <v>42.911599000000002</v>
      </c>
      <c r="G22" s="72">
        <f>[25]historico_intensidad_tecnologic!G76/1000000</f>
        <v>30.099340999999999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[25]historico_intensidad_tecnologic!C77/1000000</f>
        <v>32.253188999999999</v>
      </c>
      <c r="D23" s="72">
        <f>[25]historico_intensidad_tecnologic!D77/1000000</f>
        <v>34.839720999999997</v>
      </c>
      <c r="E23" s="72">
        <f>[25]historico_intensidad_tecnologic!E77/1000000</f>
        <v>23.986134</v>
      </c>
      <c r="F23" s="72">
        <f>[25]historico_intensidad_tecnologic!F77/1000000</f>
        <v>99.011424000000005</v>
      </c>
      <c r="G23" s="72">
        <f>[25]historico_intensidad_tecnologic!G77/1000000</f>
        <v>32.138654000000002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[25]historico_intensidad_tecnologic!C78/1000000</f>
        <v>33.707538</v>
      </c>
      <c r="D24" s="72">
        <f>[25]historico_intensidad_tecnologic!D78/1000000</f>
        <v>37.997849000000002</v>
      </c>
      <c r="E24" s="72">
        <f>[25]historico_intensidad_tecnologic!E78/1000000</f>
        <v>19.519693</v>
      </c>
      <c r="F24" s="72">
        <f>[25]historico_intensidad_tecnologic!F78/1000000</f>
        <v>274.11173300000002</v>
      </c>
      <c r="G24" s="72">
        <f>[25]historico_intensidad_tecnologic!G78/1000000</f>
        <v>36.116849000000002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482.74968999999999</v>
      </c>
      <c r="D25" s="74">
        <f t="shared" si="34"/>
        <v>498.76623100000006</v>
      </c>
      <c r="E25" s="74">
        <f t="shared" si="34"/>
        <v>478.05502999999999</v>
      </c>
      <c r="F25" s="74">
        <f t="shared" si="34"/>
        <v>806.58288800000014</v>
      </c>
      <c r="G25" s="74">
        <f>SUM(G13:G24)</f>
        <v>342.29628600000001</v>
      </c>
      <c r="H25" s="88">
        <f>SUM(H13:H24)</f>
        <v>271.07486599999999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3.3177734407245474</v>
      </c>
      <c r="E26" s="74">
        <f>(E25/D25-1)*100</f>
        <v>-4.1524866185257192</v>
      </c>
      <c r="F26" s="74">
        <f>(F25/E25-1)*100</f>
        <v>68.721765776630377</v>
      </c>
      <c r="G26" s="74">
        <f>(G25/F25-1)*100</f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312.09789999999998</v>
      </c>
      <c r="D28" s="74">
        <f t="shared" ref="D28:E28" si="35">SUMPRODUCT(D13:D24,$N$13:$N$24)</f>
        <v>335.32630399999999</v>
      </c>
      <c r="E28" s="74">
        <f t="shared" si="35"/>
        <v>334.70860899999997</v>
      </c>
      <c r="F28" s="74">
        <f>SUMPRODUCT(F13:F24,$N$13:$N$24)</f>
        <v>342.40138300000001</v>
      </c>
      <c r="G28" s="74">
        <f>SUMPRODUCT(G13:G24,$N$13:$N$24)</f>
        <v>219.19295699999998</v>
      </c>
      <c r="H28" s="30">
        <f>SUMPRODUCT(H13:H24,$N$13:$N$24)</f>
        <v>271.07486599999999</v>
      </c>
      <c r="I28" s="70">
        <f>IF(OR(OR(H28=0,G28=0),H28=""),"",(H28/G28-1)*100)</f>
        <v>23.669514618574183</v>
      </c>
      <c r="J28" s="30">
        <f>IF(OR(OR(H28=0,G28=0),H28=""),"",H28/G28*100)</f>
        <v>123.66951461857418</v>
      </c>
      <c r="K28" s="30">
        <f>IF(OR(OR(H28=0,G28=0),G28=""),"",(G28/F28-1)*100)</f>
        <v>-35.983623932967589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7.4426659070759627</v>
      </c>
      <c r="E29" s="74">
        <f t="shared" ref="E29:H29" si="36">(E28/D28-1)*100</f>
        <v>-0.18420714170995778</v>
      </c>
      <c r="F29" s="74">
        <f t="shared" si="36"/>
        <v>2.2983496071354637</v>
      </c>
      <c r="G29" s="74">
        <f t="shared" si="36"/>
        <v>-35.983623932967589</v>
      </c>
      <c r="H29" s="30">
        <f t="shared" si="36"/>
        <v>23.669514618574183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56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[26]princ_paises_tek_P1!C7/1000000</f>
        <v>29.577714</v>
      </c>
      <c r="D13" s="72">
        <f>[26]princ_paises_tek_P1!D7/1000000</f>
        <v>34.077455</v>
      </c>
      <c r="E13" s="72">
        <f>[26]princ_paises_tek_P1!E7/1000000</f>
        <v>36.334681000000003</v>
      </c>
      <c r="F13" s="72">
        <f>[26]princ_paises_tek_P1!F7/1000000</f>
        <v>72.166032000000001</v>
      </c>
      <c r="G13" s="72">
        <f>[26]princ_paises_tek_P1!G7/1000000</f>
        <v>90.326402999999999</v>
      </c>
      <c r="H13" s="74">
        <f>[26]princ_paises_tek_P1!H7/1000000</f>
        <v>45.383332000000003</v>
      </c>
      <c r="I13" s="72">
        <f t="shared" ref="I13" si="0">IF(OR(OR(H13=0,G13=0),H13=""),"",(H13/G13-1)*100)</f>
        <v>-49.756294402645473</v>
      </c>
      <c r="J13" s="72">
        <f t="shared" ref="J13" si="1">IF(OR(OR(H13=0,G13=0),H13=""),"",H13/G13*100)</f>
        <v>50.243705597354527</v>
      </c>
      <c r="K13" s="72">
        <f t="shared" ref="K13" si="2">IF(OR(OR(H13=0,G13=0),H13=""),"",(G13/F13-1)*100)</f>
        <v>25.164707684080501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[26]princ_paises_tek_P1!C8/1000000</f>
        <v>38.156098</v>
      </c>
      <c r="D14" s="72">
        <f>[26]princ_paises_tek_P1!D8/1000000</f>
        <v>32.708424000000001</v>
      </c>
      <c r="E14" s="72">
        <f>[26]princ_paises_tek_P1!E8/1000000</f>
        <v>33.739196999999997</v>
      </c>
      <c r="F14" s="72">
        <f>[26]princ_paises_tek_P1!F8/1000000</f>
        <v>68.901461999999995</v>
      </c>
      <c r="G14" s="72">
        <f>[26]princ_paises_tek_P1!G8/1000000</f>
        <v>58.428272</v>
      </c>
      <c r="H14" s="74">
        <f>[26]princ_paises_tek_P1!H8/1000000</f>
        <v>55.375100000000003</v>
      </c>
      <c r="I14" s="72">
        <f t="shared" ref="I14" si="4">IF(OR(OR(H14=0,G14=0),H14=""),"",(H14/G14-1)*100)</f>
        <v>-5.2255045297249225</v>
      </c>
      <c r="J14" s="72">
        <f t="shared" ref="J14" si="5">IF(OR(OR(H14=0,G14=0),H14=""),"",H14/G14*100)</f>
        <v>94.77449547027507</v>
      </c>
      <c r="K14" s="72">
        <f t="shared" ref="K14" si="6">IF(OR(OR(H14=0,G14=0),H14=""),"",(G14/F14-1)*100)</f>
        <v>-15.200243501364309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[26]princ_paises_tek_P1!C9/1000000</f>
        <v>46.308016000000002</v>
      </c>
      <c r="D15" s="72">
        <f>[26]princ_paises_tek_P1!D9/1000000</f>
        <v>46.975644000000003</v>
      </c>
      <c r="E15" s="72">
        <f>[26]princ_paises_tek_P1!E9/1000000</f>
        <v>79.390640000000005</v>
      </c>
      <c r="F15" s="72">
        <f>[26]princ_paises_tek_P1!F9/1000000</f>
        <v>84.673045000000002</v>
      </c>
      <c r="G15" s="72">
        <f>[26]princ_paises_tek_P1!G9/1000000</f>
        <v>105.435647</v>
      </c>
      <c r="H15" s="74">
        <f>[26]princ_paises_tek_P1!H9/1000000</f>
        <v>99.698301000000001</v>
      </c>
      <c r="I15" s="72">
        <f t="shared" ref="I15" si="7">IF(OR(OR(H15=0,G15=0),H15=""),"",(H15/G15-1)*100)</f>
        <v>-5.4415619036320866</v>
      </c>
      <c r="J15" s="72">
        <f t="shared" ref="J15" si="8">IF(OR(OR(H15=0,G15=0),H15=""),"",H15/G15*100)</f>
        <v>94.558438096367908</v>
      </c>
      <c r="K15" s="72">
        <f t="shared" ref="K15" si="9">IF(OR(OR(H15=0,G15=0),H15=""),"",(G15/F15-1)*100)</f>
        <v>24.520910993575342</v>
      </c>
      <c r="L15" s="64"/>
      <c r="M15" s="138"/>
      <c r="N15" s="40">
        <f t="shared" si="3"/>
        <v>1</v>
      </c>
    </row>
    <row r="16" spans="1:15">
      <c r="A16" s="62"/>
      <c r="B16" s="71" t="s">
        <v>10</v>
      </c>
      <c r="C16" s="72">
        <f>[26]princ_paises_tek_P1!C10/1000000</f>
        <v>53.817841999999999</v>
      </c>
      <c r="D16" s="72">
        <f>[26]princ_paises_tek_P1!D10/1000000</f>
        <v>38.498739999999998</v>
      </c>
      <c r="E16" s="72">
        <f>[26]princ_paises_tek_P1!E10/1000000</f>
        <v>41.696727000000003</v>
      </c>
      <c r="F16" s="72">
        <f>[26]princ_paises_tek_P1!F10/1000000</f>
        <v>106.80718400000001</v>
      </c>
      <c r="G16" s="72">
        <f>[26]princ_paises_tek_P1!G10/1000000</f>
        <v>51.754018000000002</v>
      </c>
      <c r="H16" s="74">
        <f>[26]princ_paises_tek_P1!H10/1000000</f>
        <v>114.579836</v>
      </c>
      <c r="I16" s="72">
        <f t="shared" ref="I16" si="10">IF(OR(OR(H16=0,G16=0),H16=""),"",(H16/G16-1)*100)</f>
        <v>121.39312159299398</v>
      </c>
      <c r="J16" s="72">
        <f t="shared" ref="J16" si="11">IF(OR(OR(H16=0,G16=0),H16=""),"",H16/G16*100)</f>
        <v>221.39312159299399</v>
      </c>
      <c r="K16" s="72">
        <f t="shared" ref="K16" si="12">IF(OR(OR(H16=0,G16=0),H16=""),"",(G16/F16-1)*100)</f>
        <v>-51.54444105557544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[26]princ_paises_tek_P1!C11/1000000</f>
        <v>45.467731999999998</v>
      </c>
      <c r="D17" s="72">
        <f>[26]princ_paises_tek_P1!D11/1000000</f>
        <v>49.752789</v>
      </c>
      <c r="E17" s="72">
        <f>[26]princ_paises_tek_P1!E11/1000000</f>
        <v>99.364813999999996</v>
      </c>
      <c r="F17" s="72">
        <f>[26]princ_paises_tek_P1!F11/1000000</f>
        <v>82.792849000000004</v>
      </c>
      <c r="G17" s="72">
        <f>[26]princ_paises_tek_P1!G11/1000000</f>
        <v>76.972693000000007</v>
      </c>
      <c r="H17" s="74">
        <f>[26]princ_paises_tek_P1!H11/1000000</f>
        <v>108.117771</v>
      </c>
      <c r="I17" s="72">
        <f t="shared" ref="I17:I18" si="13">IF(OR(OR(H17=0,G17=0),H17=""),"",(H17/G17-1)*100)</f>
        <v>40.462502721582048</v>
      </c>
      <c r="J17" s="72">
        <f t="shared" ref="J17:J18" si="14">IF(OR(OR(H17=0,G17=0),H17=""),"",H17/G17*100)</f>
        <v>140.46250272158204</v>
      </c>
      <c r="K17" s="72">
        <f t="shared" ref="K17:K18" si="15">IF(OR(OR(H17=0,G17=0),H17=""),"",(G17/F17-1)*100)</f>
        <v>-7.0297810382150221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[26]princ_paises_tek_P1!C12/1000000</f>
        <v>55.608924999999999</v>
      </c>
      <c r="D18" s="72">
        <f>[26]princ_paises_tek_P1!D12/1000000</f>
        <v>40.154916</v>
      </c>
      <c r="E18" s="72">
        <f>[26]princ_paises_tek_P1!E12/1000000</f>
        <v>45.749231999999999</v>
      </c>
      <c r="F18" s="72">
        <f>[26]princ_paises_tek_P1!F12/1000000</f>
        <v>84.905079000000001</v>
      </c>
      <c r="G18" s="72">
        <f>[26]princ_paises_tek_P1!G12/1000000</f>
        <v>49.962535000000003</v>
      </c>
      <c r="H18" s="74">
        <f>[26]princ_paises_tek_P1!H12/1000000</f>
        <v>81.886354999999995</v>
      </c>
      <c r="I18" s="72">
        <f t="shared" si="13"/>
        <v>63.89551691082125</v>
      </c>
      <c r="J18" s="72">
        <f t="shared" si="14"/>
        <v>163.89551691082124</v>
      </c>
      <c r="K18" s="72">
        <f t="shared" si="15"/>
        <v>-41.154833623086319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[26]princ_paises_tek_P1!C13/1000000</f>
        <v>64.232972000000004</v>
      </c>
      <c r="D19" s="72">
        <f>[26]princ_paises_tek_P1!D13/1000000</f>
        <v>49.545779000000003</v>
      </c>
      <c r="E19" s="72">
        <f>[26]princ_paises_tek_P1!E13/1000000</f>
        <v>43.396684999999998</v>
      </c>
      <c r="F19" s="72">
        <f>[26]princ_paises_tek_P1!F13/1000000</f>
        <v>61.239846</v>
      </c>
      <c r="G19" s="72">
        <f>[26]princ_paises_tek_P1!G13/1000000</f>
        <v>100.186397</v>
      </c>
      <c r="H19" s="74">
        <f>[26]princ_paises_tek_P1!H13/1000000</f>
        <v>70.225241999999994</v>
      </c>
      <c r="I19" s="72">
        <f t="shared" ref="I19" si="16">IF(OR(OR(H19=0,G19=0),H19=""),"",(H19/G19-1)*100)</f>
        <v>-29.90541220880516</v>
      </c>
      <c r="J19" s="72">
        <f t="shared" ref="J19" si="17">IF(OR(OR(H19=0,G19=0),H19=""),"",H19/G19*100)</f>
        <v>70.09458779119484</v>
      </c>
      <c r="K19" s="72">
        <f t="shared" ref="K19" si="18">IF(OR(OR(H19=0,G19=0),H19=""),"",(G19/F19-1)*100)</f>
        <v>63.596748757336854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[26]princ_paises_tek_P1!C14/1000000</f>
        <v>57.451256000000001</v>
      </c>
      <c r="D20" s="72">
        <f>[26]princ_paises_tek_P1!D14/1000000</f>
        <v>34.432616000000003</v>
      </c>
      <c r="E20" s="72">
        <f>[26]princ_paises_tek_P1!E14/1000000</f>
        <v>65.041335000000004</v>
      </c>
      <c r="F20" s="72">
        <f>[26]princ_paises_tek_P1!F14/1000000</f>
        <v>61.038124000000003</v>
      </c>
      <c r="G20" s="72">
        <f>[26]princ_paises_tek_P1!G14/1000000</f>
        <v>62.743189000000001</v>
      </c>
      <c r="H20" s="30">
        <f>[26]princ_paises_tek_P1!H14/1000000</f>
        <v>66.676302000000007</v>
      </c>
      <c r="I20" s="24">
        <f t="shared" ref="I20" si="19">IF(OR(OR(H20=0,G20=0),H20=""),"",(H20/G20-1)*100)</f>
        <v>6.2685895675465453</v>
      </c>
      <c r="J20" s="24">
        <f t="shared" ref="J20" si="20">IF(OR(OR(H20=0,G20=0),H20=""),"",H20/G20*100)</f>
        <v>106.26858956754654</v>
      </c>
      <c r="K20" s="24">
        <f t="shared" ref="K20" si="21">IF(OR(OR(H20=0,G20=0),H20=""),"",(G20/F20-1)*100)</f>
        <v>2.7934426687163505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[26]princ_paises_tek_P1!C15/1000000</f>
        <v>57.273555999999999</v>
      </c>
      <c r="D21" s="72">
        <f>[26]princ_paises_tek_P1!D15/1000000</f>
        <v>37.867396999999997</v>
      </c>
      <c r="E21" s="72">
        <f>[26]princ_paises_tek_P1!E15/1000000</f>
        <v>52.586784999999999</v>
      </c>
      <c r="F21" s="72">
        <f>[26]princ_paises_tek_P1!F15/1000000</f>
        <v>38.009610000000002</v>
      </c>
      <c r="G21" s="72">
        <f>[26]princ_paises_tek_P1!G15/1000000</f>
        <v>49.334555999999999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[26]princ_paises_tek_P1!C16/1000000</f>
        <v>58.268954000000001</v>
      </c>
      <c r="D22" s="72">
        <f>[26]princ_paises_tek_P1!D16/1000000</f>
        <v>37.332481999999999</v>
      </c>
      <c r="E22" s="72">
        <f>[26]princ_paises_tek_P1!E16/1000000</f>
        <v>45.276226000000001</v>
      </c>
      <c r="F22" s="72">
        <f>[26]princ_paises_tek_P1!F16/1000000</f>
        <v>50.990205000000003</v>
      </c>
      <c r="G22" s="72">
        <f>[26]princ_paises_tek_P1!G16/1000000</f>
        <v>52.391019999999997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[26]princ_paises_tek_P1!C17/1000000</f>
        <v>32.685625999999999</v>
      </c>
      <c r="D23" s="72">
        <f>[26]princ_paises_tek_P1!D17/1000000</f>
        <v>37.323721999999997</v>
      </c>
      <c r="E23" s="72">
        <f>[26]princ_paises_tek_P1!E17/1000000</f>
        <v>73.955914000000007</v>
      </c>
      <c r="F23" s="72">
        <f>[26]princ_paises_tek_P1!F17/1000000</f>
        <v>59.083449000000002</v>
      </c>
      <c r="G23" s="72">
        <f>[26]princ_paises_tek_P1!G17/1000000</f>
        <v>57.332459999999998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[26]princ_paises_tek_P1!C18/1000000</f>
        <v>60.519283000000001</v>
      </c>
      <c r="D24" s="72">
        <f>[26]princ_paises_tek_P1!D18/1000000</f>
        <v>46.674695999999997</v>
      </c>
      <c r="E24" s="72">
        <f>[26]princ_paises_tek_P1!E18/1000000</f>
        <v>96.752866999999995</v>
      </c>
      <c r="F24" s="72">
        <f>[26]princ_paises_tek_P1!F18/1000000</f>
        <v>45.351948</v>
      </c>
      <c r="G24" s="72">
        <f>[26]princ_paises_tek_P1!G18/1000000</f>
        <v>59.879213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599.367974</v>
      </c>
      <c r="D25" s="74">
        <f t="shared" si="34"/>
        <v>485.34465999999992</v>
      </c>
      <c r="E25" s="74">
        <f t="shared" si="34"/>
        <v>713.28510300000005</v>
      </c>
      <c r="F25" s="74">
        <f t="shared" si="34"/>
        <v>815.95883299999991</v>
      </c>
      <c r="G25" s="74">
        <f>SUM(G13:G24)</f>
        <v>814.7464030000001</v>
      </c>
      <c r="H25" s="88">
        <f>SUM(H13:H24)</f>
        <v>641.94223899999997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-19.023925025396849</v>
      </c>
      <c r="E26" s="74">
        <f>(E25/D25-1)*100</f>
        <v>46.964654561152507</v>
      </c>
      <c r="F26" s="74">
        <f>(F25/E25-1)*100</f>
        <v>14.394486800322227</v>
      </c>
      <c r="G26" s="74">
        <f>(G25/F25-1)*100</f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390.62055500000002</v>
      </c>
      <c r="D28" s="74">
        <f t="shared" ref="D28:E28" si="35">SUMPRODUCT(D13:D24,$N$13:$N$24)</f>
        <v>326.14636300000001</v>
      </c>
      <c r="E28" s="74">
        <f t="shared" si="35"/>
        <v>444.71331100000003</v>
      </c>
      <c r="F28" s="74">
        <f>SUMPRODUCT(F13:F24,$N$13:$N$24)</f>
        <v>622.52362100000005</v>
      </c>
      <c r="G28" s="74">
        <f>SUMPRODUCT(G13:G24,$N$13:$N$24)</f>
        <v>595.80915400000004</v>
      </c>
      <c r="H28" s="30">
        <f>SUMPRODUCT(H13:H24,$N$13:$N$24)</f>
        <v>641.94223899999997</v>
      </c>
      <c r="I28" s="70">
        <f>IF(OR(OR(H28=0,G28=0),H28=""),"",(H28/G28-1)*100)</f>
        <v>7.7429298778447286</v>
      </c>
      <c r="J28" s="30">
        <f>IF(OR(OR(H28=0,G28=0),H28=""),"",H28/G28*100)</f>
        <v>107.74292987784473</v>
      </c>
      <c r="K28" s="30">
        <f>IF(OR(OR(H28=0,G28=0),G28=""),"",(G28/F28-1)*100)</f>
        <v>-4.2913178068788476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-16.505580972306998</v>
      </c>
      <c r="E29" s="74">
        <f t="shared" ref="E29:H29" si="36">(E28/D28-1)*100</f>
        <v>36.353907769929663</v>
      </c>
      <c r="F29" s="74">
        <f t="shared" si="36"/>
        <v>39.983131964313976</v>
      </c>
      <c r="G29" s="74">
        <f t="shared" si="36"/>
        <v>-4.2913178068788476</v>
      </c>
      <c r="H29" s="30">
        <f t="shared" si="36"/>
        <v>7.7429298778447286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[27]principales_paises_p2!C7/1000000</f>
        <v>21.336793</v>
      </c>
      <c r="D13" s="72">
        <f>[27]principales_paises_p2!D7/1000000</f>
        <v>31.076635</v>
      </c>
      <c r="E13" s="72">
        <f>[27]principales_paises_p2!E7/1000000</f>
        <v>19.253278999999999</v>
      </c>
      <c r="F13" s="72">
        <f>[27]principales_paises_p2!F7/1000000</f>
        <v>28.169530999999999</v>
      </c>
      <c r="G13" s="72">
        <f>[27]principales_paises_p2!G7/1000000</f>
        <v>30.163504</v>
      </c>
      <c r="H13" s="74">
        <f>[27]principales_paises_p2!H7/1000000</f>
        <v>31.275531000000001</v>
      </c>
      <c r="I13" s="72">
        <f t="shared" ref="I13" si="0">IF(OR(OR(H13=0,G13=0),H13=""),"",(H13/G13-1)*100)</f>
        <v>3.6866638570903554</v>
      </c>
      <c r="J13" s="72">
        <f t="shared" ref="J13" si="1">IF(OR(OR(H13=0,G13=0),H13=""),"",H13/G13*100)</f>
        <v>103.68666385709035</v>
      </c>
      <c r="K13" s="72">
        <f t="shared" ref="K13" si="2">IF(OR(OR(H13=0,G13=0),H13=""),"",(G13/F13-1)*100)</f>
        <v>7.078474256458156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[27]principales_paises_p2!C8/1000000</f>
        <v>20.302807000000001</v>
      </c>
      <c r="D14" s="72">
        <f>[27]principales_paises_p2!D8/1000000</f>
        <v>26.102098000000002</v>
      </c>
      <c r="E14" s="72">
        <f>[27]principales_paises_p2!E8/1000000</f>
        <v>31.779671</v>
      </c>
      <c r="F14" s="72">
        <f>[27]principales_paises_p2!F8/1000000</f>
        <v>28.962893000000001</v>
      </c>
      <c r="G14" s="72">
        <f>[27]principales_paises_p2!G8/1000000</f>
        <v>37.922593999999997</v>
      </c>
      <c r="H14" s="74">
        <f>[27]principales_paises_p2!H8/1000000</f>
        <v>35.024523000000002</v>
      </c>
      <c r="I14" s="72">
        <f t="shared" ref="I14" si="4">IF(OR(OR(H14=0,G14=0),H14=""),"",(H14/G14-1)*100)</f>
        <v>-7.6420695272058525</v>
      </c>
      <c r="J14" s="72">
        <f t="shared" ref="J14" si="5">IF(OR(OR(H14=0,G14=0),H14=""),"",H14/G14*100)</f>
        <v>92.357930472794152</v>
      </c>
      <c r="K14" s="72">
        <f t="shared" ref="K14" si="6">IF(OR(OR(H14=0,G14=0),H14=""),"",(G14/F14-1)*100)</f>
        <v>30.935103755001258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[27]principales_paises_p2!C9/1000000</f>
        <v>34.709926000000003</v>
      </c>
      <c r="D15" s="72">
        <f>[27]principales_paises_p2!D9/1000000</f>
        <v>29.061143000000001</v>
      </c>
      <c r="E15" s="72">
        <f>[27]principales_paises_p2!E9/1000000</f>
        <v>39.865209</v>
      </c>
      <c r="F15" s="72">
        <f>[27]principales_paises_p2!F9/1000000</f>
        <v>47.688529000000003</v>
      </c>
      <c r="G15" s="72">
        <f>[27]principales_paises_p2!G9/1000000</f>
        <v>37.6995</v>
      </c>
      <c r="H15" s="74">
        <f>[27]principales_paises_p2!H9/1000000</f>
        <v>34.539493</v>
      </c>
      <c r="I15" s="72">
        <f t="shared" ref="I15" si="7">IF(OR(OR(H15=0,G15=0),H15=""),"",(H15/G15-1)*100)</f>
        <v>-8.3820926006976215</v>
      </c>
      <c r="J15" s="72">
        <f t="shared" ref="J15" si="8">IF(OR(OR(H15=0,G15=0),H15=""),"",H15/G15*100)</f>
        <v>91.617907399302382</v>
      </c>
      <c r="K15" s="72">
        <f t="shared" ref="K15" si="9">IF(OR(OR(H15=0,G15=0),H15=""),"",(G15/F15-1)*100)</f>
        <v>-20.946397822419726</v>
      </c>
      <c r="L15" s="64"/>
      <c r="M15" s="138"/>
      <c r="N15" s="40">
        <f t="shared" si="3"/>
        <v>1</v>
      </c>
    </row>
    <row r="16" spans="1:15">
      <c r="A16" s="62"/>
      <c r="B16" s="71" t="s">
        <v>10</v>
      </c>
      <c r="C16" s="72">
        <f>[27]principales_paises_p2!C10/1000000</f>
        <v>32.254680999999998</v>
      </c>
      <c r="D16" s="72">
        <f>[27]principales_paises_p2!D10/1000000</f>
        <v>28.993326</v>
      </c>
      <c r="E16" s="72">
        <f>[27]principales_paises_p2!E10/1000000</f>
        <v>39.509805</v>
      </c>
      <c r="F16" s="72">
        <f>[27]principales_paises_p2!F10/1000000</f>
        <v>29.888977000000001</v>
      </c>
      <c r="G16" s="72">
        <f>[27]principales_paises_p2!G10/1000000</f>
        <v>30.276879000000001</v>
      </c>
      <c r="H16" s="74">
        <f>[27]principales_paises_p2!H10/1000000</f>
        <v>44.662044000000002</v>
      </c>
      <c r="I16" s="72">
        <f t="shared" ref="I16" si="10">IF(OR(OR(H16=0,G16=0),H16=""),"",(H16/G16-1)*100)</f>
        <v>47.51204706403194</v>
      </c>
      <c r="J16" s="72">
        <f t="shared" ref="J16" si="11">IF(OR(OR(H16=0,G16=0),H16=""),"",H16/G16*100)</f>
        <v>147.51204706403195</v>
      </c>
      <c r="K16" s="72">
        <f t="shared" ref="K16" si="12">IF(OR(OR(H16=0,G16=0),H16=""),"",(G16/F16-1)*100)</f>
        <v>1.2978095570149506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[27]principales_paises_p2!C11/1000000</f>
        <v>28.008064000000001</v>
      </c>
      <c r="D17" s="72">
        <f>[27]principales_paises_p2!D11/1000000</f>
        <v>28.56813</v>
      </c>
      <c r="E17" s="72">
        <f>[27]principales_paises_p2!E11/1000000</f>
        <v>37.921467999999997</v>
      </c>
      <c r="F17" s="72">
        <f>[27]principales_paises_p2!F11/1000000</f>
        <v>34.056234000000003</v>
      </c>
      <c r="G17" s="72">
        <f>[27]principales_paises_p2!G11/1000000</f>
        <v>40.940918000000003</v>
      </c>
      <c r="H17" s="74">
        <f>[27]principales_paises_p2!H11/1000000</f>
        <v>46.055914000000001</v>
      </c>
      <c r="I17" s="72">
        <f t="shared" ref="I17:I18" si="13">IF(OR(OR(H17=0,G17=0),H17=""),"",(H17/G17-1)*100)</f>
        <v>12.493603587491609</v>
      </c>
      <c r="J17" s="72">
        <f t="shared" ref="J17:J18" si="14">IF(OR(OR(H17=0,G17=0),H17=""),"",H17/G17*100)</f>
        <v>112.49360358749161</v>
      </c>
      <c r="K17" s="72">
        <f t="shared" ref="K17:K18" si="15">IF(OR(OR(H17=0,G17=0),H17=""),"",(G17/F17-1)*100)</f>
        <v>20.215635116906938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[27]principales_paises_p2!C12/1000000</f>
        <v>39.348723</v>
      </c>
      <c r="D18" s="72">
        <f>[27]principales_paises_p2!D12/1000000</f>
        <v>29.806539999999998</v>
      </c>
      <c r="E18" s="72">
        <f>[27]principales_paises_p2!E12/1000000</f>
        <v>36.452156000000002</v>
      </c>
      <c r="F18" s="72">
        <f>[27]principales_paises_p2!F12/1000000</f>
        <v>33.662402</v>
      </c>
      <c r="G18" s="72">
        <f>[27]principales_paises_p2!G12/1000000</f>
        <v>34.459882999999998</v>
      </c>
      <c r="H18" s="74">
        <f>[27]principales_paises_p2!H12/1000000</f>
        <v>40.190736000000001</v>
      </c>
      <c r="I18" s="72">
        <f t="shared" si="13"/>
        <v>16.630506261440313</v>
      </c>
      <c r="J18" s="72">
        <f t="shared" si="14"/>
        <v>116.63050626144032</v>
      </c>
      <c r="K18" s="72">
        <f t="shared" si="15"/>
        <v>2.3690555415504688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[27]principales_paises_p2!C13/1000000</f>
        <v>41.953769999999999</v>
      </c>
      <c r="D19" s="72">
        <f>[27]principales_paises_p2!D13/1000000</f>
        <v>27.879864999999999</v>
      </c>
      <c r="E19" s="72">
        <f>[27]principales_paises_p2!E13/1000000</f>
        <v>33.313402000000004</v>
      </c>
      <c r="F19" s="72">
        <f>[27]principales_paises_p2!F13/1000000</f>
        <v>28.349252</v>
      </c>
      <c r="G19" s="72">
        <f>[27]principales_paises_p2!G13/1000000</f>
        <v>36.874053000000004</v>
      </c>
      <c r="H19" s="74">
        <f>[27]principales_paises_p2!H13/1000000</f>
        <v>43.144635000000001</v>
      </c>
      <c r="I19" s="72">
        <f t="shared" ref="I19" si="16">IF(OR(OR(H19=0,G19=0),H19=""),"",(H19/G19-1)*100)</f>
        <v>17.005404857448127</v>
      </c>
      <c r="J19" s="72">
        <f t="shared" ref="J19" si="17">IF(OR(OR(H19=0,G19=0),H19=""),"",H19/G19*100)</f>
        <v>117.00540485744813</v>
      </c>
      <c r="K19" s="72">
        <f t="shared" ref="K19" si="18">IF(OR(OR(H19=0,G19=0),H19=""),"",(G19/F19-1)*100)</f>
        <v>30.07063819532172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[27]principales_paises_p2!C14/1000000</f>
        <v>38.390971</v>
      </c>
      <c r="D20" s="72">
        <f>[27]principales_paises_p2!D14/1000000</f>
        <v>24.017786999999998</v>
      </c>
      <c r="E20" s="72">
        <f>[27]principales_paises_p2!E14/1000000</f>
        <v>35.108320999999997</v>
      </c>
      <c r="F20" s="72">
        <f>[27]principales_paises_p2!F14/1000000</f>
        <v>37.620075</v>
      </c>
      <c r="G20" s="72">
        <f>[27]principales_paises_p2!G14/1000000</f>
        <v>37.747172999999997</v>
      </c>
      <c r="H20" s="30">
        <f>[27]principales_paises_p2!H14/1000000</f>
        <v>34.065627999999997</v>
      </c>
      <c r="I20" s="24">
        <f t="shared" ref="I20" si="19">IF(OR(OR(H20=0,G20=0),H20=""),"",(H20/G20-1)*100)</f>
        <v>-9.7531674756146653</v>
      </c>
      <c r="J20" s="24">
        <f t="shared" ref="J20" si="20">IF(OR(OR(H20=0,G20=0),H20=""),"",H20/G20*100)</f>
        <v>90.24683252438534</v>
      </c>
      <c r="K20" s="24">
        <f t="shared" ref="K20" si="21">IF(OR(OR(H20=0,G20=0),H20=""),"",(G20/F20-1)*100)</f>
        <v>0.33784621641503865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[27]principales_paises_p2!C15/1000000</f>
        <v>33.883862999999998</v>
      </c>
      <c r="D21" s="72">
        <f>[27]principales_paises_p2!D15/1000000</f>
        <v>29.52974</v>
      </c>
      <c r="E21" s="72">
        <f>[27]principales_paises_p2!E15/1000000</f>
        <v>51.125860000000003</v>
      </c>
      <c r="F21" s="72">
        <f>[27]principales_paises_p2!F15/1000000</f>
        <v>32.770449999999997</v>
      </c>
      <c r="G21" s="72">
        <f>[27]principales_paises_p2!G15/1000000</f>
        <v>39.349294999999998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[27]principales_paises_p2!C16/1000000</f>
        <v>47.688431999999999</v>
      </c>
      <c r="D22" s="72">
        <f>[27]principales_paises_p2!D16/1000000</f>
        <v>30.120318000000001</v>
      </c>
      <c r="E22" s="72">
        <f>[27]principales_paises_p2!E16/1000000</f>
        <v>63.215862999999999</v>
      </c>
      <c r="F22" s="72">
        <f>[27]principales_paises_p2!F16/1000000</f>
        <v>35.301969</v>
      </c>
      <c r="G22" s="72">
        <f>[27]principales_paises_p2!G16/1000000</f>
        <v>42.291528999999997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[27]principales_paises_p2!C17/1000000</f>
        <v>39.529815999999997</v>
      </c>
      <c r="D23" s="72">
        <f>[27]principales_paises_p2!D17/1000000</f>
        <v>30.383334999999999</v>
      </c>
      <c r="E23" s="72">
        <f>[27]principales_paises_p2!E17/1000000</f>
        <v>31.991367</v>
      </c>
      <c r="F23" s="72">
        <f>[27]principales_paises_p2!F17/1000000</f>
        <v>36.950732000000002</v>
      </c>
      <c r="G23" s="72">
        <f>[27]principales_paises_p2!G17/1000000</f>
        <v>40.915106999999999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[27]principales_paises_p2!C18/1000000</f>
        <v>44.139004999999997</v>
      </c>
      <c r="D24" s="72">
        <f>[27]principales_paises_p2!D18/1000000</f>
        <v>31.940797</v>
      </c>
      <c r="E24" s="72">
        <f>[27]principales_paises_p2!E18/1000000</f>
        <v>38.501288000000002</v>
      </c>
      <c r="F24" s="72">
        <f>[27]principales_paises_p2!F18/1000000</f>
        <v>38.792062000000001</v>
      </c>
      <c r="G24" s="72">
        <f>[27]principales_paises_p2!G18/1000000</f>
        <v>39.189836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421.54685099999995</v>
      </c>
      <c r="D25" s="74">
        <f t="shared" si="34"/>
        <v>347.47971399999994</v>
      </c>
      <c r="E25" s="74">
        <f t="shared" si="34"/>
        <v>458.037689</v>
      </c>
      <c r="F25" s="74">
        <f t="shared" si="34"/>
        <v>412.21310599999998</v>
      </c>
      <c r="G25" s="74">
        <f>SUM(G13:G24)</f>
        <v>447.83027099999998</v>
      </c>
      <c r="H25" s="88">
        <f>SUM(H13:H24)</f>
        <v>308.958504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-17.570321501464615</v>
      </c>
      <c r="E26" s="74">
        <f>(E25/D25-1)*100</f>
        <v>31.817101990592779</v>
      </c>
      <c r="F26" s="74">
        <f>(F25/E25-1)*100</f>
        <v>-10.004544189375652</v>
      </c>
      <c r="G26" s="74">
        <f>(G25/F25-1)*100</f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256.30573499999997</v>
      </c>
      <c r="D28" s="74">
        <f t="shared" ref="D28:E28" si="35">SUMPRODUCT(D13:D24,$N$13:$N$24)</f>
        <v>225.50552399999998</v>
      </c>
      <c r="E28" s="74">
        <f t="shared" si="35"/>
        <v>273.20331099999999</v>
      </c>
      <c r="F28" s="74">
        <f>SUMPRODUCT(F13:F24,$N$13:$N$24)</f>
        <v>268.39789300000001</v>
      </c>
      <c r="G28" s="74">
        <f>SUMPRODUCT(G13:G24,$N$13:$N$24)</f>
        <v>286.08450399999998</v>
      </c>
      <c r="H28" s="30">
        <f>SUMPRODUCT(H13:H24,$N$13:$N$24)</f>
        <v>308.958504</v>
      </c>
      <c r="I28" s="70">
        <f>IF(OR(OR(H28=0,G28=0),H28=""),"",(H28/G28-1)*100)</f>
        <v>7.9955396675382318</v>
      </c>
      <c r="J28" s="30">
        <f>IF(OR(OR(H28=0,G28=0),H28=""),"",H28/G28*100)</f>
        <v>107.99553966753822</v>
      </c>
      <c r="K28" s="30">
        <f>IF(OR(OR(H28=0,G28=0),G28=""),"",(G28/F28-1)*100)</f>
        <v>6.5896981538524857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-12.016980813948619</v>
      </c>
      <c r="E29" s="74">
        <f t="shared" ref="E29:H29" si="36">(E28/D28-1)*100</f>
        <v>21.151493832142233</v>
      </c>
      <c r="F29" s="74">
        <f t="shared" si="36"/>
        <v>-1.758916457641313</v>
      </c>
      <c r="G29" s="74">
        <f t="shared" si="36"/>
        <v>6.5896981538524857</v>
      </c>
      <c r="H29" s="30">
        <f t="shared" si="36"/>
        <v>7.9955396675382318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[28]principales_paises_p3!C7/1000000</f>
        <v>92.264145999999997</v>
      </c>
      <c r="D13" s="72">
        <f>[28]principales_paises_p3!D7/1000000</f>
        <v>73.281199999999998</v>
      </c>
      <c r="E13" s="72">
        <f>[28]principales_paises_p3!E7/1000000</f>
        <v>21.263334</v>
      </c>
      <c r="F13" s="72">
        <f>[28]principales_paises_p3!F7/1000000</f>
        <v>17.914591000000001</v>
      </c>
      <c r="G13" s="72">
        <f>[28]principales_paises_p3!G7/1000000</f>
        <v>25.864612999999999</v>
      </c>
      <c r="H13" s="74">
        <f>[28]principales_paises_p3!H7/1000000</f>
        <v>20.166027</v>
      </c>
      <c r="I13" s="72">
        <f t="shared" ref="I13" si="0">IF(OR(OR(H13=0,G13=0),H13=""),"",(H13/G13-1)*100)</f>
        <v>-22.03236522425447</v>
      </c>
      <c r="J13" s="72">
        <f t="shared" ref="J13" si="1">IF(OR(OR(H13=0,G13=0),H13=""),"",H13/G13*100)</f>
        <v>77.967634775745537</v>
      </c>
      <c r="K13" s="72">
        <f t="shared" ref="K13" si="2">IF(OR(OR(H13=0,G13=0),H13=""),"",(G13/F13-1)*100)</f>
        <v>44.377356982361448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[28]principales_paises_p3!C8/1000000</f>
        <v>118.603459</v>
      </c>
      <c r="D14" s="72">
        <f>[28]principales_paises_p3!D8/1000000</f>
        <v>94.003271999999996</v>
      </c>
      <c r="E14" s="72">
        <f>[28]principales_paises_p3!E8/1000000</f>
        <v>42.855172000000003</v>
      </c>
      <c r="F14" s="72">
        <f>[28]principales_paises_p3!F8/1000000</f>
        <v>24.115259999999999</v>
      </c>
      <c r="G14" s="72">
        <f>[28]principales_paises_p3!G8/1000000</f>
        <v>28.481327</v>
      </c>
      <c r="H14" s="74">
        <f>[28]principales_paises_p3!H8/1000000</f>
        <v>21.126944999999999</v>
      </c>
      <c r="I14" s="72">
        <f t="shared" ref="I14" si="4">IF(OR(OR(H14=0,G14=0),H14=""),"",(H14/G14-1)*100)</f>
        <v>-25.821767363578253</v>
      </c>
      <c r="J14" s="72">
        <f t="shared" ref="J14" si="5">IF(OR(OR(H14=0,G14=0),H14=""),"",H14/G14*100)</f>
        <v>74.178232636421754</v>
      </c>
      <c r="K14" s="72">
        <f t="shared" ref="K14" si="6">IF(OR(OR(H14=0,G14=0),H14=""),"",(G14/F14-1)*100)</f>
        <v>18.104996587223198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[28]principales_paises_p3!C9/1000000</f>
        <v>85.772116999999994</v>
      </c>
      <c r="D15" s="72">
        <f>[28]principales_paises_p3!D9/1000000</f>
        <v>89.293678999999997</v>
      </c>
      <c r="E15" s="72">
        <f>[28]principales_paises_p3!E9/1000000</f>
        <v>44.252465999999998</v>
      </c>
      <c r="F15" s="72">
        <f>[28]principales_paises_p3!F9/1000000</f>
        <v>31.915921000000001</v>
      </c>
      <c r="G15" s="72">
        <f>[28]principales_paises_p3!G9/1000000</f>
        <v>38.550899999999999</v>
      </c>
      <c r="H15" s="74">
        <f>[28]principales_paises_p3!H9/1000000</f>
        <v>23.420914</v>
      </c>
      <c r="I15" s="72">
        <f t="shared" ref="I15" si="7">IF(OR(OR(H15=0,G15=0),H15=""),"",(H15/G15-1)*100)</f>
        <v>-39.246777636838573</v>
      </c>
      <c r="J15" s="72">
        <f t="shared" ref="J15" si="8">IF(OR(OR(H15=0,G15=0),H15=""),"",H15/G15*100)</f>
        <v>60.753222363161427</v>
      </c>
      <c r="K15" s="72">
        <f t="shared" ref="K15" si="9">IF(OR(OR(H15=0,G15=0),H15=""),"",(G15/F15-1)*100)</f>
        <v>20.788931643238495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[28]principales_paises_p3!C10/1000000</f>
        <v>135.54060799999999</v>
      </c>
      <c r="D16" s="72">
        <f>[28]principales_paises_p3!D10/1000000</f>
        <v>58.585979999999999</v>
      </c>
      <c r="E16" s="72">
        <f>[28]principales_paises_p3!E10/1000000</f>
        <v>33.238880000000002</v>
      </c>
      <c r="F16" s="72">
        <f>[28]principales_paises_p3!F10/1000000</f>
        <v>27.271481000000001</v>
      </c>
      <c r="G16" s="72">
        <f>[28]principales_paises_p3!G10/1000000</f>
        <v>32.681528</v>
      </c>
      <c r="H16" s="74">
        <f>[28]principales_paises_p3!H10/1000000</f>
        <v>23.080812000000002</v>
      </c>
      <c r="I16" s="72">
        <f t="shared" ref="I16" si="10">IF(OR(OR(H16=0,G16=0),H16=""),"",(H16/G16-1)*100)</f>
        <v>-29.376582392353257</v>
      </c>
      <c r="J16" s="72">
        <f t="shared" ref="J16" si="11">IF(OR(OR(H16=0,G16=0),H16=""),"",H16/G16*100)</f>
        <v>70.623417607646743</v>
      </c>
      <c r="K16" s="72">
        <f t="shared" ref="K16" si="12">IF(OR(OR(H16=0,G16=0),H16=""),"",(G16/F16-1)*100)</f>
        <v>19.837745518844386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[28]principales_paises_p3!C11/1000000</f>
        <v>121.832396</v>
      </c>
      <c r="D17" s="72">
        <f>[28]principales_paises_p3!D11/1000000</f>
        <v>100.592893</v>
      </c>
      <c r="E17" s="72">
        <f>[28]principales_paises_p3!E11/1000000</f>
        <v>40.625332</v>
      </c>
      <c r="F17" s="72">
        <f>[28]principales_paises_p3!F11/1000000</f>
        <v>26.349699000000001</v>
      </c>
      <c r="G17" s="72">
        <f>[28]principales_paises_p3!G11/1000000</f>
        <v>39.828446</v>
      </c>
      <c r="H17" s="74">
        <f>[28]principales_paises_p3!H11/1000000</f>
        <v>27.646014000000001</v>
      </c>
      <c r="I17" s="72">
        <f t="shared" ref="I17:I18" si="13">IF(OR(OR(H17=0,G17=0),H17=""),"",(H17/G17-1)*100)</f>
        <v>-30.587264188012753</v>
      </c>
      <c r="J17" s="72">
        <f t="shared" ref="J17:J18" si="14">IF(OR(OR(H17=0,G17=0),H17=""),"",H17/G17*100)</f>
        <v>69.412735811987247</v>
      </c>
      <c r="K17" s="72">
        <f t="shared" ref="K17:K18" si="15">IF(OR(OR(H17=0,G17=0),H17=""),"",(G17/F17-1)*100)</f>
        <v>51.153324370043073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[28]principales_paises_p3!C12/1000000</f>
        <v>84.867217999999994</v>
      </c>
      <c r="D18" s="72">
        <f>[28]principales_paises_p3!D12/1000000</f>
        <v>87.970348999999999</v>
      </c>
      <c r="E18" s="72">
        <f>[28]principales_paises_p3!E12/1000000</f>
        <v>25.824705999999999</v>
      </c>
      <c r="F18" s="72">
        <f>[28]principales_paises_p3!F12/1000000</f>
        <v>27.200520999999998</v>
      </c>
      <c r="G18" s="72">
        <f>[28]principales_paises_p3!G12/1000000</f>
        <v>41.545611999999998</v>
      </c>
      <c r="H18" s="74">
        <f>[28]principales_paises_p3!H12/1000000</f>
        <v>23.388380999999999</v>
      </c>
      <c r="I18" s="72">
        <f t="shared" si="13"/>
        <v>-43.704329111820513</v>
      </c>
      <c r="J18" s="72">
        <f t="shared" si="14"/>
        <v>56.295670888179487</v>
      </c>
      <c r="K18" s="72">
        <f t="shared" si="15"/>
        <v>52.738294976041075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[28]principales_paises_p3!C13/1000000</f>
        <v>108.242307</v>
      </c>
      <c r="D19" s="72">
        <f>[28]principales_paises_p3!D13/1000000</f>
        <v>55.251730000000002</v>
      </c>
      <c r="E19" s="72">
        <f>[28]principales_paises_p3!E13/1000000</f>
        <v>23.754418000000001</v>
      </c>
      <c r="F19" s="72">
        <f>[28]principales_paises_p3!F13/1000000</f>
        <v>24.992796999999999</v>
      </c>
      <c r="G19" s="72">
        <f>[28]principales_paises_p3!G13/1000000</f>
        <v>43.005643999999997</v>
      </c>
      <c r="H19" s="74">
        <f>[28]principales_paises_p3!H13/1000000</f>
        <v>23.366038</v>
      </c>
      <c r="I19" s="72">
        <f t="shared" ref="I19" si="16">IF(OR(OR(H19=0,G19=0),H19=""),"",(H19/G19-1)*100)</f>
        <v>-45.667508199621423</v>
      </c>
      <c r="J19" s="72">
        <f t="shared" ref="J19" si="17">IF(OR(OR(H19=0,G19=0),H19=""),"",H19/G19*100)</f>
        <v>54.332491800378577</v>
      </c>
      <c r="K19" s="72">
        <f t="shared" ref="K19" si="18">IF(OR(OR(H19=0,G19=0),H19=""),"",(G19/F19-1)*100)</f>
        <v>72.072153428845922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[28]principales_paises_p3!C14/1000000</f>
        <v>94.340114</v>
      </c>
      <c r="D20" s="72">
        <f>[28]principales_paises_p3!D14/1000000</f>
        <v>52.298253000000003</v>
      </c>
      <c r="E20" s="72">
        <f>[28]principales_paises_p3!E14/1000000</f>
        <v>17.919211000000001</v>
      </c>
      <c r="F20" s="72">
        <f>[28]principales_paises_p3!F14/1000000</f>
        <v>30.091861000000002</v>
      </c>
      <c r="G20" s="72">
        <f>[28]principales_paises_p3!G14/1000000</f>
        <v>46.047829</v>
      </c>
      <c r="H20" s="30">
        <f>[28]principales_paises_p3!H14/1000000</f>
        <v>25.669689999999999</v>
      </c>
      <c r="I20" s="24">
        <f t="shared" ref="I20" si="19">IF(OR(OR(H20=0,G20=0),H20=""),"",(H20/G20-1)*100)</f>
        <v>-44.254288296631749</v>
      </c>
      <c r="J20" s="24">
        <f t="shared" ref="J20" si="20">IF(OR(OR(H20=0,G20=0),H20=""),"",H20/G20*100)</f>
        <v>55.745711703368251</v>
      </c>
      <c r="K20" s="24">
        <f t="shared" ref="K20" si="21">IF(OR(OR(H20=0,G20=0),H20=""),"",(G20/F20-1)*100)</f>
        <v>53.024198137828684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[28]principales_paises_p3!C15/1000000</f>
        <v>86.753704999999997</v>
      </c>
      <c r="D21" s="72">
        <f>[28]principales_paises_p3!D15/1000000</f>
        <v>69.132727000000003</v>
      </c>
      <c r="E21" s="72">
        <f>[28]principales_paises_p3!E15/1000000</f>
        <v>23.856262999999998</v>
      </c>
      <c r="F21" s="72">
        <f>[28]principales_paises_p3!F15/1000000</f>
        <v>29.099229999999999</v>
      </c>
      <c r="G21" s="72">
        <f>[28]principales_paises_p3!G15/1000000</f>
        <v>40.089564000000003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[28]principales_paises_p3!C16/1000000</f>
        <v>156.93847199999999</v>
      </c>
      <c r="D22" s="72">
        <f>[28]principales_paises_p3!D16/1000000</f>
        <v>53.012608</v>
      </c>
      <c r="E22" s="72">
        <f>[28]principales_paises_p3!E16/1000000</f>
        <v>22.582156999999999</v>
      </c>
      <c r="F22" s="72">
        <f>[28]principales_paises_p3!F16/1000000</f>
        <v>31.811889999999998</v>
      </c>
      <c r="G22" s="72">
        <f>[28]principales_paises_p3!G16/1000000</f>
        <v>41.464419999999997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[28]principales_paises_p3!C17/1000000</f>
        <v>121.374878</v>
      </c>
      <c r="D23" s="72">
        <f>[28]principales_paises_p3!D17/1000000</f>
        <v>50.678722999999998</v>
      </c>
      <c r="E23" s="72">
        <f>[28]principales_paises_p3!E17/1000000</f>
        <v>20.451153999999999</v>
      </c>
      <c r="F23" s="72">
        <f>[28]principales_paises_p3!F17/1000000</f>
        <v>37.852142000000001</v>
      </c>
      <c r="G23" s="72">
        <f>[28]principales_paises_p3!G17/1000000</f>
        <v>35.857539000000003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[28]principales_paises_p3!C18/1000000</f>
        <v>121.7422</v>
      </c>
      <c r="D24" s="72">
        <f>[28]principales_paises_p3!D18/1000000</f>
        <v>37.412286000000002</v>
      </c>
      <c r="E24" s="72">
        <f>[28]principales_paises_p3!E18/1000000</f>
        <v>28.757567999999999</v>
      </c>
      <c r="F24" s="72">
        <f>[28]principales_paises_p3!F18/1000000</f>
        <v>57.371884999999999</v>
      </c>
      <c r="G24" s="72">
        <f>[28]principales_paises_p3!G18/1000000</f>
        <v>30.905301999999999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1328.27162</v>
      </c>
      <c r="D25" s="74">
        <f t="shared" si="34"/>
        <v>821.51370000000009</v>
      </c>
      <c r="E25" s="74">
        <f t="shared" si="34"/>
        <v>345.38066099999992</v>
      </c>
      <c r="F25" s="74">
        <f t="shared" si="34"/>
        <v>365.987278</v>
      </c>
      <c r="G25" s="74">
        <f>SUM(G13:G24)</f>
        <v>444.32272399999999</v>
      </c>
      <c r="H25" s="88">
        <f>SUM(H13:H24)</f>
        <v>187.86482100000003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-38.151678645366218</v>
      </c>
      <c r="E26" s="74">
        <f>(E25/D25-1)*100</f>
        <v>-57.958015672775765</v>
      </c>
      <c r="F26" s="74">
        <f>(F25/E25-1)*100</f>
        <v>5.9663494013638685</v>
      </c>
      <c r="G26" s="74">
        <f>(G25/F25-1)*100</f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841.46236499999998</v>
      </c>
      <c r="D28" s="74">
        <f t="shared" ref="D28:E28" si="35">SUMPRODUCT(D13:D24,$N$13:$N$24)</f>
        <v>611.27735600000005</v>
      </c>
      <c r="E28" s="74">
        <f t="shared" si="35"/>
        <v>249.73351899999997</v>
      </c>
      <c r="F28" s="74">
        <f>SUMPRODUCT(F13:F24,$N$13:$N$24)</f>
        <v>209.85213099999999</v>
      </c>
      <c r="G28" s="74">
        <f>SUMPRODUCT(G13:G24,$N$13:$N$24)</f>
        <v>296.005899</v>
      </c>
      <c r="H28" s="30">
        <f>SUMPRODUCT(H13:H24,$N$13:$N$24)</f>
        <v>187.86482100000003</v>
      </c>
      <c r="I28" s="70">
        <f>IF(OR(OR(H28=0,G28=0),H28=""),"",(H28/G28-1)*100)</f>
        <v>-36.533419896473063</v>
      </c>
      <c r="J28" s="30">
        <f>IF(OR(OR(H28=0,G28=0),H28=""),"",H28/G28*100)</f>
        <v>63.466580103526937</v>
      </c>
      <c r="K28" s="30">
        <f>IF(OR(OR(H28=0,G28=0),G28=""),"",(G28/F28-1)*100)</f>
        <v>41.054511855302536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-27.355354032975665</v>
      </c>
      <c r="E29" s="74">
        <f t="shared" ref="E29:H29" si="36">(E28/D28-1)*100</f>
        <v>-59.145628976971309</v>
      </c>
      <c r="F29" s="74">
        <f t="shared" si="36"/>
        <v>-15.969577555986781</v>
      </c>
      <c r="G29" s="74">
        <f t="shared" si="36"/>
        <v>41.054511855302536</v>
      </c>
      <c r="H29" s="30">
        <f t="shared" si="36"/>
        <v>-36.533419896473063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[29]principales_paises_p4!C7/1000000</f>
        <v>8.3424049999999994</v>
      </c>
      <c r="D13" s="72">
        <f>[29]principales_paises_p4!D7/1000000</f>
        <v>11.736157</v>
      </c>
      <c r="E13" s="72">
        <f>[29]principales_paises_p4!E7/1000000</f>
        <v>8.0774799999999995</v>
      </c>
      <c r="F13" s="72">
        <f>[29]principales_paises_p4!F7/1000000</f>
        <v>10.466155000000001</v>
      </c>
      <c r="G13" s="72">
        <f>[29]principales_paises_p4!G7/1000000</f>
        <v>14.644738</v>
      </c>
      <c r="H13" s="74">
        <f>[29]principales_paises_p4!H7/1000000</f>
        <v>10.74507</v>
      </c>
      <c r="I13" s="72">
        <f t="shared" ref="I13" si="0">IF(OR(OR(H13=0,G13=0),H13=""),"",(H13/G13-1)*100)</f>
        <v>-26.628458631352782</v>
      </c>
      <c r="J13" s="72">
        <f t="shared" ref="J13" si="1">IF(OR(OR(H13=0,G13=0),H13=""),"",H13/G13*100)</f>
        <v>73.371541368647215</v>
      </c>
      <c r="K13" s="72">
        <f t="shared" ref="K13" si="2">IF(OR(OR(H13=0,G13=0),H13=""),"",(G13/F13-1)*100)</f>
        <v>39.924719249810451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[29]principales_paises_p4!C8/1000000</f>
        <v>8.6066699999999994</v>
      </c>
      <c r="D14" s="72">
        <f>[29]principales_paises_p4!D8/1000000</f>
        <v>14.210262</v>
      </c>
      <c r="E14" s="72">
        <f>[29]principales_paises_p4!E8/1000000</f>
        <v>11.090766</v>
      </c>
      <c r="F14" s="72">
        <f>[29]principales_paises_p4!F8/1000000</f>
        <v>11.46701</v>
      </c>
      <c r="G14" s="72">
        <f>[29]principales_paises_p4!G8/1000000</f>
        <v>22.681899000000001</v>
      </c>
      <c r="H14" s="74">
        <f>[29]principales_paises_p4!H8/1000000</f>
        <v>13.259814</v>
      </c>
      <c r="I14" s="72">
        <f t="shared" ref="I14" si="4">IF(OR(OR(H14=0,G14=0),H14=""),"",(H14/G14-1)*100)</f>
        <v>-41.540106496374051</v>
      </c>
      <c r="J14" s="72">
        <f t="shared" ref="J14" si="5">IF(OR(OR(H14=0,G14=0),H14=""),"",H14/G14*100)</f>
        <v>58.459893503625949</v>
      </c>
      <c r="K14" s="72">
        <f t="shared" ref="K14" si="6">IF(OR(OR(H14=0,G14=0),H14=""),"",(G14/F14-1)*100)</f>
        <v>97.801336180922505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[29]principales_paises_p4!C9/1000000</f>
        <v>11.225402000000001</v>
      </c>
      <c r="D15" s="72">
        <f>[29]principales_paises_p4!D9/1000000</f>
        <v>15.501887</v>
      </c>
      <c r="E15" s="72">
        <f>[29]principales_paises_p4!E9/1000000</f>
        <v>15.380046</v>
      </c>
      <c r="F15" s="72">
        <f>[29]principales_paises_p4!F9/1000000</f>
        <v>14.586164</v>
      </c>
      <c r="G15" s="72">
        <f>[29]principales_paises_p4!G9/1000000</f>
        <v>12.107936</v>
      </c>
      <c r="H15" s="74">
        <f>[29]principales_paises_p4!H9/1000000</f>
        <v>13.013688</v>
      </c>
      <c r="I15" s="72">
        <f t="shared" ref="I15" si="7">IF(OR(OR(H15=0,G15=0),H15=""),"",(H15/G15-1)*100)</f>
        <v>7.4806474034880832</v>
      </c>
      <c r="J15" s="72">
        <f t="shared" ref="J15" si="8">IF(OR(OR(H15=0,G15=0),H15=""),"",H15/G15*100)</f>
        <v>107.48064740348808</v>
      </c>
      <c r="K15" s="72">
        <f t="shared" ref="K15" si="9">IF(OR(OR(H15=0,G15=0),H15=""),"",(G15/F15-1)*100)</f>
        <v>-16.990265569480776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[29]principales_paises_p4!C10/1000000</f>
        <v>8.8838899999999992</v>
      </c>
      <c r="D16" s="72">
        <f>[29]principales_paises_p4!D10/1000000</f>
        <v>13.557003999999999</v>
      </c>
      <c r="E16" s="72">
        <f>[29]principales_paises_p4!E10/1000000</f>
        <v>11.431915</v>
      </c>
      <c r="F16" s="72">
        <f>[29]principales_paises_p4!F10/1000000</f>
        <v>13.55316</v>
      </c>
      <c r="G16" s="72">
        <f>[29]principales_paises_p4!G10/1000000</f>
        <v>11.719319</v>
      </c>
      <c r="H16" s="74">
        <f>[29]principales_paises_p4!H10/1000000</f>
        <v>16.577059999999999</v>
      </c>
      <c r="I16" s="72">
        <f t="shared" ref="I16" si="10">IF(OR(OR(H16=0,G16=0),H16=""),"",(H16/G16-1)*100)</f>
        <v>41.450710574564951</v>
      </c>
      <c r="J16" s="72">
        <f t="shared" ref="J16" si="11">IF(OR(OR(H16=0,G16=0),H16=""),"",H16/G16*100)</f>
        <v>141.45071057456497</v>
      </c>
      <c r="K16" s="72">
        <f t="shared" ref="K16" si="12">IF(OR(OR(H16=0,G16=0),H16=""),"",(G16/F16-1)*100)</f>
        <v>-13.530726413618666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[29]principales_paises_p4!C11/1000000</f>
        <v>12.747664</v>
      </c>
      <c r="D17" s="72">
        <f>[29]principales_paises_p4!D11/1000000</f>
        <v>10.042947</v>
      </c>
      <c r="E17" s="72">
        <f>[29]principales_paises_p4!E11/1000000</f>
        <v>12.473110999999999</v>
      </c>
      <c r="F17" s="72">
        <f>[29]principales_paises_p4!F11/1000000</f>
        <v>11.109699000000001</v>
      </c>
      <c r="G17" s="72">
        <f>[29]principales_paises_p4!G11/1000000</f>
        <v>16.358699999999999</v>
      </c>
      <c r="H17" s="74">
        <f>[29]principales_paises_p4!H11/1000000</f>
        <v>17.068255000000001</v>
      </c>
      <c r="I17" s="72">
        <f t="shared" ref="I17:I18" si="13">IF(OR(OR(H17=0,G17=0),H17=""),"",(H17/G17-1)*100)</f>
        <v>4.337477916949406</v>
      </c>
      <c r="J17" s="72">
        <f t="shared" ref="J17:J18" si="14">IF(OR(OR(H17=0,G17=0),H17=""),"",H17/G17*100)</f>
        <v>104.33747791694941</v>
      </c>
      <c r="K17" s="72">
        <f t="shared" ref="K17:K18" si="15">IF(OR(OR(H17=0,G17=0),H17=""),"",(G17/F17-1)*100)</f>
        <v>47.247013622961333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[29]principales_paises_p4!C12/1000000</f>
        <v>17.042643000000002</v>
      </c>
      <c r="D18" s="72">
        <f>[29]principales_paises_p4!D12/1000000</f>
        <v>8.9333530000000003</v>
      </c>
      <c r="E18" s="72">
        <f>[29]principales_paises_p4!E12/1000000</f>
        <v>16.859815000000001</v>
      </c>
      <c r="F18" s="72">
        <f>[29]principales_paises_p4!F12/1000000</f>
        <v>12.944314</v>
      </c>
      <c r="G18" s="72">
        <f>[29]principales_paises_p4!G12/1000000</f>
        <v>14.731786</v>
      </c>
      <c r="H18" s="74">
        <f>[29]principales_paises_p4!H12/1000000</f>
        <v>14.797414</v>
      </c>
      <c r="I18" s="72">
        <f t="shared" si="13"/>
        <v>0.44548570010451982</v>
      </c>
      <c r="J18" s="72">
        <f t="shared" si="14"/>
        <v>100.44548570010451</v>
      </c>
      <c r="K18" s="72">
        <f t="shared" si="15"/>
        <v>13.808935722665549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[29]principales_paises_p4!C13/1000000</f>
        <v>12.808574</v>
      </c>
      <c r="D19" s="72">
        <f>[29]principales_paises_p4!D13/1000000</f>
        <v>11.255584000000001</v>
      </c>
      <c r="E19" s="72">
        <f>[29]principales_paises_p4!E13/1000000</f>
        <v>12.906547</v>
      </c>
      <c r="F19" s="72">
        <f>[29]principales_paises_p4!F13/1000000</f>
        <v>14.105468</v>
      </c>
      <c r="G19" s="72">
        <f>[29]principales_paises_p4!G13/1000000</f>
        <v>17.658166000000001</v>
      </c>
      <c r="H19" s="74">
        <f>[29]principales_paises_p4!H13/1000000</f>
        <v>17.000983999999999</v>
      </c>
      <c r="I19" s="72">
        <f t="shared" ref="I19" si="16">IF(OR(OR(H19=0,G19=0),H19=""),"",(H19/G19-1)*100)</f>
        <v>-3.7216888775425616</v>
      </c>
      <c r="J19" s="72">
        <f t="shared" ref="J19" si="17">IF(OR(OR(H19=0,G19=0),H19=""),"",H19/G19*100)</f>
        <v>96.278311122457438</v>
      </c>
      <c r="K19" s="72">
        <f t="shared" ref="K19" si="18">IF(OR(OR(H19=0,G19=0),H19=""),"",(G19/F19-1)*100)</f>
        <v>25.186672289072586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[29]principales_paises_p4!C14/1000000</f>
        <v>8.0524939999999994</v>
      </c>
      <c r="D20" s="72">
        <f>[29]principales_paises_p4!D14/1000000</f>
        <v>10.300591000000001</v>
      </c>
      <c r="E20" s="72">
        <f>[29]principales_paises_p4!E14/1000000</f>
        <v>10.382061</v>
      </c>
      <c r="F20" s="72">
        <f>[29]principales_paises_p4!F14/1000000</f>
        <v>14.068975999999999</v>
      </c>
      <c r="G20" s="72">
        <f>[29]principales_paises_p4!G14/1000000</f>
        <v>12.441539000000001</v>
      </c>
      <c r="H20" s="30">
        <f>[29]principales_paises_p4!H14/1000000</f>
        <v>14.011422</v>
      </c>
      <c r="I20" s="24">
        <f t="shared" ref="I20" si="19">IF(OR(OR(H20=0,G20=0),H20=""),"",(H20/G20-1)*100)</f>
        <v>12.618077233049707</v>
      </c>
      <c r="J20" s="24">
        <f t="shared" ref="J20" si="20">IF(OR(OR(H20=0,G20=0),H20=""),"",H20/G20*100)</f>
        <v>112.6180772330497</v>
      </c>
      <c r="K20" s="24">
        <f t="shared" ref="K20" si="21">IF(OR(OR(H20=0,G20=0),H20=""),"",(G20/F20-1)*100)</f>
        <v>-11.567558292799696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[29]principales_paises_p4!C15/1000000</f>
        <v>10.830442</v>
      </c>
      <c r="D21" s="72">
        <f>[29]principales_paises_p4!D15/1000000</f>
        <v>15.996441000000001</v>
      </c>
      <c r="E21" s="72">
        <f>[29]principales_paises_p4!E15/1000000</f>
        <v>12.737722</v>
      </c>
      <c r="F21" s="72">
        <f>[29]principales_paises_p4!F15/1000000</f>
        <v>13.490100999999999</v>
      </c>
      <c r="G21" s="72">
        <f>[29]principales_paises_p4!G15/1000000</f>
        <v>17.142647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[29]principales_paises_p4!C16/1000000</f>
        <v>14.236846999999999</v>
      </c>
      <c r="D22" s="72">
        <f>[29]principales_paises_p4!D16/1000000</f>
        <v>18.229084</v>
      </c>
      <c r="E22" s="72">
        <f>[29]principales_paises_p4!E16/1000000</f>
        <v>11.15245</v>
      </c>
      <c r="F22" s="72">
        <f>[29]principales_paises_p4!F16/1000000</f>
        <v>17.300744000000002</v>
      </c>
      <c r="G22" s="72">
        <f>[29]principales_paises_p4!G16/1000000</f>
        <v>17.954339000000001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[29]principales_paises_p4!C17/1000000</f>
        <v>12.102952</v>
      </c>
      <c r="D23" s="72">
        <f>[29]principales_paises_p4!D17/1000000</f>
        <v>10.862660999999999</v>
      </c>
      <c r="E23" s="72">
        <f>[29]principales_paises_p4!E17/1000000</f>
        <v>12.443973</v>
      </c>
      <c r="F23" s="72">
        <f>[29]principales_paises_p4!F17/1000000</f>
        <v>46.581459000000002</v>
      </c>
      <c r="G23" s="72">
        <f>[29]principales_paises_p4!G17/1000000</f>
        <v>15.759966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[29]principales_paises_p4!C18/1000000</f>
        <v>15.657928</v>
      </c>
      <c r="D24" s="72">
        <f>[29]principales_paises_p4!D18/1000000</f>
        <v>17.062716000000002</v>
      </c>
      <c r="E24" s="72">
        <f>[29]principales_paises_p4!E18/1000000</f>
        <v>11.282805</v>
      </c>
      <c r="F24" s="72">
        <f>[29]principales_paises_p4!F18/1000000</f>
        <v>52.938628000000001</v>
      </c>
      <c r="G24" s="72">
        <f>[29]principales_paises_p4!G18/1000000</f>
        <v>18.438974999999999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140.53791100000001</v>
      </c>
      <c r="D25" s="74">
        <f t="shared" si="34"/>
        <v>157.68868699999999</v>
      </c>
      <c r="E25" s="74">
        <f t="shared" si="34"/>
        <v>146.21869100000001</v>
      </c>
      <c r="F25" s="74">
        <f t="shared" si="34"/>
        <v>232.61187799999999</v>
      </c>
      <c r="G25" s="74">
        <f>SUM(G13:G24)</f>
        <v>191.64001000000002</v>
      </c>
      <c r="H25" s="88">
        <f>SUM(H13:H24)</f>
        <v>116.47370699999999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12.203665102151673</v>
      </c>
      <c r="E26" s="74">
        <f>(E25/D25-1)*100</f>
        <v>-7.2738230105245165</v>
      </c>
      <c r="F26" s="74">
        <f>(F25/E25-1)*100</f>
        <v>59.084913432852424</v>
      </c>
      <c r="G26" s="74">
        <f>(G25/F25-1)*100</f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87.709742000000006</v>
      </c>
      <c r="D28" s="74">
        <f t="shared" ref="D28:E28" si="35">SUMPRODUCT(D13:D24,$N$13:$N$24)</f>
        <v>95.537785</v>
      </c>
      <c r="E28" s="74">
        <f t="shared" si="35"/>
        <v>98.601741000000004</v>
      </c>
      <c r="F28" s="74">
        <f>SUMPRODUCT(F13:F24,$N$13:$N$24)</f>
        <v>102.30094600000001</v>
      </c>
      <c r="G28" s="74">
        <f>SUMPRODUCT(G13:G24,$N$13:$N$24)</f>
        <v>122.34408300000001</v>
      </c>
      <c r="H28" s="30">
        <f>SUMPRODUCT(H13:H24,$N$13:$N$24)</f>
        <v>116.47370699999999</v>
      </c>
      <c r="I28" s="70">
        <f>IF(OR(OR(H28=0,G28=0),H28=""),"",(H28/G28-1)*100)</f>
        <v>-4.7982508479793129</v>
      </c>
      <c r="J28" s="30">
        <f>IF(OR(OR(H28=0,G28=0),H28=""),"",H28/G28*100)</f>
        <v>95.201749152020682</v>
      </c>
      <c r="K28" s="30">
        <f>IF(OR(OR(H28=0,G28=0),G28=""),"",(G28/F28-1)*100)</f>
        <v>19.592328110045031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8.9249413138166478</v>
      </c>
      <c r="E29" s="74">
        <f t="shared" ref="E29:H29" si="36">(E28/D28-1)*100</f>
        <v>3.2070620016991125</v>
      </c>
      <c r="F29" s="74">
        <f t="shared" si="36"/>
        <v>3.7516629650585998</v>
      </c>
      <c r="G29" s="74">
        <f t="shared" si="36"/>
        <v>19.592328110045031</v>
      </c>
      <c r="H29" s="30">
        <f t="shared" si="36"/>
        <v>-4.7982508479793129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[30]principales_paises_p5!C7/1000000</f>
        <v>3.6366879999999999</v>
      </c>
      <c r="D13" s="72">
        <f>[30]principales_paises_p5!D7/1000000</f>
        <v>6.0076280000000004</v>
      </c>
      <c r="E13" s="72">
        <f>[30]principales_paises_p5!E7/1000000</f>
        <v>9.870317</v>
      </c>
      <c r="F13" s="72">
        <f>[30]principales_paises_p5!F7/1000000</f>
        <v>4.3880270000000001</v>
      </c>
      <c r="G13" s="72">
        <f>[30]principales_paises_p5!G7/1000000</f>
        <v>8.4265589999999992</v>
      </c>
      <c r="H13" s="74">
        <f>[30]principales_paises_p5!H7/1000000</f>
        <v>8.1521150000000002</v>
      </c>
      <c r="I13" s="72">
        <f t="shared" ref="I13" si="0">IF(OR(OR(H13=0,G13=0),H13=""),"",(H13/G13-1)*100)</f>
        <v>-3.2568928788132778</v>
      </c>
      <c r="J13" s="72">
        <f t="shared" ref="J13" si="1">IF(OR(OR(H13=0,G13=0),H13=""),"",H13/G13*100)</f>
        <v>96.743107121186725</v>
      </c>
      <c r="K13" s="72">
        <f t="shared" ref="K13" si="2">IF(OR(OR(H13=0,G13=0),H13=""),"",(G13/F13-1)*100)</f>
        <v>92.035258670924279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[30]principales_paises_p5!C8/1000000</f>
        <v>4.6121540000000003</v>
      </c>
      <c r="D14" s="72">
        <f>[30]principales_paises_p5!D8/1000000</f>
        <v>6.7437589999999998</v>
      </c>
      <c r="E14" s="72">
        <f>[30]principales_paises_p5!E8/1000000</f>
        <v>5.8080049999999996</v>
      </c>
      <c r="F14" s="72">
        <f>[30]principales_paises_p5!F8/1000000</f>
        <v>8.8675580000000007</v>
      </c>
      <c r="G14" s="72">
        <f>[30]principales_paises_p5!G8/1000000</f>
        <v>17.505901000000001</v>
      </c>
      <c r="H14" s="74">
        <f>[30]principales_paises_p5!H8/1000000</f>
        <v>9.2659909999999996</v>
      </c>
      <c r="I14" s="72">
        <f t="shared" ref="I14" si="4">IF(OR(OR(H14=0,G14=0),H14=""),"",(H14/G14-1)*100)</f>
        <v>-47.069328222523374</v>
      </c>
      <c r="J14" s="72">
        <f t="shared" ref="J14" si="5">IF(OR(OR(H14=0,G14=0),H14=""),"",H14/G14*100)</f>
        <v>52.930671777476626</v>
      </c>
      <c r="K14" s="72">
        <f t="shared" ref="K14" si="6">IF(OR(OR(H14=0,G14=0),H14=""),"",(G14/F14-1)*100)</f>
        <v>97.415128268684569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[30]principales_paises_p5!C9/1000000</f>
        <v>5.70702</v>
      </c>
      <c r="D15" s="72">
        <f>[30]principales_paises_p5!D9/1000000</f>
        <v>9.2325870000000005</v>
      </c>
      <c r="E15" s="72">
        <f>[30]principales_paises_p5!E9/1000000</f>
        <v>8.6278570000000006</v>
      </c>
      <c r="F15" s="72">
        <f>[30]principales_paises_p5!F9/1000000</f>
        <v>36.973269999999999</v>
      </c>
      <c r="G15" s="72">
        <f>[30]principales_paises_p5!G9/1000000</f>
        <v>13.201874999999999</v>
      </c>
      <c r="H15" s="74">
        <f>[30]principales_paises_p5!H9/1000000</f>
        <v>8.3300520000000002</v>
      </c>
      <c r="I15" s="72">
        <f t="shared" ref="I15" si="7">IF(OR(OR(H15=0,G15=0),H15=""),"",(H15/G15-1)*100)</f>
        <v>-36.902508166453629</v>
      </c>
      <c r="J15" s="72">
        <f t="shared" ref="J15" si="8">IF(OR(OR(H15=0,G15=0),H15=""),"",H15/G15*100)</f>
        <v>63.097491833546371</v>
      </c>
      <c r="K15" s="72">
        <f t="shared" ref="K15" si="9">IF(OR(OR(H15=0,G15=0),H15=""),"",(G15/F15-1)*100)</f>
        <v>-64.293461195074173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[30]principales_paises_p5!C10/1000000</f>
        <v>6.3307900000000004</v>
      </c>
      <c r="D16" s="72">
        <f>[30]principales_paises_p5!D10/1000000</f>
        <v>5.5888229999999997</v>
      </c>
      <c r="E16" s="72">
        <f>[30]principales_paises_p5!E10/1000000</f>
        <v>5.9465599999999998</v>
      </c>
      <c r="F16" s="72">
        <f>[30]principales_paises_p5!F10/1000000</f>
        <v>16.440020000000001</v>
      </c>
      <c r="G16" s="72">
        <f>[30]principales_paises_p5!G10/1000000</f>
        <v>9.7260200000000001</v>
      </c>
      <c r="H16" s="74">
        <f>[30]principales_paises_p5!H10/1000000</f>
        <v>16.027781000000001</v>
      </c>
      <c r="I16" s="72">
        <f t="shared" ref="I16" si="10">IF(OR(OR(H16=0,G16=0),H16=""),"",(H16/G16-1)*100)</f>
        <v>64.792803222695426</v>
      </c>
      <c r="J16" s="72">
        <f t="shared" ref="J16" si="11">IF(OR(OR(H16=0,G16=0),H16=""),"",H16/G16*100)</f>
        <v>164.79280322269543</v>
      </c>
      <c r="K16" s="72">
        <f t="shared" ref="K16" si="12">IF(OR(OR(H16=0,G16=0),H16=""),"",(G16/F16-1)*100)</f>
        <v>-40.839366375466703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[30]principales_paises_p5!C11/1000000</f>
        <v>5.915311</v>
      </c>
      <c r="D17" s="72">
        <f>[30]principales_paises_p5!D11/1000000</f>
        <v>7.9389409999999998</v>
      </c>
      <c r="E17" s="72">
        <f>[30]principales_paises_p5!E11/1000000</f>
        <v>6.1429229999999997</v>
      </c>
      <c r="F17" s="72">
        <f>[30]principales_paises_p5!F11/1000000</f>
        <v>6.9146830000000001</v>
      </c>
      <c r="G17" s="72">
        <f>[30]principales_paises_p5!G11/1000000</f>
        <v>12.363204</v>
      </c>
      <c r="H17" s="74">
        <f>[30]principales_paises_p5!H11/1000000</f>
        <v>19.020409000000001</v>
      </c>
      <c r="I17" s="72">
        <f t="shared" ref="I17:I18" si="13">IF(OR(OR(H17=0,G17=0),H17=""),"",(H17/G17-1)*100)</f>
        <v>53.846923499765921</v>
      </c>
      <c r="J17" s="72">
        <f t="shared" ref="J17:J18" si="14">IF(OR(OR(H17=0,G17=0),H17=""),"",H17/G17*100)</f>
        <v>153.84692349976592</v>
      </c>
      <c r="K17" s="72">
        <f t="shared" ref="K17:K18" si="15">IF(OR(OR(H17=0,G17=0),H17=""),"",(G17/F17-1)*100)</f>
        <v>78.796396016997434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[30]principales_paises_p5!C12/1000000</f>
        <v>6.1667230000000002</v>
      </c>
      <c r="D18" s="72">
        <f>[30]principales_paises_p5!D12/1000000</f>
        <v>5.8381369999999997</v>
      </c>
      <c r="E18" s="72">
        <f>[30]principales_paises_p5!E12/1000000</f>
        <v>7.2944389999999997</v>
      </c>
      <c r="F18" s="72">
        <f>[30]principales_paises_p5!F12/1000000</f>
        <v>19.333286999999999</v>
      </c>
      <c r="G18" s="72">
        <f>[30]principales_paises_p5!G12/1000000</f>
        <v>14.884333</v>
      </c>
      <c r="H18" s="74">
        <f>[30]principales_paises_p5!H12/1000000</f>
        <v>18.289308999999999</v>
      </c>
      <c r="I18" s="72">
        <f t="shared" si="13"/>
        <v>22.876241750302139</v>
      </c>
      <c r="J18" s="72">
        <f t="shared" si="14"/>
        <v>122.87624175030214</v>
      </c>
      <c r="K18" s="72">
        <f t="shared" si="15"/>
        <v>-23.011886183658259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[30]principales_paises_p5!C13/1000000</f>
        <v>7.973268</v>
      </c>
      <c r="D19" s="72">
        <f>[30]principales_paises_p5!D13/1000000</f>
        <v>5.4738179999999996</v>
      </c>
      <c r="E19" s="72">
        <f>[30]principales_paises_p5!E13/1000000</f>
        <v>8.0384460000000004</v>
      </c>
      <c r="F19" s="72">
        <f>[30]principales_paises_p5!F13/1000000</f>
        <v>13.900214</v>
      </c>
      <c r="G19" s="72">
        <f>[30]principales_paises_p5!G13/1000000</f>
        <v>17.770244999999999</v>
      </c>
      <c r="H19" s="74">
        <f>[30]principales_paises_p5!H13/1000000</f>
        <v>16.064495999999998</v>
      </c>
      <c r="I19" s="72">
        <f t="shared" ref="I19" si="16">IF(OR(OR(H19=0,G19=0),H19=""),"",(H19/G19-1)*100)</f>
        <v>-9.5989053611810089</v>
      </c>
      <c r="J19" s="72">
        <f t="shared" ref="J19" si="17">IF(OR(OR(H19=0,G19=0),H19=""),"",H19/G19*100)</f>
        <v>90.401094638818989</v>
      </c>
      <c r="K19" s="72">
        <f t="shared" ref="K19" si="18">IF(OR(OR(H19=0,G19=0),H19=""),"",(G19/F19-1)*100)</f>
        <v>27.841521001043578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[30]principales_paises_p5!C14/1000000</f>
        <v>6.670693</v>
      </c>
      <c r="D20" s="72">
        <f>[30]principales_paises_p5!D14/1000000</f>
        <v>5.3907749999999997</v>
      </c>
      <c r="E20" s="72">
        <f>[30]principales_paises_p5!E14/1000000</f>
        <v>6.8836500000000003</v>
      </c>
      <c r="F20" s="72">
        <f>[30]principales_paises_p5!F14/1000000</f>
        <v>20.176176999999999</v>
      </c>
      <c r="G20" s="72">
        <f>[30]principales_paises_p5!G14/1000000</f>
        <v>12.200416000000001</v>
      </c>
      <c r="H20" s="30">
        <f>[30]principales_paises_p5!H14/1000000</f>
        <v>15.193678</v>
      </c>
      <c r="I20" s="24">
        <f t="shared" ref="I20" si="19">IF(OR(OR(H20=0,G20=0),H20=""),"",(H20/G20-1)*100)</f>
        <v>24.534097853712524</v>
      </c>
      <c r="J20" s="24">
        <f t="shared" ref="J20" si="20">IF(OR(OR(H20=0,G20=0),H20=""),"",H20/G20*100)</f>
        <v>124.53409785371252</v>
      </c>
      <c r="K20" s="24">
        <f t="shared" ref="K20" si="21">IF(OR(OR(H20=0,G20=0),H20=""),"",(G20/F20-1)*100)</f>
        <v>-39.530585997535603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[30]principales_paises_p5!C15/1000000</f>
        <v>8.8089320000000004</v>
      </c>
      <c r="D21" s="72">
        <f>[30]principales_paises_p5!D15/1000000</f>
        <v>5.8382719999999999</v>
      </c>
      <c r="E21" s="72">
        <f>[30]principales_paises_p5!E15/1000000</f>
        <v>6.7679720000000003</v>
      </c>
      <c r="F21" s="72">
        <f>[30]principales_paises_p5!F15/1000000</f>
        <v>17.140346999999998</v>
      </c>
      <c r="G21" s="72">
        <f>[30]principales_paises_p5!G15/1000000</f>
        <v>13.476181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[30]principales_paises_p5!C16/1000000</f>
        <v>17.392385000000001</v>
      </c>
      <c r="D22" s="72">
        <f>[30]principales_paises_p5!D16/1000000</f>
        <v>5.263147</v>
      </c>
      <c r="E22" s="72">
        <f>[30]principales_paises_p5!E16/1000000</f>
        <v>5.6719970000000002</v>
      </c>
      <c r="F22" s="72">
        <f>[30]principales_paises_p5!F16/1000000</f>
        <v>15.749983</v>
      </c>
      <c r="G22" s="72">
        <f>[30]principales_paises_p5!G16/1000000</f>
        <v>15.140528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[30]principales_paises_p5!C17/1000000</f>
        <v>5.5691040000000003</v>
      </c>
      <c r="D23" s="72">
        <f>[30]principales_paises_p5!D17/1000000</f>
        <v>6.8560369999999997</v>
      </c>
      <c r="E23" s="72">
        <f>[30]principales_paises_p5!E17/1000000</f>
        <v>7.2842820000000001</v>
      </c>
      <c r="F23" s="72">
        <f>[30]principales_paises_p5!F17/1000000</f>
        <v>12.603483000000001</v>
      </c>
      <c r="G23" s="72">
        <f>[30]principales_paises_p5!G17/1000000</f>
        <v>8.9444119999999998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[30]principales_paises_p5!C18/1000000</f>
        <v>7.4472040000000002</v>
      </c>
      <c r="D24" s="72">
        <f>[30]principales_paises_p5!D18/1000000</f>
        <v>8.4448980000000002</v>
      </c>
      <c r="E24" s="72">
        <f>[30]principales_paises_p5!E18/1000000</f>
        <v>7.4912400000000003</v>
      </c>
      <c r="F24" s="72">
        <f>[30]principales_paises_p5!F18/1000000</f>
        <v>11.920524</v>
      </c>
      <c r="G24" s="72">
        <f>[30]principales_paises_p5!G18/1000000</f>
        <v>9.6541619999999995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86.230271999999985</v>
      </c>
      <c r="D25" s="74">
        <f t="shared" si="34"/>
        <v>78.616821999999999</v>
      </c>
      <c r="E25" s="74">
        <f t="shared" si="34"/>
        <v>85.827688000000009</v>
      </c>
      <c r="F25" s="74">
        <f t="shared" si="34"/>
        <v>184.40757299999999</v>
      </c>
      <c r="G25" s="74">
        <f>SUM(G13:G24)</f>
        <v>153.293836</v>
      </c>
      <c r="H25" s="88">
        <f>SUM(H13:H24)</f>
        <v>110.34383100000002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-8.8292079143621258</v>
      </c>
      <c r="E26" s="74">
        <f>(E25/D25-1)*100</f>
        <v>9.1721667405991081</v>
      </c>
      <c r="F26" s="74">
        <f>(F25/E25-1)*100</f>
        <v>114.85790576113382</v>
      </c>
      <c r="G26" s="74">
        <f>(G25/F25-1)*100</f>
        <v>-16.872266411748715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47.012646999999994</v>
      </c>
      <c r="D28" s="74">
        <f t="shared" ref="D28:E28" si="35">SUMPRODUCT(D13:D24,$N$13:$N$24)</f>
        <v>52.214467999999997</v>
      </c>
      <c r="E28" s="74">
        <f t="shared" si="35"/>
        <v>58.612197000000002</v>
      </c>
      <c r="F28" s="74">
        <f>SUMPRODUCT(F13:F24,$N$13:$N$24)</f>
        <v>126.993236</v>
      </c>
      <c r="G28" s="74">
        <f>SUMPRODUCT(G13:G24,$N$13:$N$24)</f>
        <v>106.078553</v>
      </c>
      <c r="H28" s="30">
        <f>SUMPRODUCT(H13:H24,$N$13:$N$24)</f>
        <v>110.34383100000002</v>
      </c>
      <c r="I28" s="70">
        <f>IF(OR(OR(H28=0,G28=0),H28=""),"",(H28/G28-1)*100)</f>
        <v>4.0208674415082024</v>
      </c>
      <c r="J28" s="30">
        <f>IF(OR(OR(H28=0,G28=0),H28=""),"",H28/G28*100)</f>
        <v>104.0208674415082</v>
      </c>
      <c r="K28" s="30">
        <f>IF(OR(OR(H28=0,G28=0),G28=""),"",(G28/F28-1)*100)</f>
        <v>-16.469131474057409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11.064726902103605</v>
      </c>
      <c r="E29" s="74">
        <f t="shared" ref="E29:H29" si="36">(E28/D28-1)*100</f>
        <v>12.252789782326246</v>
      </c>
      <c r="F29" s="74">
        <f t="shared" si="36"/>
        <v>116.66690979012438</v>
      </c>
      <c r="G29" s="74">
        <f t="shared" si="36"/>
        <v>-16.469131474057409</v>
      </c>
      <c r="H29" s="30">
        <f t="shared" si="36"/>
        <v>4.0208674415082024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[31]historico_ciiu!C7/1000000</f>
        <v>5.2012679999999998</v>
      </c>
      <c r="D13" s="72">
        <f>[31]historico_ciiu!D7/1000000</f>
        <v>3.4512909999999999</v>
      </c>
      <c r="E13" s="72">
        <f>[31]historico_ciiu!E7/1000000</f>
        <v>19.90296</v>
      </c>
      <c r="F13" s="72">
        <f>[31]historico_ciiu!F7/1000000</f>
        <v>45.216374999999999</v>
      </c>
      <c r="G13" s="72">
        <f>[31]historico_ciiu!G7/1000000</f>
        <v>76.730672999999996</v>
      </c>
      <c r="H13" s="74">
        <f>[31]historico_ciiu!H7/1000000</f>
        <v>35.102352000000003</v>
      </c>
      <c r="I13" s="72">
        <f t="shared" ref="I13" si="0">IF(OR(OR(H13=0,G13=0),H13=""),"",(H13/G13-1)*100)</f>
        <v>-54.252516461050718</v>
      </c>
      <c r="J13" s="72">
        <f t="shared" ref="J13" si="1">IF(OR(OR(H13=0,G13=0),H13=""),"",H13/G13*100)</f>
        <v>45.747483538949282</v>
      </c>
      <c r="K13" s="72">
        <f t="shared" ref="K13" si="2">IF(OR(OR(H13=0,G13=0),H13=""),"",(G13/F13-1)*100)</f>
        <v>69.696648614578223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[31]historico_ciiu!C8/1000000</f>
        <v>7.4158739999999996</v>
      </c>
      <c r="D14" s="72">
        <f>[31]historico_ciiu!D8/1000000</f>
        <v>5.0292620000000001</v>
      </c>
      <c r="E14" s="72">
        <f>[31]historico_ciiu!E8/1000000</f>
        <v>27.320996000000001</v>
      </c>
      <c r="F14" s="72">
        <f>[31]historico_ciiu!F8/1000000</f>
        <v>52.681283000000001</v>
      </c>
      <c r="G14" s="72">
        <f>[31]historico_ciiu!G8/1000000</f>
        <v>43.304727999999997</v>
      </c>
      <c r="H14" s="74">
        <f>[31]historico_ciiu!H8/1000000</f>
        <v>34.185169000000002</v>
      </c>
      <c r="I14" s="72">
        <f t="shared" ref="I14" si="4">IF(OR(OR(H14=0,G14=0),H14=""),"",(H14/G14-1)*100)</f>
        <v>-21.059037710616714</v>
      </c>
      <c r="J14" s="72">
        <f t="shared" ref="J14" si="5">IF(OR(OR(H14=0,G14=0),H14=""),"",H14/G14*100)</f>
        <v>78.940962289383293</v>
      </c>
      <c r="K14" s="72">
        <f t="shared" ref="K14" si="6">IF(OR(OR(H14=0,G14=0),H14=""),"",(G14/F14-1)*100)</f>
        <v>-17.798645868210926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[31]historico_ciiu!C9/1000000</f>
        <v>7.3169870000000001</v>
      </c>
      <c r="D15" s="72">
        <f>[31]historico_ciiu!D9/1000000</f>
        <v>10.044805999999999</v>
      </c>
      <c r="E15" s="72">
        <f>[31]historico_ciiu!E9/1000000</f>
        <v>40.189205000000001</v>
      </c>
      <c r="F15" s="72">
        <f>[31]historico_ciiu!F9/1000000</f>
        <v>62.854354999999998</v>
      </c>
      <c r="G15" s="72">
        <f>[31]historico_ciiu!G9/1000000</f>
        <v>100.061448</v>
      </c>
      <c r="H15" s="74">
        <f>[31]historico_ciiu!H9/1000000</f>
        <v>80.300877999999997</v>
      </c>
      <c r="I15" s="72">
        <f t="shared" ref="I15" si="7">IF(OR(OR(H15=0,G15=0),H15=""),"",(H15/G15-1)*100)</f>
        <v>-19.748434981672457</v>
      </c>
      <c r="J15" s="72">
        <f t="shared" ref="J15" si="8">IF(OR(OR(H15=0,G15=0),H15=""),"",H15/G15*100)</f>
        <v>80.25156501832754</v>
      </c>
      <c r="K15" s="72">
        <f t="shared" ref="K15" si="9">IF(OR(OR(H15=0,G15=0),H15=""),"",(G15/F15-1)*100)</f>
        <v>59.195727965071001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[31]historico_ciiu!C10/1000000</f>
        <v>8.2643540000000009</v>
      </c>
      <c r="D16" s="72">
        <f>[31]historico_ciiu!D10/1000000</f>
        <v>9.4808350000000008</v>
      </c>
      <c r="E16" s="72">
        <f>[31]historico_ciiu!E10/1000000</f>
        <v>26.175540000000002</v>
      </c>
      <c r="F16" s="72">
        <f>[31]historico_ciiu!F10/1000000</f>
        <v>68.050775000000002</v>
      </c>
      <c r="G16" s="72">
        <f>[31]historico_ciiu!G10/1000000</f>
        <v>44.356901999999998</v>
      </c>
      <c r="H16" s="74">
        <f>[31]historico_ciiu!H10/1000000</f>
        <v>95.706976999999995</v>
      </c>
      <c r="I16" s="72">
        <f t="shared" ref="I16" si="10">IF(OR(OR(H16=0,G16=0),H16=""),"",(H16/G16-1)*100)</f>
        <v>115.76569301435886</v>
      </c>
      <c r="J16" s="72">
        <f t="shared" ref="J16" si="11">IF(OR(OR(H16=0,G16=0),H16=""),"",H16/G16*100)</f>
        <v>215.76569301435887</v>
      </c>
      <c r="K16" s="72">
        <f t="shared" ref="K16" si="12">IF(OR(OR(H16=0,G16=0),H16=""),"",(G16/F16-1)*100)</f>
        <v>-34.817932639268257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[31]historico_ciiu!C11/1000000</f>
        <v>8.5768489999999993</v>
      </c>
      <c r="D17" s="72">
        <f>[31]historico_ciiu!D11/1000000</f>
        <v>16.189813000000001</v>
      </c>
      <c r="E17" s="72">
        <f>[31]historico_ciiu!E11/1000000</f>
        <v>71.439451000000005</v>
      </c>
      <c r="F17" s="72">
        <f>[31]historico_ciiu!F11/1000000</f>
        <v>65.665073000000007</v>
      </c>
      <c r="G17" s="72">
        <f>[31]historico_ciiu!G11/1000000</f>
        <v>61.556361000000003</v>
      </c>
      <c r="H17" s="74">
        <f>[31]historico_ciiu!H11/1000000</f>
        <v>87.077307000000005</v>
      </c>
      <c r="I17" s="72">
        <f t="shared" ref="I17:I19" si="13">IF(OR(OR(H17=0,G17=0),H17=""),"",(H17/G17-1)*100)</f>
        <v>41.459478087081855</v>
      </c>
      <c r="J17" s="72">
        <f t="shared" ref="J17:J19" si="14">IF(OR(OR(H17=0,G17=0),H17=""),"",H17/G17*100)</f>
        <v>141.45947808708186</v>
      </c>
      <c r="K17" s="72">
        <f t="shared" ref="K17:K19" si="15">IF(OR(OR(H17=0,G17=0),H17=""),"",(G17/F17-1)*100)</f>
        <v>-6.257073680554659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[31]historico_ciiu!C12/1000000</f>
        <v>9.9691829999999992</v>
      </c>
      <c r="D18" s="72">
        <f>[31]historico_ciiu!D12/1000000</f>
        <v>8.8173929999999991</v>
      </c>
      <c r="E18" s="72">
        <f>[31]historico_ciiu!E12/1000000</f>
        <v>25.778009999999998</v>
      </c>
      <c r="F18" s="72">
        <f>[31]historico_ciiu!F12/1000000</f>
        <v>71.019531000000001</v>
      </c>
      <c r="G18" s="72">
        <f>[31]historico_ciiu!G12/1000000</f>
        <v>35.664920000000002</v>
      </c>
      <c r="H18" s="74">
        <f>[31]historico_ciiu!H12/1000000</f>
        <v>69.010166999999996</v>
      </c>
      <c r="I18" s="72">
        <f t="shared" si="13"/>
        <v>93.495925407935829</v>
      </c>
      <c r="J18" s="72">
        <f t="shared" si="14"/>
        <v>193.49592540793583</v>
      </c>
      <c r="K18" s="72">
        <f t="shared" si="15"/>
        <v>-49.781532632199443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[31]historico_ciiu!C13/1000000</f>
        <v>19.109221000000002</v>
      </c>
      <c r="D19" s="72">
        <f>[31]historico_ciiu!D13/1000000</f>
        <v>16.810918000000001</v>
      </c>
      <c r="E19" s="72">
        <f>[31]historico_ciiu!E13/1000000</f>
        <v>17.825308</v>
      </c>
      <c r="F19" s="72">
        <f>[31]historico_ciiu!F13/1000000</f>
        <v>43.343854</v>
      </c>
      <c r="G19" s="72">
        <f>[31]historico_ciiu!G13/1000000</f>
        <v>81.992008999999996</v>
      </c>
      <c r="H19" s="74">
        <f>[31]historico_ciiu!H13/1000000</f>
        <v>53.539532999999999</v>
      </c>
      <c r="I19" s="72">
        <f t="shared" si="13"/>
        <v>-34.701523169166407</v>
      </c>
      <c r="J19" s="72">
        <f t="shared" si="14"/>
        <v>65.298476830833593</v>
      </c>
      <c r="K19" s="72">
        <f t="shared" si="15"/>
        <v>89.166401769441165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[31]historico_ciiu!C14/1000000</f>
        <v>12.345181999999999</v>
      </c>
      <c r="D20" s="72">
        <f>[31]historico_ciiu!D14/1000000</f>
        <v>12.559161</v>
      </c>
      <c r="E20" s="72">
        <f>[31]historico_ciiu!E14/1000000</f>
        <v>30.136315</v>
      </c>
      <c r="F20" s="72">
        <f>[31]historico_ciiu!F14/1000000</f>
        <v>47.821607999999998</v>
      </c>
      <c r="G20" s="72">
        <f>[31]historico_ciiu!G14/1000000</f>
        <v>44.838158</v>
      </c>
      <c r="H20" s="30">
        <f>[31]historico_ciiu!H14/1000000</f>
        <v>46.019092999999998</v>
      </c>
      <c r="I20" s="24">
        <f t="shared" ref="I20" si="16">IF(OR(OR(H20=0,G20=0),H20=""),"",(H20/G20-1)*100)</f>
        <v>2.6337723329312501</v>
      </c>
      <c r="J20" s="24">
        <f t="shared" ref="J20" si="17">IF(OR(OR(H20=0,G20=0),H20=""),"",H20/G20*100)</f>
        <v>102.63377233293124</v>
      </c>
      <c r="K20" s="24">
        <f t="shared" ref="K20" si="18">IF(OR(OR(H20=0,G20=0),H20=""),"",(G20/F20-1)*100)</f>
        <v>-6.2387069878536821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[31]historico_ciiu!C15/1000000</f>
        <v>3.6879189999999999</v>
      </c>
      <c r="D21" s="72">
        <f>[31]historico_ciiu!D15/1000000</f>
        <v>18.967307999999999</v>
      </c>
      <c r="E21" s="72">
        <f>[31]historico_ciiu!E15/1000000</f>
        <v>32.178052999999998</v>
      </c>
      <c r="F21" s="72">
        <f>[31]historico_ciiu!F15/1000000</f>
        <v>22.691248999999999</v>
      </c>
      <c r="G21" s="72">
        <f>[31]historico_ciiu!G15/1000000</f>
        <v>34.583922000000001</v>
      </c>
      <c r="H21" s="74"/>
      <c r="I21" s="72" t="str">
        <f t="shared" ref="I21" si="19">IF(OR(OR(H21=0,G21=0),H21=""),"",(H21/G21-1)*100)</f>
        <v/>
      </c>
      <c r="J21" s="72" t="str">
        <f t="shared" ref="J21" si="20">IF(OR(OR(H21=0,G21=0),H21=""),"",H21/G21*100)</f>
        <v/>
      </c>
      <c r="K21" s="72" t="str">
        <f t="shared" ref="K21" si="21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[31]historico_ciiu!C16/1000000</f>
        <v>4.854311</v>
      </c>
      <c r="D22" s="72">
        <f>[31]historico_ciiu!D16/1000000</f>
        <v>20.79045</v>
      </c>
      <c r="E22" s="72">
        <f>[31]historico_ciiu!E16/1000000</f>
        <v>27.066264</v>
      </c>
      <c r="F22" s="72">
        <f>[31]historico_ciiu!F16/1000000</f>
        <v>33.369182000000002</v>
      </c>
      <c r="G22" s="72">
        <f>[31]historico_ciiu!G16/1000000</f>
        <v>32.743783999999998</v>
      </c>
      <c r="H22" s="74"/>
      <c r="I22" s="72" t="str">
        <f t="shared" ref="I22" si="22">IF(OR(OR(H22=0,G22=0),H22=""),"",(H22/G22-1)*100)</f>
        <v/>
      </c>
      <c r="J22" s="72" t="str">
        <f t="shared" ref="J22" si="23">IF(OR(OR(H22=0,G22=0),H22=""),"",H22/G22*100)</f>
        <v/>
      </c>
      <c r="K22" s="72" t="str">
        <f t="shared" ref="K22" si="24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[31]historico_ciiu!C17/1000000</f>
        <v>3.3479380000000001</v>
      </c>
      <c r="D23" s="72">
        <f>[31]historico_ciiu!D17/1000000</f>
        <v>18.894850999999999</v>
      </c>
      <c r="E23" s="72">
        <f>[31]historico_ciiu!E17/1000000</f>
        <v>45.112054000000001</v>
      </c>
      <c r="F23" s="72">
        <f>[31]historico_ciiu!F17/1000000</f>
        <v>48.940803000000002</v>
      </c>
      <c r="G23" s="72">
        <f>[31]historico_ciiu!G17/1000000</f>
        <v>47.438927999999997</v>
      </c>
      <c r="H23" s="74"/>
      <c r="I23" s="72" t="str">
        <f t="shared" ref="I23" si="25">IF(OR(OR(H23=0,G23=0),H23=""),"",(H23/G23-1)*100)</f>
        <v/>
      </c>
      <c r="J23" s="72" t="str">
        <f t="shared" ref="J23" si="26">IF(OR(OR(H23=0,G23=0),H23=""),"",H23/G23*100)</f>
        <v/>
      </c>
      <c r="K23" s="72" t="str">
        <f t="shared" ref="K23" si="27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[31]historico_ciiu!C18/1000000</f>
        <v>4.621842</v>
      </c>
      <c r="D24" s="72">
        <f>[31]historico_ciiu!D18/1000000</f>
        <v>23.187387000000001</v>
      </c>
      <c r="E24" s="72">
        <f>[31]historico_ciiu!E18/1000000</f>
        <v>78.608446999999998</v>
      </c>
      <c r="F24" s="72">
        <f>[31]historico_ciiu!F18/1000000</f>
        <v>29.996962</v>
      </c>
      <c r="G24" s="72">
        <f>[31]historico_ciiu!G18/1000000</f>
        <v>30.586735999999998</v>
      </c>
      <c r="H24" s="74"/>
      <c r="I24" s="72" t="str">
        <f t="shared" ref="I24" si="28">IF(OR(OR(H24=0,G24=0),H24=""),"",(H24/G24-1)*100)</f>
        <v/>
      </c>
      <c r="J24" s="72" t="str">
        <f t="shared" ref="J24" si="29">IF(OR(OR(H24=0,G24=0),H24=""),"",H24/G24*100)</f>
        <v/>
      </c>
      <c r="K24" s="72" t="str">
        <f t="shared" ref="K24" si="30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1">SUM(C13:C24)</f>
        <v>94.710927999999981</v>
      </c>
      <c r="D25" s="74">
        <f t="shared" si="31"/>
        <v>164.22347500000001</v>
      </c>
      <c r="E25" s="74">
        <f t="shared" si="31"/>
        <v>441.73260299999998</v>
      </c>
      <c r="F25" s="74">
        <f t="shared" si="31"/>
        <v>591.65105000000005</v>
      </c>
      <c r="G25" s="74">
        <f>SUM(G13:G24)</f>
        <v>633.85856899999999</v>
      </c>
      <c r="H25" s="88">
        <f>SUM(H13:H24)</f>
        <v>500.94147599999997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73.394431316310232</v>
      </c>
      <c r="E26" s="74">
        <f>(E25/D25-1)*100</f>
        <v>168.9826183497822</v>
      </c>
      <c r="F26" s="74">
        <f>(F25/E25-1)*100</f>
        <v>33.938732613766362</v>
      </c>
      <c r="G26" s="74">
        <f>(G25/F25-1)*100</f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78.198917999999992</v>
      </c>
      <c r="D28" s="74">
        <f t="shared" ref="D28:E28" si="32">SUMPRODUCT(D13:D24,$N$13:$N$24)</f>
        <v>82.383479000000008</v>
      </c>
      <c r="E28" s="74">
        <f t="shared" si="32"/>
        <v>258.767785</v>
      </c>
      <c r="F28" s="74">
        <f>SUMPRODUCT(F13:F24,$N$13:$N$24)</f>
        <v>456.65285400000005</v>
      </c>
      <c r="G28" s="74">
        <f>SUMPRODUCT(G13:G24,$N$13:$N$24)</f>
        <v>488.505199</v>
      </c>
      <c r="H28" s="30">
        <f>SUMPRODUCT(H13:H24,$N$13:$N$24)</f>
        <v>500.94147599999997</v>
      </c>
      <c r="I28" s="70">
        <f>IF(OR(OR(H28=0,G28=0),H28=""),"",(H28/G28-1)*100)</f>
        <v>2.5457819129576897</v>
      </c>
      <c r="J28" s="30">
        <f>IF(OR(OR(H28=0,G28=0),H28=""),"",H28/G28*100)</f>
        <v>102.54578191295769</v>
      </c>
      <c r="K28" s="30">
        <f>IF(OR(OR(H28=0,G28=0),G28=""),"",(G28/F28-1)*100)</f>
        <v>6.9751770345882758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5.3511750635731437</v>
      </c>
      <c r="E29" s="74">
        <f t="shared" ref="E29:H29" si="33">(E28/D28-1)*100</f>
        <v>214.10155062764466</v>
      </c>
      <c r="F29" s="74">
        <f t="shared" si="33"/>
        <v>76.472065098829844</v>
      </c>
      <c r="G29" s="74">
        <f t="shared" si="33"/>
        <v>6.9751770345882758</v>
      </c>
      <c r="H29" s="30">
        <f t="shared" si="33"/>
        <v>2.5457819129576897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[31]historico_ciiu!C32/1000000</f>
        <v>29.672388999999999</v>
      </c>
      <c r="D13" s="72">
        <f>[31]historico_ciiu!D32/1000000</f>
        <v>40.311923</v>
      </c>
      <c r="E13" s="72">
        <f>[31]historico_ciiu!E32/1000000</f>
        <v>27.623922</v>
      </c>
      <c r="F13" s="72">
        <f>[31]historico_ciiu!F32/1000000</f>
        <v>26.479102999999999</v>
      </c>
      <c r="G13" s="72">
        <f>[31]historico_ciiu!G32/1000000</f>
        <v>30.875301</v>
      </c>
      <c r="H13" s="74">
        <f>[31]historico_ciiu!H32/1000000</f>
        <v>36.375069000000003</v>
      </c>
      <c r="I13" s="72">
        <f t="shared" ref="I13" si="0">IF(OR(OR(H13=0,G13=0),H13=""),"",(H13/G13-1)*100)</f>
        <v>17.812840108020332</v>
      </c>
      <c r="J13" s="72">
        <f t="shared" ref="J13" si="1">IF(OR(OR(H13=0,G13=0),H13=""),"",H13/G13*100)</f>
        <v>117.81284010802034</v>
      </c>
      <c r="K13" s="72">
        <f t="shared" ref="K13" si="2">IF(OR(OR(H13=0,G13=0),H13=""),"",(G13/F13-1)*100)</f>
        <v>16.60251859740114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[31]historico_ciiu!C33/1000000</f>
        <v>29.225283999999998</v>
      </c>
      <c r="D14" s="72">
        <f>[31]historico_ciiu!D33/1000000</f>
        <v>51.953068000000002</v>
      </c>
      <c r="E14" s="72">
        <f>[31]historico_ciiu!E33/1000000</f>
        <v>36.528174</v>
      </c>
      <c r="F14" s="72">
        <f>[31]historico_ciiu!F33/1000000</f>
        <v>41.510218000000002</v>
      </c>
      <c r="G14" s="72">
        <f>[31]historico_ciiu!G33/1000000</f>
        <v>45.402273999999998</v>
      </c>
      <c r="H14" s="74">
        <f>[31]historico_ciiu!H33/1000000</f>
        <v>36.190229000000002</v>
      </c>
      <c r="I14" s="72">
        <f t="shared" ref="I14" si="4">IF(OR(OR(H14=0,G14=0),H14=""),"",(H14/G14-1)*100)</f>
        <v>-20.289831738383846</v>
      </c>
      <c r="J14" s="72">
        <f t="shared" ref="J14" si="5">IF(OR(OR(H14=0,G14=0),H14=""),"",H14/G14*100)</f>
        <v>79.710168261616161</v>
      </c>
      <c r="K14" s="72">
        <f t="shared" ref="K14" si="6">IF(OR(OR(H14=0,G14=0),H14=""),"",(G14/F14-1)*100)</f>
        <v>9.3761396290426458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[31]historico_ciiu!C34/1000000</f>
        <v>44.381025999999999</v>
      </c>
      <c r="D15" s="72">
        <f>[31]historico_ciiu!D34/1000000</f>
        <v>46.204628999999997</v>
      </c>
      <c r="E15" s="72">
        <f>[31]historico_ciiu!E34/1000000</f>
        <v>48.445467000000001</v>
      </c>
      <c r="F15" s="72">
        <f>[31]historico_ciiu!F34/1000000</f>
        <v>48.684713000000002</v>
      </c>
      <c r="G15" s="72">
        <f>[31]historico_ciiu!G34/1000000</f>
        <v>45.479309999999998</v>
      </c>
      <c r="H15" s="74">
        <f>[31]historico_ciiu!H34/1000000</f>
        <v>36.637715</v>
      </c>
      <c r="I15" s="72">
        <f t="shared" ref="I15" si="7">IF(OR(OR(H15=0,G15=0),H15=""),"",(H15/G15-1)*100)</f>
        <v>-19.44091719949137</v>
      </c>
      <c r="J15" s="72">
        <f t="shared" ref="J15" si="8">IF(OR(OR(H15=0,G15=0),H15=""),"",H15/G15*100)</f>
        <v>80.559082800508634</v>
      </c>
      <c r="K15" s="72">
        <f t="shared" ref="K15" si="9">IF(OR(OR(H15=0,G15=0),H15=""),"",(G15/F15-1)*100)</f>
        <v>-6.5840030729974792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[31]historico_ciiu!C35/1000000</f>
        <v>39.669980000000002</v>
      </c>
      <c r="D16" s="72">
        <f>[31]historico_ciiu!D35/1000000</f>
        <v>39.092593000000001</v>
      </c>
      <c r="E16" s="72">
        <f>[31]historico_ciiu!E35/1000000</f>
        <v>47.543591999999997</v>
      </c>
      <c r="F16" s="72">
        <f>[31]historico_ciiu!F35/1000000</f>
        <v>40.686580999999997</v>
      </c>
      <c r="G16" s="72">
        <f>[31]historico_ciiu!G35/1000000</f>
        <v>43.685678000000003</v>
      </c>
      <c r="H16" s="74">
        <f>[31]historico_ciiu!H35/1000000</f>
        <v>49.070175999999996</v>
      </c>
      <c r="I16" s="72">
        <f t="shared" ref="I16" si="10">IF(OR(OR(H16=0,G16=0),H16=""),"",(H16/G16-1)*100)</f>
        <v>12.325545227889091</v>
      </c>
      <c r="J16" s="72">
        <f t="shared" ref="J16" si="11">IF(OR(OR(H16=0,G16=0),H16=""),"",H16/G16*100)</f>
        <v>112.32554522788909</v>
      </c>
      <c r="K16" s="72">
        <f t="shared" ref="K16" si="12">IF(OR(OR(H16=0,G16=0),H16=""),"",(G16/F16-1)*100)</f>
        <v>7.371219026735143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[31]historico_ciiu!C36/1000000</f>
        <v>41.867421999999998</v>
      </c>
      <c r="D17" s="72">
        <f>[31]historico_ciiu!D36/1000000</f>
        <v>38.036689000000003</v>
      </c>
      <c r="E17" s="72">
        <f>[31]historico_ciiu!E36/1000000</f>
        <v>52.718933</v>
      </c>
      <c r="F17" s="72">
        <f>[31]historico_ciiu!F36/1000000</f>
        <v>40.230975000000001</v>
      </c>
      <c r="G17" s="72">
        <f>[31]historico_ciiu!G36/1000000</f>
        <v>57.351743999999997</v>
      </c>
      <c r="H17" s="74">
        <f>[31]historico_ciiu!H36/1000000</f>
        <v>50.864102000000003</v>
      </c>
      <c r="I17" s="72">
        <f t="shared" ref="I17:I18" si="13">IF(OR(OR(H17=0,G17=0),H17=""),"",(H17/G17-1)*100)</f>
        <v>-11.312022176692649</v>
      </c>
      <c r="J17" s="72">
        <f t="shared" ref="J17:J18" si="14">IF(OR(OR(H17=0,G17=0),H17=""),"",H17/G17*100)</f>
        <v>88.687977823307349</v>
      </c>
      <c r="K17" s="72">
        <f t="shared" ref="K17:K18" si="15">IF(OR(OR(H17=0,G17=0),H17=""),"",(G17/F17-1)*100)</f>
        <v>42.556187117016165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[31]historico_ciiu!C37/1000000</f>
        <v>35.942055000000003</v>
      </c>
      <c r="D18" s="72">
        <f>[31]historico_ciiu!D37/1000000</f>
        <v>39.870817000000002</v>
      </c>
      <c r="E18" s="72">
        <f>[31]historico_ciiu!E37/1000000</f>
        <v>43.653243000000003</v>
      </c>
      <c r="F18" s="72">
        <f>[31]historico_ciiu!F37/1000000</f>
        <v>39.277796000000002</v>
      </c>
      <c r="G18" s="72">
        <f>[31]historico_ciiu!G37/1000000</f>
        <v>43.137327999999997</v>
      </c>
      <c r="H18" s="74">
        <f>[31]historico_ciiu!H37/1000000</f>
        <v>44.189807000000002</v>
      </c>
      <c r="I18" s="72">
        <f t="shared" si="13"/>
        <v>2.4398335474093535</v>
      </c>
      <c r="J18" s="72">
        <f t="shared" si="14"/>
        <v>102.43983354740935</v>
      </c>
      <c r="K18" s="72">
        <f t="shared" si="15"/>
        <v>9.8262438146987421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[31]historico_ciiu!C38/1000000</f>
        <v>49.812007999999999</v>
      </c>
      <c r="D19" s="72">
        <f>[31]historico_ciiu!D38/1000000</f>
        <v>42.439560999999998</v>
      </c>
      <c r="E19" s="72">
        <f>[31]historico_ciiu!E38/1000000</f>
        <v>34.320559000000003</v>
      </c>
      <c r="F19" s="72">
        <f>[31]historico_ciiu!F38/1000000</f>
        <v>38.165067000000001</v>
      </c>
      <c r="G19" s="72">
        <f>[31]historico_ciiu!G38/1000000</f>
        <v>45.385084999999997</v>
      </c>
      <c r="H19" s="74">
        <f>[31]historico_ciiu!H38/1000000</f>
        <v>45.503315000000001</v>
      </c>
      <c r="I19" s="72">
        <f t="shared" ref="I19" si="16">IF(OR(OR(H19=0,G19=0),H19=""),"",(H19/G19-1)*100)</f>
        <v>0.26050408410605019</v>
      </c>
      <c r="J19" s="72">
        <f t="shared" ref="J19" si="17">IF(OR(OR(H19=0,G19=0),H19=""),"",H19/G19*100)</f>
        <v>100.26050408410605</v>
      </c>
      <c r="K19" s="72">
        <f t="shared" ref="K19" si="18">IF(OR(OR(H19=0,G19=0),H19=""),"",(G19/F19-1)*100)</f>
        <v>18.917870627608213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[31]historico_ciiu!C39/1000000</f>
        <v>41.293067999999998</v>
      </c>
      <c r="D20" s="72">
        <f>[31]historico_ciiu!D39/1000000</f>
        <v>39.108426999999999</v>
      </c>
      <c r="E20" s="72">
        <f>[31]historico_ciiu!E39/1000000</f>
        <v>37.471693999999999</v>
      </c>
      <c r="F20" s="72">
        <f>[31]historico_ciiu!F39/1000000</f>
        <v>46.561658999999999</v>
      </c>
      <c r="G20" s="72">
        <f>[31]historico_ciiu!G39/1000000</f>
        <v>48.358125999999999</v>
      </c>
      <c r="H20" s="30">
        <f>[31]historico_ciiu!H39/1000000</f>
        <v>44.627687000000002</v>
      </c>
      <c r="I20" s="24">
        <f t="shared" ref="I20" si="19">IF(OR(OR(H20=0,G20=0),H20=""),"",(H20/G20-1)*100)</f>
        <v>-7.7141926467539257</v>
      </c>
      <c r="J20" s="24">
        <f t="shared" ref="J20" si="20">IF(OR(OR(H20=0,G20=0),H20=""),"",H20/G20*100)</f>
        <v>92.285807353246071</v>
      </c>
      <c r="K20" s="24">
        <f t="shared" ref="K20" si="21">IF(OR(OR(H20=0,G20=0),H20=""),"",(G20/F20-1)*100)</f>
        <v>3.8582538478708406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[31]historico_ciiu!C40/1000000</f>
        <v>29.569058999999999</v>
      </c>
      <c r="D21" s="72">
        <f>[31]historico_ciiu!D40/1000000</f>
        <v>61.286197999999999</v>
      </c>
      <c r="E21" s="72">
        <f>[31]historico_ciiu!E40/1000000</f>
        <v>38.879188999999997</v>
      </c>
      <c r="F21" s="72">
        <f>[31]historico_ciiu!F40/1000000</f>
        <v>47.862459999999999</v>
      </c>
      <c r="G21" s="72">
        <f>[31]historico_ciiu!G40/1000000</f>
        <v>40.431747000000001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[31]historico_ciiu!C41/1000000</f>
        <v>67.260819999999995</v>
      </c>
      <c r="D22" s="72">
        <f>[31]historico_ciiu!D41/1000000</f>
        <v>47.120089999999998</v>
      </c>
      <c r="E22" s="72">
        <f>[31]historico_ciiu!E41/1000000</f>
        <v>38.001061999999997</v>
      </c>
      <c r="F22" s="72">
        <f>[31]historico_ciiu!F41/1000000</f>
        <v>43.566926000000002</v>
      </c>
      <c r="G22" s="72">
        <f>[31]historico_ciiu!G41/1000000</f>
        <v>49.920347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[31]historico_ciiu!C42/1000000</f>
        <v>44.710366999999998</v>
      </c>
      <c r="D23" s="72">
        <f>[31]historico_ciiu!D42/1000000</f>
        <v>50.283766</v>
      </c>
      <c r="E23" s="72">
        <f>[31]historico_ciiu!E42/1000000</f>
        <v>37.400294000000002</v>
      </c>
      <c r="F23" s="72">
        <f>[31]historico_ciiu!F42/1000000</f>
        <v>49.644506</v>
      </c>
      <c r="G23" s="72">
        <f>[31]historico_ciiu!G42/1000000</f>
        <v>45.378283000000003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[31]historico_ciiu!C43/1000000</f>
        <v>53.754289</v>
      </c>
      <c r="D24" s="72">
        <f>[31]historico_ciiu!D43/1000000</f>
        <v>44.462260999999998</v>
      </c>
      <c r="E24" s="72">
        <f>[31]historico_ciiu!E43/1000000</f>
        <v>42.492615000000001</v>
      </c>
      <c r="F24" s="72">
        <f>[31]historico_ciiu!F43/1000000</f>
        <v>50.994109000000002</v>
      </c>
      <c r="G24" s="72">
        <f>[31]historico_ciiu!G43/1000000</f>
        <v>45.327331999999998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507.15776700000004</v>
      </c>
      <c r="D25" s="74">
        <f t="shared" si="34"/>
        <v>540.17002200000002</v>
      </c>
      <c r="E25" s="74">
        <f t="shared" si="34"/>
        <v>485.07874400000003</v>
      </c>
      <c r="F25" s="74">
        <f t="shared" si="34"/>
        <v>513.66411300000004</v>
      </c>
      <c r="G25" s="74">
        <f>SUM(G13:G24)</f>
        <v>540.73255499999993</v>
      </c>
      <c r="H25" s="88">
        <f>SUM(H13:H24)</f>
        <v>343.4581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6.5092673617675123</v>
      </c>
      <c r="E26" s="74">
        <f>(E25/D25-1)*100</f>
        <v>-10.198877345325908</v>
      </c>
      <c r="F26" s="74">
        <f>(F25/E25-1)*100</f>
        <v>5.8929337460311482</v>
      </c>
      <c r="G26" s="74">
        <f>(G25/F25-1)*100</f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311.86323200000004</v>
      </c>
      <c r="D28" s="74">
        <f t="shared" ref="D28:E28" si="35">SUMPRODUCT(D13:D24,$N$13:$N$24)</f>
        <v>337.01770699999997</v>
      </c>
      <c r="E28" s="74">
        <f t="shared" si="35"/>
        <v>328.30558400000001</v>
      </c>
      <c r="F28" s="74">
        <f>SUMPRODUCT(F13:F24,$N$13:$N$24)</f>
        <v>321.59611200000001</v>
      </c>
      <c r="G28" s="74">
        <f>SUMPRODUCT(G13:G24,$N$13:$N$24)</f>
        <v>359.674846</v>
      </c>
      <c r="H28" s="30">
        <f>SUMPRODUCT(H13:H24,$N$13:$N$24)</f>
        <v>343.4581</v>
      </c>
      <c r="I28" s="70">
        <f>IF(OR(OR(H28=0,G28=0),H28=""),"",(H28/G28-1)*100)</f>
        <v>-4.5087239712059297</v>
      </c>
      <c r="J28" s="30">
        <f>IF(OR(OR(H28=0,G28=0),H28=""),"",H28/G28*100)</f>
        <v>95.491276028794076</v>
      </c>
      <c r="K28" s="30">
        <f>IF(OR(OR(H28=0,G28=0),G28=""),"",(G28/F28-1)*100)</f>
        <v>11.840545510077561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8.0658674761633797</v>
      </c>
      <c r="E29" s="74">
        <f t="shared" ref="E29:H29" si="36">(E28/D28-1)*100</f>
        <v>-2.5850638761838018</v>
      </c>
      <c r="F29" s="74">
        <f t="shared" si="36"/>
        <v>-2.0436667321503732</v>
      </c>
      <c r="G29" s="74">
        <f t="shared" si="36"/>
        <v>11.840545510077561</v>
      </c>
      <c r="H29" s="30">
        <f t="shared" si="36"/>
        <v>-4.5087239712059297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[31]historico_ciiu!C57/1000000</f>
        <v>13.914702</v>
      </c>
      <c r="D13" s="72">
        <f>[31]historico_ciiu!D57/1000000</f>
        <v>27.354028</v>
      </c>
      <c r="E13" s="72">
        <f>[31]historico_ciiu!E57/1000000</f>
        <v>17.467524000000001</v>
      </c>
      <c r="F13" s="72">
        <f>[31]historico_ciiu!F57/1000000</f>
        <v>36.891128000000002</v>
      </c>
      <c r="G13" s="72">
        <f>[31]historico_ciiu!G57/1000000</f>
        <v>27.400804000000001</v>
      </c>
      <c r="H13" s="74">
        <f>[31]historico_ciiu!H57/1000000</f>
        <v>23.039770000000001</v>
      </c>
      <c r="I13" s="72">
        <f t="shared" ref="I13" si="0">IF(OR(OR(H13=0,G13=0),H13=""),"",(H13/G13-1)*100)</f>
        <v>-15.915715465867352</v>
      </c>
      <c r="J13" s="72">
        <f t="shared" ref="J13" si="1">IF(OR(OR(H13=0,G13=0),H13=""),"",H13/G13*100)</f>
        <v>84.084284534132649</v>
      </c>
      <c r="K13" s="72">
        <f t="shared" ref="K13" si="2">IF(OR(OR(H13=0,G13=0),H13=""),"",(G13/F13-1)*100)</f>
        <v>-25.725220437824515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[31]historico_ciiu!C58/1000000</f>
        <v>35.410741999999999</v>
      </c>
      <c r="D14" s="72">
        <f>[31]historico_ciiu!D58/1000000</f>
        <v>25.914359999999999</v>
      </c>
      <c r="E14" s="72">
        <f>[31]historico_ciiu!E58/1000000</f>
        <v>18.251664000000002</v>
      </c>
      <c r="F14" s="72">
        <f>[31]historico_ciiu!F58/1000000</f>
        <v>38.279127000000003</v>
      </c>
      <c r="G14" s="72">
        <f>[31]historico_ciiu!G58/1000000</f>
        <v>26.830179000000001</v>
      </c>
      <c r="H14" s="74">
        <f>[31]historico_ciiu!H58/1000000</f>
        <v>32.956828999999999</v>
      </c>
      <c r="I14" s="72">
        <f t="shared" ref="I14" si="4">IF(OR(OR(H14=0,G14=0),H14=""),"",(H14/G14-1)*100)</f>
        <v>22.83492033355423</v>
      </c>
      <c r="J14" s="72">
        <f t="shared" ref="J14" si="5">IF(OR(OR(H14=0,G14=0),H14=""),"",H14/G14*100)</f>
        <v>122.83492033355424</v>
      </c>
      <c r="K14" s="72">
        <f t="shared" ref="K14" si="6">IF(OR(OR(H14=0,G14=0),H14=""),"",(G14/F14-1)*100)</f>
        <v>-29.909114698462169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[31]historico_ciiu!C59/1000000</f>
        <v>37.962694999999997</v>
      </c>
      <c r="D15" s="72">
        <f>[31]historico_ciiu!D59/1000000</f>
        <v>28.671600999999999</v>
      </c>
      <c r="E15" s="72">
        <f>[31]historico_ciiu!E59/1000000</f>
        <v>25.272324000000001</v>
      </c>
      <c r="F15" s="72">
        <f>[31]historico_ciiu!F59/1000000</f>
        <v>58.185290999999999</v>
      </c>
      <c r="G15" s="72">
        <f>[31]historico_ciiu!G59/1000000</f>
        <v>27.448428</v>
      </c>
      <c r="H15" s="74">
        <f>[31]historico_ciiu!H59/1000000</f>
        <v>27.385242000000002</v>
      </c>
      <c r="I15" s="72">
        <f t="shared" ref="I15" si="7">IF(OR(OR(H15=0,G15=0),H15=""),"",(H15/G15-1)*100)</f>
        <v>-0.23019897532928768</v>
      </c>
      <c r="J15" s="72">
        <f t="shared" ref="J15" si="8">IF(OR(OR(H15=0,G15=0),H15=""),"",H15/G15*100)</f>
        <v>99.769801024670713</v>
      </c>
      <c r="K15" s="72">
        <f t="shared" ref="K15" si="9">IF(OR(OR(H15=0,G15=0),H15=""),"",(G15/F15-1)*100)</f>
        <v>-52.825830156972152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[31]historico_ciiu!C60/1000000</f>
        <v>54.209409999999998</v>
      </c>
      <c r="D16" s="72">
        <f>[31]historico_ciiu!D60/1000000</f>
        <v>17.351476999999999</v>
      </c>
      <c r="E16" s="72">
        <f>[31]historico_ciiu!E60/1000000</f>
        <v>15.238353</v>
      </c>
      <c r="F16" s="72">
        <f>[31]historico_ciiu!F60/1000000</f>
        <v>48.692866000000002</v>
      </c>
      <c r="G16" s="72">
        <f>[31]historico_ciiu!G60/1000000</f>
        <v>19.849060000000001</v>
      </c>
      <c r="H16" s="74">
        <f>[31]historico_ciiu!H60/1000000</f>
        <v>30.94801</v>
      </c>
      <c r="I16" s="72">
        <f t="shared" ref="I16" si="10">IF(OR(OR(H16=0,G16=0),H16=""),"",(H16/G16-1)*100)</f>
        <v>55.916753740479393</v>
      </c>
      <c r="J16" s="72">
        <f t="shared" ref="J16" si="11">IF(OR(OR(H16=0,G16=0),H16=""),"",H16/G16*100)</f>
        <v>155.91675374047941</v>
      </c>
      <c r="K16" s="72">
        <f t="shared" ref="K16" si="12">IF(OR(OR(H16=0,G16=0),H16=""),"",(G16/F16-1)*100)</f>
        <v>-59.236205155802502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[31]historico_ciiu!C61/1000000</f>
        <v>34.611818999999997</v>
      </c>
      <c r="D17" s="72">
        <f>[31]historico_ciiu!D61/1000000</f>
        <v>13.74095</v>
      </c>
      <c r="E17" s="72">
        <f>[31]historico_ciiu!E61/1000000</f>
        <v>24.409407999999999</v>
      </c>
      <c r="F17" s="72">
        <f>[31]historico_ciiu!F61/1000000</f>
        <v>36.752524999999999</v>
      </c>
      <c r="G17" s="72">
        <f>[31]historico_ciiu!G61/1000000</f>
        <v>26.714074</v>
      </c>
      <c r="H17" s="74">
        <f>[31]historico_ciiu!H61/1000000</f>
        <v>30.322816</v>
      </c>
      <c r="I17" s="72">
        <f t="shared" ref="I17:I18" si="13">IF(OR(OR(H17=0,G17=0),H17=""),"",(H17/G17-1)*100)</f>
        <v>13.508766951832207</v>
      </c>
      <c r="J17" s="72">
        <f t="shared" ref="J17:J18" si="14">IF(OR(OR(H17=0,G17=0),H17=""),"",H17/G17*100)</f>
        <v>113.5087669518322</v>
      </c>
      <c r="K17" s="72">
        <f t="shared" ref="K17:K18" si="15">IF(OR(OR(H17=0,G17=0),H17=""),"",(G17/F17-1)*100)</f>
        <v>-27.313636273970289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[31]historico_ciiu!C62/1000000</f>
        <v>42.208889999999997</v>
      </c>
      <c r="D18" s="72">
        <f>[31]historico_ciiu!D62/1000000</f>
        <v>21.573506999999999</v>
      </c>
      <c r="E18" s="72">
        <f>[31]historico_ciiu!E62/1000000</f>
        <v>21.830387000000002</v>
      </c>
      <c r="F18" s="72">
        <f>[31]historico_ciiu!F62/1000000</f>
        <v>29.964283999999999</v>
      </c>
      <c r="G18" s="72">
        <f>[31]historico_ciiu!G62/1000000</f>
        <v>22.956620999999998</v>
      </c>
      <c r="H18" s="74">
        <f>[31]historico_ciiu!H62/1000000</f>
        <v>29.286197999999999</v>
      </c>
      <c r="I18" s="72">
        <f t="shared" si="13"/>
        <v>27.571901805583664</v>
      </c>
      <c r="J18" s="72">
        <f t="shared" si="14"/>
        <v>127.57190180558366</v>
      </c>
      <c r="K18" s="72">
        <f t="shared" si="15"/>
        <v>-23.386719335593011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[31]historico_ciiu!C63/1000000</f>
        <v>28.739377000000001</v>
      </c>
      <c r="D19" s="72">
        <f>[31]historico_ciiu!D63/1000000</f>
        <v>17.765388999999999</v>
      </c>
      <c r="E19" s="72">
        <f>[31]historico_ciiu!E63/1000000</f>
        <v>16.653055999999999</v>
      </c>
      <c r="F19" s="72">
        <f>[31]historico_ciiu!F63/1000000</f>
        <v>23.724432</v>
      </c>
      <c r="G19" s="72">
        <f>[31]historico_ciiu!G63/1000000</f>
        <v>27.227118000000001</v>
      </c>
      <c r="H19" s="74">
        <f>[31]historico_ciiu!H63/1000000</f>
        <v>32.383960000000002</v>
      </c>
      <c r="I19" s="72">
        <f t="shared" ref="I19" si="16">IF(OR(OR(H19=0,G19=0),H19=""),"",(H19/G19-1)*100)</f>
        <v>18.940094945047072</v>
      </c>
      <c r="J19" s="72">
        <f t="shared" ref="J19" si="17">IF(OR(OR(H19=0,G19=0),H19=""),"",H19/G19*100)</f>
        <v>118.94009494504706</v>
      </c>
      <c r="K19" s="72">
        <f t="shared" ref="K19" si="18">IF(OR(OR(H19=0,G19=0),H19=""),"",(G19/F19-1)*100)</f>
        <v>14.764045773572153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[31]historico_ciiu!C64/1000000</f>
        <v>33.777723000000002</v>
      </c>
      <c r="D20" s="72">
        <f>[31]historico_ciiu!D64/1000000</f>
        <v>15.582929999999999</v>
      </c>
      <c r="E20" s="72">
        <f>[31]historico_ciiu!E64/1000000</f>
        <v>21.271608000000001</v>
      </c>
      <c r="F20" s="72">
        <f>[31]historico_ciiu!F64/1000000</f>
        <v>24.390764000000001</v>
      </c>
      <c r="G20" s="72">
        <f>[31]historico_ciiu!G64/1000000</f>
        <v>25.482384</v>
      </c>
      <c r="H20" s="30">
        <f>[31]historico_ciiu!H64/1000000</f>
        <v>34.974826</v>
      </c>
      <c r="I20" s="24">
        <f t="shared" ref="I20" si="19">IF(OR(OR(H20=0,G20=0),H20=""),"",(H20/G20-1)*100)</f>
        <v>37.250996610050315</v>
      </c>
      <c r="J20" s="24">
        <f t="shared" ref="J20" si="20">IF(OR(OR(H20=0,G20=0),H20=""),"",H20/G20*100)</f>
        <v>137.25099661005032</v>
      </c>
      <c r="K20" s="24">
        <f t="shared" ref="K20" si="21">IF(OR(OR(H20=0,G20=0),H20=""),"",(G20/F20-1)*100)</f>
        <v>4.4755465634450875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[31]historico_ciiu!C65/1000000</f>
        <v>15.410209</v>
      </c>
      <c r="D21" s="72">
        <f>[31]historico_ciiu!D65/1000000</f>
        <v>13.392564999999999</v>
      </c>
      <c r="E21" s="72">
        <f>[31]historico_ciiu!E65/1000000</f>
        <v>19.56888</v>
      </c>
      <c r="F21" s="72">
        <f>[31]historico_ciiu!F65/1000000</f>
        <v>18.934829000000001</v>
      </c>
      <c r="G21" s="72">
        <f>[31]historico_ciiu!G65/1000000</f>
        <v>23.899422999999999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[31]historico_ciiu!C66/1000000</f>
        <v>29.935988999999999</v>
      </c>
      <c r="D22" s="72">
        <f>[31]historico_ciiu!D66/1000000</f>
        <v>15.190681</v>
      </c>
      <c r="E22" s="72">
        <f>[31]historico_ciiu!E66/1000000</f>
        <v>21.549043000000001</v>
      </c>
      <c r="F22" s="72">
        <f>[31]historico_ciiu!F66/1000000</f>
        <v>20.463463000000001</v>
      </c>
      <c r="G22" s="72">
        <f>[31]historico_ciiu!G66/1000000</f>
        <v>23.312325000000001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[31]historico_ciiu!C67/1000000</f>
        <v>19.940559</v>
      </c>
      <c r="D23" s="72">
        <f>[31]historico_ciiu!D67/1000000</f>
        <v>21.608720000000002</v>
      </c>
      <c r="E23" s="72">
        <f>[31]historico_ciiu!E67/1000000</f>
        <v>32.105547999999999</v>
      </c>
      <c r="F23" s="72">
        <f>[31]historico_ciiu!F67/1000000</f>
        <v>26.108665999999999</v>
      </c>
      <c r="G23" s="72">
        <f>[31]historico_ciiu!G67/1000000</f>
        <v>25.07789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[31]historico_ciiu!C68/1000000</f>
        <v>23.999006999999999</v>
      </c>
      <c r="D24" s="72">
        <f>[31]historico_ciiu!D68/1000000</f>
        <v>21.033372</v>
      </c>
      <c r="E24" s="72">
        <f>[31]historico_ciiu!E68/1000000</f>
        <v>29.928041</v>
      </c>
      <c r="F24" s="72">
        <f>[31]historico_ciiu!F68/1000000</f>
        <v>33.489255999999997</v>
      </c>
      <c r="G24" s="72">
        <f>[31]historico_ciiu!G68/1000000</f>
        <v>23.855924999999999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370.12112200000001</v>
      </c>
      <c r="D25" s="74">
        <f t="shared" si="34"/>
        <v>239.17957999999999</v>
      </c>
      <c r="E25" s="74">
        <f t="shared" si="34"/>
        <v>263.54583600000001</v>
      </c>
      <c r="F25" s="74">
        <f t="shared" si="34"/>
        <v>395.87663099999992</v>
      </c>
      <c r="G25" s="74">
        <f>SUM(G13:G24)</f>
        <v>300.05423100000002</v>
      </c>
      <c r="H25" s="88">
        <f>SUM(H13:H24)</f>
        <v>241.29765100000003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-35.378024710516257</v>
      </c>
      <c r="E26" s="74">
        <f>(E25/D25-1)*100</f>
        <v>10.187431552476189</v>
      </c>
      <c r="F26" s="74">
        <f>(F25/E25-1)*100</f>
        <v>50.211681204479319</v>
      </c>
      <c r="G26" s="74">
        <f>(G25/F25-1)*100</f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280.83535799999999</v>
      </c>
      <c r="D28" s="74">
        <f t="shared" ref="D28:E28" si="35">SUMPRODUCT(D13:D24,$N$13:$N$24)</f>
        <v>167.95424199999999</v>
      </c>
      <c r="E28" s="74">
        <f t="shared" si="35"/>
        <v>160.39432399999998</v>
      </c>
      <c r="F28" s="74">
        <f>SUMPRODUCT(F13:F24,$N$13:$N$24)</f>
        <v>296.88041699999997</v>
      </c>
      <c r="G28" s="74">
        <f>SUMPRODUCT(G13:G24,$N$13:$N$24)</f>
        <v>203.90866799999998</v>
      </c>
      <c r="H28" s="30">
        <f>SUMPRODUCT(H13:H24,$N$13:$N$24)</f>
        <v>241.29765100000003</v>
      </c>
      <c r="I28" s="70">
        <f>IF(OR(OR(H28=0,G28=0),H28=""),"",(H28/G28-1)*100)</f>
        <v>18.33614204178906</v>
      </c>
      <c r="J28" s="30">
        <f>IF(OR(OR(H28=0,G28=0),H28=""),"",H28/G28*100)</f>
        <v>118.33614204178906</v>
      </c>
      <c r="K28" s="30">
        <f>IF(OR(OR(H28=0,G28=0),G28=""),"",(G28/F28-1)*100)</f>
        <v>-31.316228244182231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-40.194766358444078</v>
      </c>
      <c r="E29" s="74">
        <f t="shared" ref="E29:H29" si="36">(E28/D28-1)*100</f>
        <v>-4.5011771718156517</v>
      </c>
      <c r="F29" s="74">
        <f t="shared" si="36"/>
        <v>85.094091608877619</v>
      </c>
      <c r="G29" s="74">
        <f t="shared" si="36"/>
        <v>-31.316228244182231</v>
      </c>
      <c r="H29" s="30">
        <f t="shared" si="36"/>
        <v>18.33614204178906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[31]historico_ciiu!C82/1000000</f>
        <v>13.961199000000001</v>
      </c>
      <c r="D13" s="72">
        <f>[31]historico_ciiu!D82/1000000</f>
        <v>12.725581999999999</v>
      </c>
      <c r="E13" s="72">
        <f>[31]historico_ciiu!E82/1000000</f>
        <v>10.181609999999999</v>
      </c>
      <c r="F13" s="72">
        <f>[31]historico_ciiu!F82/1000000</f>
        <v>12.190502</v>
      </c>
      <c r="G13" s="72">
        <f>[31]historico_ciiu!G82/1000000</f>
        <v>15.253857999999999</v>
      </c>
      <c r="H13" s="74">
        <f>[31]historico_ciiu!H82/1000000</f>
        <v>18.255870000000002</v>
      </c>
      <c r="I13" s="72">
        <f t="shared" ref="I13" si="0">IF(OR(OR(H13=0,G13=0),H13=""),"",(H13/G13-1)*100)</f>
        <v>19.680345785308884</v>
      </c>
      <c r="J13" s="72">
        <f t="shared" ref="J13" si="1">IF(OR(OR(H13=0,G13=0),H13=""),"",H13/G13*100)</f>
        <v>119.68034578530889</v>
      </c>
      <c r="K13" s="72">
        <f t="shared" ref="K13" si="2">IF(OR(OR(H13=0,G13=0),H13=""),"",(G13/F13-1)*100)</f>
        <v>25.129038984612762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[31]historico_ciiu!C83/1000000</f>
        <v>15.596686999999999</v>
      </c>
      <c r="D14" s="72">
        <f>[31]historico_ciiu!D83/1000000</f>
        <v>18.111132999999999</v>
      </c>
      <c r="E14" s="72">
        <f>[31]historico_ciiu!E83/1000000</f>
        <v>11.240917</v>
      </c>
      <c r="F14" s="72">
        <f>[31]historico_ciiu!F83/1000000</f>
        <v>12.501366000000001</v>
      </c>
      <c r="G14" s="72">
        <f>[31]historico_ciiu!G83/1000000</f>
        <v>18.820736</v>
      </c>
      <c r="H14" s="74">
        <f>[31]historico_ciiu!H83/1000000</f>
        <v>20.603062000000001</v>
      </c>
      <c r="I14" s="72">
        <f t="shared" ref="I14" si="4">IF(OR(OR(H14=0,G14=0),H14=""),"",(H14/G14-1)*100)</f>
        <v>9.4700122248141625</v>
      </c>
      <c r="J14" s="72">
        <f t="shared" ref="J14" si="5">IF(OR(OR(H14=0,G14=0),H14=""),"",H14/G14*100)</f>
        <v>109.47001222481416</v>
      </c>
      <c r="K14" s="72">
        <f t="shared" ref="K14" si="6">IF(OR(OR(H14=0,G14=0),H14=""),"",(G14/F14-1)*100)</f>
        <v>50.549435957638543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[31]historico_ciiu!C84/1000000</f>
        <v>15.598489000000001</v>
      </c>
      <c r="D15" s="72">
        <f>[31]historico_ciiu!D84/1000000</f>
        <v>19.912292000000001</v>
      </c>
      <c r="E15" s="72">
        <f>[31]historico_ciiu!E84/1000000</f>
        <v>17.419454000000002</v>
      </c>
      <c r="F15" s="72">
        <f>[31]historico_ciiu!F84/1000000</f>
        <v>17.543422</v>
      </c>
      <c r="G15" s="72">
        <f>[31]historico_ciiu!G84/1000000</f>
        <v>19.512194000000001</v>
      </c>
      <c r="H15" s="74">
        <f>[31]historico_ciiu!H84/1000000</f>
        <v>20.957239999999999</v>
      </c>
      <c r="I15" s="72">
        <f t="shared" ref="I15" si="7">IF(OR(OR(H15=0,G15=0),H15=""),"",(H15/G15-1)*100)</f>
        <v>7.4058611758370141</v>
      </c>
      <c r="J15" s="72">
        <f t="shared" ref="J15" si="8">IF(OR(OR(H15=0,G15=0),H15=""),"",H15/G15*100)</f>
        <v>107.40586117583702</v>
      </c>
      <c r="K15" s="72">
        <f t="shared" ref="K15" si="9">IF(OR(OR(H15=0,G15=0),H15=""),"",(G15/F15-1)*100)</f>
        <v>11.222280351005654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[31]historico_ciiu!C85/1000000</f>
        <v>17.521266000000001</v>
      </c>
      <c r="D16" s="72">
        <f>[31]historico_ciiu!D85/1000000</f>
        <v>12.795105</v>
      </c>
      <c r="E16" s="72">
        <f>[31]historico_ciiu!E85/1000000</f>
        <v>13.767105000000001</v>
      </c>
      <c r="F16" s="72">
        <f>[31]historico_ciiu!F85/1000000</f>
        <v>18.204370999999998</v>
      </c>
      <c r="G16" s="72">
        <f>[31]historico_ciiu!G85/1000000</f>
        <v>21.115319</v>
      </c>
      <c r="H16" s="74">
        <f>[31]historico_ciiu!H85/1000000</f>
        <v>22.844055999999998</v>
      </c>
      <c r="I16" s="72">
        <f t="shared" ref="I16" si="10">IF(OR(OR(H16=0,G16=0),H16=""),"",(H16/G16-1)*100)</f>
        <v>8.1871223446825514</v>
      </c>
      <c r="J16" s="72">
        <f t="shared" ref="J16" si="11">IF(OR(OR(H16=0,G16=0),H16=""),"",H16/G16*100)</f>
        <v>108.18712234468255</v>
      </c>
      <c r="K16" s="72">
        <f t="shared" ref="K16" si="12">IF(OR(OR(H16=0,G16=0),H16=""),"",(G16/F16-1)*100)</f>
        <v>15.990379453374137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[31]historico_ciiu!C86/1000000</f>
        <v>16.266593</v>
      </c>
      <c r="D17" s="72">
        <f>[31]historico_ciiu!D86/1000000</f>
        <v>14.414273</v>
      </c>
      <c r="E17" s="72">
        <f>[31]historico_ciiu!E86/1000000</f>
        <v>13.885705</v>
      </c>
      <c r="F17" s="72">
        <f>[31]historico_ciiu!F86/1000000</f>
        <v>14.776996</v>
      </c>
      <c r="G17" s="72">
        <f>[31]historico_ciiu!G86/1000000</f>
        <v>23.236143999999999</v>
      </c>
      <c r="H17" s="74">
        <f>[31]historico_ciiu!H86/1000000</f>
        <v>21.541872000000001</v>
      </c>
      <c r="I17" s="72">
        <f t="shared" ref="I17:I18" si="13">IF(OR(OR(H17=0,G17=0),H17=""),"",(H17/G17-1)*100)</f>
        <v>-7.2915368401917258</v>
      </c>
      <c r="J17" s="72">
        <f t="shared" ref="J17:J18" si="14">IF(OR(OR(H17=0,G17=0),H17=""),"",H17/G17*100)</f>
        <v>92.708463159808275</v>
      </c>
      <c r="K17" s="72">
        <f t="shared" ref="K17:K18" si="15">IF(OR(OR(H17=0,G17=0),H17=""),"",(G17/F17-1)*100)</f>
        <v>57.245383297119389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[31]historico_ciiu!C87/1000000</f>
        <v>17.578617999999999</v>
      </c>
      <c r="D18" s="72">
        <f>[31]historico_ciiu!D87/1000000</f>
        <v>13.64143</v>
      </c>
      <c r="E18" s="72">
        <f>[31]historico_ciiu!E87/1000000</f>
        <v>16.617208999999999</v>
      </c>
      <c r="F18" s="72">
        <f>[31]historico_ciiu!F87/1000000</f>
        <v>18.190570999999998</v>
      </c>
      <c r="G18" s="72">
        <f>[31]historico_ciiu!G87/1000000</f>
        <v>22.555313000000002</v>
      </c>
      <c r="H18" s="74">
        <f>[31]historico_ciiu!H87/1000000</f>
        <v>19.047505999999998</v>
      </c>
      <c r="I18" s="72">
        <f t="shared" si="13"/>
        <v>-15.552020936264565</v>
      </c>
      <c r="J18" s="72">
        <f t="shared" si="14"/>
        <v>84.447979063735431</v>
      </c>
      <c r="K18" s="72">
        <f t="shared" si="15"/>
        <v>23.994529913327089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[31]historico_ciiu!C88/1000000</f>
        <v>16.999282000000001</v>
      </c>
      <c r="D19" s="72">
        <f>[31]historico_ciiu!D88/1000000</f>
        <v>14.464809000000001</v>
      </c>
      <c r="E19" s="72">
        <f>[31]historico_ciiu!E88/1000000</f>
        <v>14.899445</v>
      </c>
      <c r="F19" s="72">
        <f>[31]historico_ciiu!F88/1000000</f>
        <v>16.577593</v>
      </c>
      <c r="G19" s="72">
        <f>[31]historico_ciiu!G88/1000000</f>
        <v>22.931014999999999</v>
      </c>
      <c r="H19" s="74">
        <f>[31]historico_ciiu!H88/1000000</f>
        <v>20.577286999999998</v>
      </c>
      <c r="I19" s="72">
        <f t="shared" ref="I19" si="16">IF(OR(OR(H19=0,G19=0),H19=""),"",(H19/G19-1)*100)</f>
        <v>-10.264386465230613</v>
      </c>
      <c r="J19" s="72">
        <f t="shared" ref="J19" si="17">IF(OR(OR(H19=0,G19=0),H19=""),"",H19/G19*100)</f>
        <v>89.735613534769385</v>
      </c>
      <c r="K19" s="72">
        <f t="shared" ref="K19" si="18">IF(OR(OR(H19=0,G19=0),H19=""),"",(G19/F19-1)*100)</f>
        <v>38.325358814153532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[31]historico_ciiu!C89/1000000</f>
        <v>13.993949000000001</v>
      </c>
      <c r="D20" s="72">
        <f>[31]historico_ciiu!D89/1000000</f>
        <v>12.226705000000001</v>
      </c>
      <c r="E20" s="72">
        <f>[31]historico_ciiu!E89/1000000</f>
        <v>16.688165999999999</v>
      </c>
      <c r="F20" s="72">
        <f>[31]historico_ciiu!F89/1000000</f>
        <v>17.722173000000002</v>
      </c>
      <c r="G20" s="72">
        <f>[31]historico_ciiu!G89/1000000</f>
        <v>21.659322</v>
      </c>
      <c r="H20" s="30">
        <f>[31]historico_ciiu!H89/1000000</f>
        <v>18.559162000000001</v>
      </c>
      <c r="I20" s="24">
        <f t="shared" ref="I20" si="19">IF(OR(OR(H20=0,G20=0),H20=""),"",(H20/G20-1)*100)</f>
        <v>-14.313282751879298</v>
      </c>
      <c r="J20" s="24">
        <f t="shared" ref="J20" si="20">IF(OR(OR(H20=0,G20=0),H20=""),"",H20/G20*100)</f>
        <v>85.686717248120701</v>
      </c>
      <c r="K20" s="24">
        <f t="shared" ref="K20" si="21">IF(OR(OR(H20=0,G20=0),H20=""),"",(G20/F20-1)*100)</f>
        <v>22.215949477527385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[31]historico_ciiu!C90/1000000</f>
        <v>15.590707</v>
      </c>
      <c r="D21" s="72">
        <f>[31]historico_ciiu!D90/1000000</f>
        <v>14.999712000000001</v>
      </c>
      <c r="E21" s="72">
        <f>[31]historico_ciiu!E90/1000000</f>
        <v>16.550736000000001</v>
      </c>
      <c r="F21" s="72">
        <f>[31]historico_ciiu!F90/1000000</f>
        <v>17.604167</v>
      </c>
      <c r="G21" s="72">
        <f>[31]historico_ciiu!G90/1000000</f>
        <v>20.312873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[31]historico_ciiu!C91/1000000</f>
        <v>19.762782000000001</v>
      </c>
      <c r="D22" s="72">
        <f>[31]historico_ciiu!D91/1000000</f>
        <v>14.010534</v>
      </c>
      <c r="E22" s="72">
        <f>[31]historico_ciiu!E91/1000000</f>
        <v>14.379422999999999</v>
      </c>
      <c r="F22" s="72">
        <f>[31]historico_ciiu!F91/1000000</f>
        <v>16.245626999999999</v>
      </c>
      <c r="G22" s="72">
        <f>[31]historico_ciiu!G91/1000000</f>
        <v>24.637494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[31]historico_ciiu!C92/1000000</f>
        <v>15.974064</v>
      </c>
      <c r="D23" s="72">
        <f>[31]historico_ciiu!D92/1000000</f>
        <v>13.458226</v>
      </c>
      <c r="E23" s="72">
        <f>[31]historico_ciiu!E92/1000000</f>
        <v>14.261283000000001</v>
      </c>
      <c r="F23" s="72">
        <f>[31]historico_ciiu!F92/1000000</f>
        <v>16.029547000000001</v>
      </c>
      <c r="G23" s="72">
        <f>[31]historico_ciiu!G92/1000000</f>
        <v>22.561230999999999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[31]historico_ciiu!C93/1000000</f>
        <v>19.123712000000001</v>
      </c>
      <c r="D24" s="72">
        <f>[31]historico_ciiu!D93/1000000</f>
        <v>16.012060000000002</v>
      </c>
      <c r="E24" s="72">
        <f>[31]historico_ciiu!E93/1000000</f>
        <v>12.124347999999999</v>
      </c>
      <c r="F24" s="72">
        <f>[31]historico_ciiu!F93/1000000</f>
        <v>17.521785999999999</v>
      </c>
      <c r="G24" s="72">
        <f>[31]historico_ciiu!G93/1000000</f>
        <v>21.954543999999999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197.96734800000002</v>
      </c>
      <c r="D25" s="74">
        <f t="shared" si="34"/>
        <v>176.77186099999997</v>
      </c>
      <c r="E25" s="74">
        <f t="shared" si="34"/>
        <v>172.015401</v>
      </c>
      <c r="F25" s="74">
        <f t="shared" si="34"/>
        <v>195.10812099999998</v>
      </c>
      <c r="G25" s="74">
        <f>SUM(G13:G24)</f>
        <v>254.55004299999999</v>
      </c>
      <c r="H25" s="88">
        <f>SUM(H13:H24)</f>
        <v>162.386055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-10.706557022726814</v>
      </c>
      <c r="E26" s="74">
        <f>(E25/D25-1)*100</f>
        <v>-2.6907336796097803</v>
      </c>
      <c r="F26" s="74">
        <f>(F25/E25-1)*100</f>
        <v>13.424797934226817</v>
      </c>
      <c r="G26" s="74">
        <f>(G25/F25-1)*100</f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127.51608299999999</v>
      </c>
      <c r="D28" s="74">
        <f t="shared" ref="D28:E28" si="35">SUMPRODUCT(D13:D24,$N$13:$N$24)</f>
        <v>118.29132899999999</v>
      </c>
      <c r="E28" s="74">
        <f t="shared" si="35"/>
        <v>114.699611</v>
      </c>
      <c r="F28" s="74">
        <f>SUMPRODUCT(F13:F24,$N$13:$N$24)</f>
        <v>127.70699400000001</v>
      </c>
      <c r="G28" s="74">
        <f>SUMPRODUCT(G13:G24,$N$13:$N$24)</f>
        <v>165.083901</v>
      </c>
      <c r="H28" s="30">
        <f>SUMPRODUCT(H13:H24,$N$13:$N$24)</f>
        <v>162.386055</v>
      </c>
      <c r="I28" s="70">
        <f>IF(OR(OR(H28=0,G28=0),H28=""),"",(H28/G28-1)*100)</f>
        <v>-1.6342271921475859</v>
      </c>
      <c r="J28" s="30">
        <f>IF(OR(OR(H28=0,G28=0),H28=""),"",H28/G28*100)</f>
        <v>98.365772807852409</v>
      </c>
      <c r="K28" s="30">
        <f>IF(OR(OR(H28=0,G28=0),G28=""),"",(G28/F28-1)*100)</f>
        <v>29.267705572961788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-7.2341886474037942</v>
      </c>
      <c r="E29" s="74">
        <f t="shared" ref="E29:H29" si="36">(E28/D28-1)*100</f>
        <v>-3.036332443268086</v>
      </c>
      <c r="F29" s="74">
        <f t="shared" si="36"/>
        <v>11.340389811784114</v>
      </c>
      <c r="G29" s="74">
        <f t="shared" si="36"/>
        <v>29.267705572961788</v>
      </c>
      <c r="H29" s="30">
        <f t="shared" si="36"/>
        <v>-1.6342271921475859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J23" sqref="J23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f>[31]historico_ciiu!C107/1000000</f>
        <v>34.746639000000002</v>
      </c>
      <c r="D13" s="72">
        <f>[31]historico_ciiu!D107/1000000</f>
        <v>17.464483000000001</v>
      </c>
      <c r="E13" s="72">
        <f>[31]historico_ciiu!E107/1000000</f>
        <v>7.9100659999999996</v>
      </c>
      <c r="F13" s="72">
        <f>[31]historico_ciiu!F107/1000000</f>
        <v>12.456346999999999</v>
      </c>
      <c r="G13" s="72">
        <f>[31]historico_ciiu!G107/1000000</f>
        <v>12.796279999999999</v>
      </c>
      <c r="H13" s="74">
        <f>[31]historico_ciiu!H107/1000000</f>
        <v>12.55043</v>
      </c>
      <c r="I13" s="72">
        <f t="shared" ref="I13" si="0">IF(OR(OR(H13=0,G13=0),H13=""),"",(H13/G13-1)*100)</f>
        <v>-1.9212614916209958</v>
      </c>
      <c r="J13" s="72">
        <f t="shared" ref="J13" si="1">IF(OR(OR(H13=0,G13=0),H13=""),"",H13/G13*100)</f>
        <v>98.078738508379004</v>
      </c>
      <c r="K13" s="72">
        <f t="shared" ref="K13" si="2">IF(OR(OR(H13=0,G13=0),H13=""),"",(G13/F13-1)*100)</f>
        <v>2.7289943030649466</v>
      </c>
      <c r="L13" s="64"/>
      <c r="N13" s="40">
        <f t="shared" ref="N13:N24" si="3">IF(H13="","",1)</f>
        <v>1</v>
      </c>
    </row>
    <row r="14" spans="1:15">
      <c r="A14" s="62"/>
      <c r="B14" s="71" t="s">
        <v>8</v>
      </c>
      <c r="C14" s="72">
        <f>[31]historico_ciiu!C108/1000000</f>
        <v>25.488788</v>
      </c>
      <c r="D14" s="72">
        <f>[31]historico_ciiu!D108/1000000</f>
        <v>24.209057000000001</v>
      </c>
      <c r="E14" s="72">
        <f>[31]historico_ciiu!E108/1000000</f>
        <v>13.327294</v>
      </c>
      <c r="F14" s="72">
        <f>[31]historico_ciiu!F108/1000000</f>
        <v>15.589356</v>
      </c>
      <c r="G14" s="72">
        <f>[31]historico_ciiu!G108/1000000</f>
        <v>18.152428</v>
      </c>
      <c r="H14" s="74">
        <f>[31]historico_ciiu!H108/1000000</f>
        <v>17.593273</v>
      </c>
      <c r="I14" s="72">
        <f t="shared" ref="I14" si="4">IF(OR(OR(H14=0,G14=0),H14=""),"",(H14/G14-1)*100)</f>
        <v>-3.0803317330331814</v>
      </c>
      <c r="J14" s="72">
        <f t="shared" ref="J14" si="5">IF(OR(OR(H14=0,G14=0),H14=""),"",H14/G14*100)</f>
        <v>96.919668266966823</v>
      </c>
      <c r="K14" s="72">
        <f t="shared" ref="K14" si="6">IF(OR(OR(H14=0,G14=0),H14=""),"",(G14/F14-1)*100)</f>
        <v>16.441166652426187</v>
      </c>
      <c r="L14" s="64"/>
      <c r="N14" s="40">
        <f t="shared" si="3"/>
        <v>1</v>
      </c>
    </row>
    <row r="15" spans="1:15">
      <c r="A15" s="62"/>
      <c r="B15" s="71" t="s">
        <v>9</v>
      </c>
      <c r="C15" s="72">
        <f>[31]historico_ciiu!C109/1000000</f>
        <v>24.026855999999999</v>
      </c>
      <c r="D15" s="72">
        <f>[31]historico_ciiu!D109/1000000</f>
        <v>26.166912</v>
      </c>
      <c r="E15" s="72">
        <f>[31]historico_ciiu!E109/1000000</f>
        <v>16.611671000000001</v>
      </c>
      <c r="F15" s="72">
        <f>[31]historico_ciiu!F109/1000000</f>
        <v>34.775401000000002</v>
      </c>
      <c r="G15" s="72">
        <f>[31]historico_ciiu!G109/1000000</f>
        <v>20.901909</v>
      </c>
      <c r="H15" s="74">
        <f>[31]historico_ciiu!H109/1000000</f>
        <v>16.900915000000001</v>
      </c>
      <c r="I15" s="72">
        <f t="shared" ref="I15" si="7">IF(OR(OR(H15=0,G15=0),H15=""),"",(H15/G15-1)*100)</f>
        <v>-19.141763558534286</v>
      </c>
      <c r="J15" s="72">
        <f t="shared" ref="J15" si="8">IF(OR(OR(H15=0,G15=0),H15=""),"",H15/G15*100)</f>
        <v>80.858236441465721</v>
      </c>
      <c r="K15" s="72">
        <f t="shared" ref="K15" si="9">IF(OR(OR(H15=0,G15=0),H15=""),"",(G15/F15-1)*100)</f>
        <v>-39.894556499866106</v>
      </c>
      <c r="L15" s="64"/>
      <c r="N15" s="40">
        <f t="shared" si="3"/>
        <v>1</v>
      </c>
    </row>
    <row r="16" spans="1:15">
      <c r="A16" s="62"/>
      <c r="B16" s="71" t="s">
        <v>10</v>
      </c>
      <c r="C16" s="72">
        <f>[31]historico_ciiu!C110/1000000</f>
        <v>50.986640999999999</v>
      </c>
      <c r="D16" s="72">
        <f>[31]historico_ciiu!D110/1000000</f>
        <v>19.132868999999999</v>
      </c>
      <c r="E16" s="72">
        <f>[31]historico_ciiu!E110/1000000</f>
        <v>14.443977</v>
      </c>
      <c r="F16" s="72">
        <f>[31]historico_ciiu!F110/1000000</f>
        <v>16.823799000000001</v>
      </c>
      <c r="G16" s="72">
        <f>[31]historico_ciiu!G110/1000000</f>
        <v>15.325782</v>
      </c>
      <c r="H16" s="74">
        <f>[31]historico_ciiu!H110/1000000</f>
        <v>17.678447999999999</v>
      </c>
      <c r="I16" s="72">
        <f t="shared" ref="I16" si="10">IF(OR(OR(H16=0,G16=0),H16=""),"",(H16/G16-1)*100)</f>
        <v>15.351033963552396</v>
      </c>
      <c r="J16" s="72">
        <f t="shared" ref="J16" si="11">IF(OR(OR(H16=0,G16=0),H16=""),"",H16/G16*100)</f>
        <v>115.3510339635524</v>
      </c>
      <c r="K16" s="72">
        <f t="shared" ref="K16" si="12">IF(OR(OR(H16=0,G16=0),H16=""),"",(G16/F16-1)*100)</f>
        <v>-8.9041541687463148</v>
      </c>
      <c r="L16" s="64"/>
      <c r="N16" s="40">
        <f t="shared" si="3"/>
        <v>1</v>
      </c>
    </row>
    <row r="17" spans="1:15">
      <c r="A17" s="62"/>
      <c r="B17" s="71" t="s">
        <v>11</v>
      </c>
      <c r="C17" s="72">
        <f>[31]historico_ciiu!C111/1000000</f>
        <v>36.104660000000003</v>
      </c>
      <c r="D17" s="72">
        <f>[31]historico_ciiu!D111/1000000</f>
        <v>52.389125</v>
      </c>
      <c r="E17" s="72">
        <f>[31]historico_ciiu!E111/1000000</f>
        <v>14.452806000000001</v>
      </c>
      <c r="F17" s="72">
        <f>[31]historico_ciiu!F111/1000000</f>
        <v>14.996078000000001</v>
      </c>
      <c r="G17" s="72">
        <f>[31]historico_ciiu!G111/1000000</f>
        <v>23.504877</v>
      </c>
      <c r="H17" s="74">
        <f>[31]historico_ciiu!H111/1000000</f>
        <v>21.063217000000002</v>
      </c>
      <c r="I17" s="72">
        <f t="shared" ref="I17:I18" si="13">IF(OR(OR(H17=0,G17=0),H17=""),"",(H17/G17-1)*100)</f>
        <v>-10.38788673516564</v>
      </c>
      <c r="J17" s="72">
        <f t="shared" ref="J17:J18" si="14">IF(OR(OR(H17=0,G17=0),H17=""),"",H17/G17*100)</f>
        <v>89.612113264834363</v>
      </c>
      <c r="K17" s="72">
        <f t="shared" ref="K17:K18" si="15">IF(OR(OR(H17=0,G17=0),H17=""),"",(G17/F17-1)*100)</f>
        <v>56.74016232777663</v>
      </c>
      <c r="L17" s="64"/>
      <c r="N17" s="40">
        <f t="shared" si="3"/>
        <v>1</v>
      </c>
    </row>
    <row r="18" spans="1:15">
      <c r="A18" s="62"/>
      <c r="B18" s="71" t="s">
        <v>12</v>
      </c>
      <c r="C18" s="72">
        <f>[31]historico_ciiu!C112/1000000</f>
        <v>21.294730000000001</v>
      </c>
      <c r="D18" s="72">
        <f>[31]historico_ciiu!D112/1000000</f>
        <v>43.736389000000003</v>
      </c>
      <c r="E18" s="72">
        <f>[31]historico_ciiu!E112/1000000</f>
        <v>15.640114000000001</v>
      </c>
      <c r="F18" s="72">
        <f>[31]historico_ciiu!F112/1000000</f>
        <v>21.042603</v>
      </c>
      <c r="G18" s="72">
        <f>[31]historico_ciiu!G112/1000000</f>
        <v>18.733630000000002</v>
      </c>
      <c r="H18" s="74">
        <f>[31]historico_ciiu!H112/1000000</f>
        <v>15.593538000000001</v>
      </c>
      <c r="I18" s="72">
        <f t="shared" si="13"/>
        <v>-16.761791494761024</v>
      </c>
      <c r="J18" s="72">
        <f t="shared" si="14"/>
        <v>83.238208505238973</v>
      </c>
      <c r="K18" s="72">
        <f t="shared" si="15"/>
        <v>-10.972848748797848</v>
      </c>
      <c r="L18" s="64"/>
      <c r="N18" s="40">
        <f t="shared" si="3"/>
        <v>1</v>
      </c>
    </row>
    <row r="19" spans="1:15">
      <c r="A19" s="62"/>
      <c r="B19" s="71" t="s">
        <v>13</v>
      </c>
      <c r="C19" s="72">
        <f>[31]historico_ciiu!C113/1000000</f>
        <v>28.672234</v>
      </c>
      <c r="D19" s="72">
        <f>[31]historico_ciiu!D113/1000000</f>
        <v>17.542522999999999</v>
      </c>
      <c r="E19" s="72">
        <f>[31]historico_ciiu!E113/1000000</f>
        <v>14.547666</v>
      </c>
      <c r="F19" s="72">
        <f>[31]historico_ciiu!F113/1000000</f>
        <v>15.073962999999999</v>
      </c>
      <c r="G19" s="72">
        <f>[31]historico_ciiu!G113/1000000</f>
        <v>22.682411999999999</v>
      </c>
      <c r="H19" s="74">
        <f>[31]historico_ciiu!H113/1000000</f>
        <v>20.986564000000001</v>
      </c>
      <c r="I19" s="72">
        <f t="shared" ref="I19" si="16">IF(OR(OR(H19=0,G19=0),H19=""),"",(H19/G19-1)*100)</f>
        <v>-7.4764888319637119</v>
      </c>
      <c r="J19" s="72">
        <f t="shared" ref="J19" si="17">IF(OR(OR(H19=0,G19=0),H19=""),"",H19/G19*100)</f>
        <v>92.523511168036293</v>
      </c>
      <c r="K19" s="72">
        <f t="shared" ref="K19" si="18">IF(OR(OR(H19=0,G19=0),H19=""),"",(G19/F19-1)*100)</f>
        <v>50.474112215878478</v>
      </c>
      <c r="L19" s="64"/>
      <c r="N19" s="40">
        <f t="shared" si="3"/>
        <v>1</v>
      </c>
    </row>
    <row r="20" spans="1:15">
      <c r="A20" s="62"/>
      <c r="B20" s="71" t="s">
        <v>14</v>
      </c>
      <c r="C20" s="72">
        <f>[31]historico_ciiu!C114/1000000</f>
        <v>25.745571000000002</v>
      </c>
      <c r="D20" s="72">
        <f>[31]historico_ciiu!D114/1000000</f>
        <v>14.145574999999999</v>
      </c>
      <c r="E20" s="72">
        <f>[31]historico_ciiu!E114/1000000</f>
        <v>13.106889000000001</v>
      </c>
      <c r="F20" s="72">
        <f>[31]historico_ciiu!F114/1000000</f>
        <v>19.625029999999999</v>
      </c>
      <c r="G20" s="72">
        <f>[31]historico_ciiu!G114/1000000</f>
        <v>21.460008999999999</v>
      </c>
      <c r="H20" s="30">
        <f>[31]historico_ciiu!H114/1000000</f>
        <v>16.860285000000001</v>
      </c>
      <c r="I20" s="24">
        <f t="shared" ref="I20" si="19">IF(OR(OR(H20=0,G20=0),H20=""),"",(H20/G20-1)*100)</f>
        <v>-21.433933229012148</v>
      </c>
      <c r="J20" s="24">
        <f t="shared" ref="J20" si="20">IF(OR(OR(H20=0,G20=0),H20=""),"",H20/G20*100)</f>
        <v>78.566066770987845</v>
      </c>
      <c r="K20" s="24">
        <f t="shared" ref="K20" si="21">IF(OR(OR(H20=0,G20=0),H20=""),"",(G20/F20-1)*100)</f>
        <v>9.3501971716731127</v>
      </c>
      <c r="L20" s="64"/>
      <c r="N20" s="40">
        <f t="shared" si="3"/>
        <v>1</v>
      </c>
    </row>
    <row r="21" spans="1:15">
      <c r="A21" s="62"/>
      <c r="B21" s="71" t="s">
        <v>15</v>
      </c>
      <c r="C21" s="72">
        <f>[31]historico_ciiu!C115/1000000</f>
        <v>22.872177000000001</v>
      </c>
      <c r="D21" s="72">
        <f>[31]historico_ciiu!D115/1000000</f>
        <v>16.195378999999999</v>
      </c>
      <c r="E21" s="72">
        <f>[31]historico_ciiu!E115/1000000</f>
        <v>19.416858999999999</v>
      </c>
      <c r="F21" s="72">
        <f>[31]historico_ciiu!F115/1000000</f>
        <v>16.880001</v>
      </c>
      <c r="G21" s="72">
        <f>[31]historico_ciiu!G115/1000000</f>
        <v>24.878034</v>
      </c>
      <c r="H21" s="74"/>
      <c r="I21" s="72" t="str">
        <f t="shared" ref="I21" si="22">IF(OR(OR(H21=0,G21=0),H21=""),"",(H21/G21-1)*100)</f>
        <v/>
      </c>
      <c r="J21" s="72" t="str">
        <f t="shared" ref="J21" si="23">IF(OR(OR(H21=0,G21=0),H21=""),"",H21/G21*100)</f>
        <v/>
      </c>
      <c r="K21" s="72" t="str">
        <f t="shared" ref="K21" si="24">IF(OR(OR(H21=0,G21=0),H21=""),"",(G21/F21-1)*100)</f>
        <v/>
      </c>
      <c r="L21" s="64"/>
      <c r="N21" s="40" t="str">
        <f t="shared" si="3"/>
        <v/>
      </c>
    </row>
    <row r="22" spans="1:15">
      <c r="A22" s="62"/>
      <c r="B22" s="71" t="s">
        <v>16</v>
      </c>
      <c r="C22" s="72">
        <f>[31]historico_ciiu!C116/1000000</f>
        <v>52.123728999999997</v>
      </c>
      <c r="D22" s="72">
        <f>[31]historico_ciiu!D116/1000000</f>
        <v>16.995073999999999</v>
      </c>
      <c r="E22" s="72">
        <f>[31]historico_ciiu!E116/1000000</f>
        <v>16.210315999999999</v>
      </c>
      <c r="F22" s="72">
        <f>[31]historico_ciiu!F116/1000000</f>
        <v>19.527652</v>
      </c>
      <c r="G22" s="72">
        <f>[31]historico_ciiu!G116/1000000</f>
        <v>24.894863000000001</v>
      </c>
      <c r="H22" s="74"/>
      <c r="I22" s="72" t="str">
        <f t="shared" ref="I22" si="25">IF(OR(OR(H22=0,G22=0),H22=""),"",(H22/G22-1)*100)</f>
        <v/>
      </c>
      <c r="J22" s="72" t="str">
        <f t="shared" ref="J22" si="26">IF(OR(OR(H22=0,G22=0),H22=""),"",H22/G22*100)</f>
        <v/>
      </c>
      <c r="K22" s="72" t="str">
        <f t="shared" ref="K22" si="27">IF(OR(OR(H22=0,G22=0),H22=""),"",(G22/F22-1)*100)</f>
        <v/>
      </c>
      <c r="L22" s="64"/>
      <c r="N22" s="40" t="str">
        <f t="shared" si="3"/>
        <v/>
      </c>
    </row>
    <row r="23" spans="1:15">
      <c r="A23" s="62"/>
      <c r="B23" s="71" t="s">
        <v>17</v>
      </c>
      <c r="C23" s="72">
        <f>[31]historico_ciiu!C117/1000000</f>
        <v>40.032169000000003</v>
      </c>
      <c r="D23" s="72">
        <f>[31]historico_ciiu!D117/1000000</f>
        <v>14.968559000000001</v>
      </c>
      <c r="E23" s="72">
        <f>[31]historico_ciiu!E117/1000000</f>
        <v>16.439160000000001</v>
      </c>
      <c r="F23" s="72">
        <f>[31]historico_ciiu!F117/1000000</f>
        <v>20.4129</v>
      </c>
      <c r="G23" s="72">
        <f>[31]historico_ciiu!G117/1000000</f>
        <v>18.675022999999999</v>
      </c>
      <c r="H23" s="74"/>
      <c r="I23" s="72" t="str">
        <f t="shared" ref="I23" si="28">IF(OR(OR(H23=0,G23=0),H23=""),"",(H23/G23-1)*100)</f>
        <v/>
      </c>
      <c r="J23" s="72" t="str">
        <f t="shared" ref="J23" si="29">IF(OR(OR(H23=0,G23=0),H23=""),"",H23/G23*100)</f>
        <v/>
      </c>
      <c r="K23" s="72" t="str">
        <f t="shared" ref="K23" si="30">IF(OR(OR(H23=0,G23=0),H23=""),"",(G23/F23-1)*100)</f>
        <v/>
      </c>
      <c r="L23" s="64"/>
      <c r="N23" s="40" t="str">
        <f t="shared" si="3"/>
        <v/>
      </c>
    </row>
    <row r="24" spans="1:15">
      <c r="A24" s="62"/>
      <c r="B24" s="71" t="s">
        <v>18</v>
      </c>
      <c r="C24" s="72">
        <f>[31]historico_ciiu!C118/1000000</f>
        <v>32.900227999999998</v>
      </c>
      <c r="D24" s="72">
        <f>[31]historico_ciiu!D118/1000000</f>
        <v>13.770144</v>
      </c>
      <c r="E24" s="72">
        <f>[31]historico_ciiu!E118/1000000</f>
        <v>16.759986000000001</v>
      </c>
      <c r="F24" s="72">
        <f>[31]historico_ciiu!F118/1000000</f>
        <v>18.480104999999998</v>
      </c>
      <c r="G24" s="72">
        <f>[31]historico_ciiu!G118/1000000</f>
        <v>17.180014</v>
      </c>
      <c r="H24" s="74"/>
      <c r="I24" s="72" t="str">
        <f t="shared" ref="I24" si="31">IF(OR(OR(H24=0,G24=0),H24=""),"",(H24/G24-1)*100)</f>
        <v/>
      </c>
      <c r="J24" s="72" t="str">
        <f t="shared" ref="J24" si="32">IF(OR(OR(H24=0,G24=0),H24=""),"",H24/G24*100)</f>
        <v/>
      </c>
      <c r="K24" s="72" t="str">
        <f t="shared" ref="K24" si="33">IF(OR(OR(H24=0,G24=0),H24=""),"",(G24/F24-1)*100)</f>
        <v/>
      </c>
      <c r="L24" s="64"/>
      <c r="N24" s="40" t="str">
        <f t="shared" si="3"/>
        <v/>
      </c>
    </row>
    <row r="25" spans="1:15">
      <c r="A25" s="62"/>
      <c r="B25" s="73" t="s">
        <v>37</v>
      </c>
      <c r="C25" s="74">
        <f t="shared" ref="C25:F25" si="34">SUM(C13:C24)</f>
        <v>394.99442199999999</v>
      </c>
      <c r="D25" s="74">
        <f t="shared" si="34"/>
        <v>276.71608900000001</v>
      </c>
      <c r="E25" s="74">
        <f t="shared" si="34"/>
        <v>178.86680399999997</v>
      </c>
      <c r="F25" s="74">
        <f t="shared" si="34"/>
        <v>225.683235</v>
      </c>
      <c r="G25" s="74">
        <f>SUM(G13:G24)</f>
        <v>239.185261</v>
      </c>
      <c r="H25" s="88">
        <f>SUM(H13:H24)</f>
        <v>139.22666999999998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f>(D25/C25-1)*100</f>
        <v>-29.944304631218309</v>
      </c>
      <c r="E26" s="74">
        <f>(E25/D25-1)*100</f>
        <v>-35.360894754478856</v>
      </c>
      <c r="F26" s="74">
        <f>(F25/E25-1)*100</f>
        <v>26.173907037551825</v>
      </c>
      <c r="G26" s="74">
        <f>(G25/F25-1)*100</f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f>SUMPRODUCT(C13:C24,$N$13:$N$24)</f>
        <v>247.06611899999999</v>
      </c>
      <c r="D28" s="74">
        <f t="shared" ref="D28:E28" si="35">SUMPRODUCT(D13:D24,$N$13:$N$24)</f>
        <v>214.786933</v>
      </c>
      <c r="E28" s="74">
        <f t="shared" si="35"/>
        <v>110.04048299999999</v>
      </c>
      <c r="F28" s="74">
        <f>SUMPRODUCT(F13:F24,$N$13:$N$24)</f>
        <v>150.382577</v>
      </c>
      <c r="G28" s="74">
        <f>SUMPRODUCT(G13:G24,$N$13:$N$24)</f>
        <v>153.55732699999999</v>
      </c>
      <c r="H28" s="30">
        <f>SUMPRODUCT(H13:H24,$N$13:$N$24)</f>
        <v>139.22666999999998</v>
      </c>
      <c r="I28" s="70">
        <f>IF(OR(OR(H28=0,G28=0),H28=""),"",(H28/G28-1)*100)</f>
        <v>-9.3324475490511816</v>
      </c>
      <c r="J28" s="30">
        <f>IF(OR(OR(H28=0,G28=0),H28=""),"",H28/G28*100)</f>
        <v>90.667552450948818</v>
      </c>
      <c r="K28" s="30">
        <f>IF(OR(OR(H28=0,G28=0),G28=""),"",(G28/F28-1)*100)</f>
        <v>2.1111155715864527</v>
      </c>
      <c r="L28" s="64"/>
    </row>
    <row r="29" spans="1:15" ht="18.75" customHeight="1">
      <c r="A29" s="62"/>
      <c r="B29" s="73" t="s">
        <v>19</v>
      </c>
      <c r="C29" s="74"/>
      <c r="D29" s="74">
        <f>(D28/C28-1)*100</f>
        <v>-13.064999009435196</v>
      </c>
      <c r="E29" s="74">
        <f t="shared" ref="E29:H29" si="36">(E28/D28-1)*100</f>
        <v>-48.767608223168779</v>
      </c>
      <c r="F29" s="74">
        <f t="shared" si="36"/>
        <v>36.661138610233124</v>
      </c>
      <c r="G29" s="74">
        <f t="shared" si="36"/>
        <v>2.1111155715864527</v>
      </c>
      <c r="H29" s="30">
        <f t="shared" si="36"/>
        <v>-9.3324475490511816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tr">
        <f>IF(H32="","",1)</f>
        <v/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tr">
        <f>IF(H33="","",1)</f>
        <v/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tr">
        <f>IF(H34="","",1)</f>
        <v/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tr">
        <f>IF(H35="","",1)</f>
        <v/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tr">
        <f>IF(H36="","",1)</f>
        <v/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tr">
        <f>IF(H38="","",1)</f>
        <v/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tr">
        <f>IF(H39="","",1)</f>
        <v/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tr">
        <f>IF(H40="","",1)</f>
        <v/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tr">
        <f>IF(H41="","",1)</f>
        <v/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9" t="str">
        <f>+'Resumen exportaciones totales'!C10:D10</f>
        <v>Año corrido a agosto</v>
      </c>
      <c r="D10" s="169"/>
      <c r="E10" s="166" t="str">
        <f>+'Resumen exportaciones totales'!E10:E11</f>
        <v>% Cambio   '13/'12</v>
      </c>
      <c r="F10" s="166" t="str">
        <f>+'Resumen exportaciones totales'!F10:F11</f>
        <v>% del total '13</v>
      </c>
      <c r="G10" s="169" t="str">
        <f>+'Resumen exportaciones totales'!G10:H10</f>
        <v>Agosto</v>
      </c>
      <c r="H10" s="169"/>
      <c r="I10" s="166" t="str">
        <f>+E10</f>
        <v>% Cambio   '13/'12</v>
      </c>
      <c r="J10" s="166" t="str">
        <f>+F10</f>
        <v>% del total '13</v>
      </c>
      <c r="K10" s="16"/>
    </row>
    <row r="11" spans="1:14">
      <c r="A11" s="14"/>
      <c r="B11" s="9"/>
      <c r="C11" s="156">
        <f>+'Resumen exportaciones totales'!C11</f>
        <v>2012</v>
      </c>
      <c r="D11" s="156">
        <f>+'Resumen exportaciones totales'!D11</f>
        <v>2013</v>
      </c>
      <c r="E11" s="166"/>
      <c r="F11" s="166"/>
      <c r="G11" s="156">
        <f>+C11</f>
        <v>2012</v>
      </c>
      <c r="H11" s="156">
        <f>+D11</f>
        <v>2013</v>
      </c>
      <c r="I11" s="166"/>
      <c r="J11" s="166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f>SUM(C14:C47)</f>
        <v>40168.660390290068</v>
      </c>
      <c r="D13" s="83">
        <f>SUM(D14:D47)</f>
        <v>38684.112583370108</v>
      </c>
      <c r="E13" s="83">
        <f>IF(OR(OR(D13=0,C13=0),D13=""),"",(D13/C13-1)*100)</f>
        <v>-3.6957861987322316</v>
      </c>
      <c r="F13" s="83">
        <f>(D13/D$13)*100</f>
        <v>100</v>
      </c>
      <c r="G13" s="83">
        <f t="shared" ref="G13:H13" si="0">SUM(G14:G47)</f>
        <v>4570.7797758099996</v>
      </c>
      <c r="H13" s="83">
        <f t="shared" si="0"/>
        <v>4978.3056230799994</v>
      </c>
      <c r="I13" s="83">
        <f>IF(OR(OR(H13=0,G13=0),H13=""),"",(H13/G13-1)*100)</f>
        <v>8.915893288640909</v>
      </c>
      <c r="J13" s="83">
        <f>(H13/H$13)*100</f>
        <v>100</v>
      </c>
      <c r="K13" s="16"/>
    </row>
    <row r="14" spans="1:14">
      <c r="A14" s="14"/>
      <c r="B14" s="9" t="str">
        <f>+[32]XX!A2</f>
        <v>Sin definir</v>
      </c>
      <c r="C14" s="21">
        <f>[32]XX!B2/1000000</f>
        <v>14673.143713490001</v>
      </c>
      <c r="D14" s="21">
        <f>[32]XX!C2/1000000</f>
        <v>14779.998983179999</v>
      </c>
      <c r="E14" s="21">
        <f>IF(OR(OR(D14=0,C14=0),D14=""),"",(D14/C14-1)*100)</f>
        <v>0.72823705523827886</v>
      </c>
      <c r="F14" s="21">
        <f>(D14/D$13)*100</f>
        <v>38.206896827029105</v>
      </c>
      <c r="G14" s="21">
        <f>[32]XX!D2/1000000</f>
        <v>1543.4274550599998</v>
      </c>
      <c r="H14" s="21">
        <f>[32]XX!E2/1000000</f>
        <v>2118.1322492299996</v>
      </c>
      <c r="I14" s="21">
        <f>IF(OR(OR(H14=0,G14=0),H14=""),"",(H14/G14-1)*100)</f>
        <v>37.235620779316683</v>
      </c>
      <c r="J14" s="21">
        <f>(H14/H$13)*100</f>
        <v>42.547252209870244</v>
      </c>
      <c r="K14" s="16"/>
    </row>
    <row r="15" spans="1:14">
      <c r="A15" s="14"/>
      <c r="B15" s="9" t="str">
        <f>+[32]XX!A3</f>
        <v>Antioquia</v>
      </c>
      <c r="C15" s="21">
        <f>[32]XX!B3/1000000</f>
        <v>4314.7865198000236</v>
      </c>
      <c r="D15" s="21">
        <f>[32]XX!C3/1000000</f>
        <v>3664.3654800900922</v>
      </c>
      <c r="E15" s="21">
        <f t="shared" ref="E15:E44" si="1">IF(OR(OR(D15=0,C15=0),D15=""),"",(D15/C15-1)*100)</f>
        <v>-15.074234535711772</v>
      </c>
      <c r="F15" s="21">
        <f t="shared" ref="F15:F44" si="2">(D15/D$13)*100</f>
        <v>9.4725333874283173</v>
      </c>
      <c r="G15" s="21">
        <f>[32]XX!D3/1000000</f>
        <v>569.19987330999777</v>
      </c>
      <c r="H15" s="21">
        <f>[32]XX!E3/1000000</f>
        <v>336.57699606000193</v>
      </c>
      <c r="I15" s="21">
        <f t="shared" ref="I15:I44" si="3">IF(OR(OR(H15=0,G15=0),H15=""),"",(H15/G15-1)*100)</f>
        <v>-40.868399336994358</v>
      </c>
      <c r="J15" s="21">
        <f t="shared" ref="J15:J44" si="4">(H15/H$13)*100</f>
        <v>6.7608745131996741</v>
      </c>
      <c r="K15" s="16"/>
    </row>
    <row r="16" spans="1:14">
      <c r="A16" s="14"/>
      <c r="B16" s="9" t="str">
        <f>+[32]XX!A4</f>
        <v>Bolívar</v>
      </c>
      <c r="C16" s="21">
        <f>[32]XX!B4/1000000</f>
        <v>2360.6934459899921</v>
      </c>
      <c r="D16" s="21">
        <f>[32]XX!C4/1000000</f>
        <v>2465.7452556400071</v>
      </c>
      <c r="E16" s="21">
        <f t="shared" si="1"/>
        <v>4.4500402976278775</v>
      </c>
      <c r="F16" s="21">
        <f t="shared" si="2"/>
        <v>6.3740514929118604</v>
      </c>
      <c r="G16" s="21">
        <f>[32]XX!D4/1000000</f>
        <v>364.19174741999996</v>
      </c>
      <c r="H16" s="21">
        <f>[32]XX!E4/1000000</f>
        <v>210.94599015</v>
      </c>
      <c r="I16" s="21">
        <f t="shared" si="3"/>
        <v>-42.07831680855498</v>
      </c>
      <c r="J16" s="21">
        <f t="shared" si="4"/>
        <v>4.2373049411034556</v>
      </c>
      <c r="K16" s="16"/>
    </row>
    <row r="17" spans="1:11" s="147" customFormat="1">
      <c r="A17" s="104"/>
      <c r="B17" s="128" t="str">
        <f>+[32]XX!A5</f>
        <v>Cesar</v>
      </c>
      <c r="C17" s="21">
        <f>[32]XX!B5/1000000</f>
        <v>2838.515710560001</v>
      </c>
      <c r="D17" s="21">
        <f>[32]XX!C5/1000000</f>
        <v>2207.0749992199985</v>
      </c>
      <c r="E17" s="21">
        <f t="shared" si="1"/>
        <v>-22.245454164332521</v>
      </c>
      <c r="F17" s="21">
        <f t="shared" si="2"/>
        <v>5.7053783887724414</v>
      </c>
      <c r="G17" s="21">
        <f>[32]XX!D5/1000000</f>
        <v>111.95643997000003</v>
      </c>
      <c r="H17" s="21">
        <f>[32]XX!E5/1000000</f>
        <v>423.27116421999995</v>
      </c>
      <c r="I17" s="21">
        <f t="shared" si="3"/>
        <v>278.06772378026682</v>
      </c>
      <c r="J17" s="21">
        <f t="shared" si="4"/>
        <v>8.502313764298961</v>
      </c>
      <c r="K17" s="106"/>
    </row>
    <row r="18" spans="1:11" s="147" customFormat="1">
      <c r="A18" s="104"/>
      <c r="B18" s="129" t="str">
        <f>+[32]XX!A6</f>
        <v>Bogotá</v>
      </c>
      <c r="C18" s="24">
        <f>[32]XX!B6/1000000</f>
        <v>2237.6361567400231</v>
      </c>
      <c r="D18" s="24">
        <f>[32]XX!C6/1000000</f>
        <v>2173.1239246600362</v>
      </c>
      <c r="E18" s="24">
        <f t="shared" si="1"/>
        <v>-2.8830528093527819</v>
      </c>
      <c r="F18" s="24">
        <f t="shared" si="2"/>
        <v>5.6176134840281673</v>
      </c>
      <c r="G18" s="24">
        <f>[32]XX!D6/1000000</f>
        <v>271.30448029999957</v>
      </c>
      <c r="H18" s="24">
        <f>[32]XX!E6/1000000</f>
        <v>245.679866029999</v>
      </c>
      <c r="I18" s="24">
        <f t="shared" si="3"/>
        <v>-9.4449653915282603</v>
      </c>
      <c r="J18" s="24">
        <f t="shared" si="4"/>
        <v>4.9350097127624863</v>
      </c>
      <c r="K18" s="106"/>
    </row>
    <row r="19" spans="1:11">
      <c r="A19" s="14"/>
      <c r="B19" s="128" t="str">
        <f>+[32]XX!A7</f>
        <v>Meta</v>
      </c>
      <c r="C19" s="21">
        <f>[32]XX!B7/1000000</f>
        <v>1932.8257962900002</v>
      </c>
      <c r="D19" s="21">
        <f>[32]XX!C7/1000000</f>
        <v>2056.3141133500003</v>
      </c>
      <c r="E19" s="21">
        <f t="shared" si="1"/>
        <v>6.3890039804431531</v>
      </c>
      <c r="F19" s="21">
        <f t="shared" si="2"/>
        <v>5.3156553841537209</v>
      </c>
      <c r="G19" s="21">
        <f>[32]XX!D7/1000000</f>
        <v>224.00323805999997</v>
      </c>
      <c r="H19" s="21">
        <f>[32]XX!E7/1000000</f>
        <v>136.52315904999998</v>
      </c>
      <c r="I19" s="21">
        <f t="shared" si="3"/>
        <v>-39.053042164760221</v>
      </c>
      <c r="J19" s="21">
        <f t="shared" si="4"/>
        <v>2.7423619477491066</v>
      </c>
      <c r="K19" s="16"/>
    </row>
    <row r="20" spans="1:11" s="147" customFormat="1">
      <c r="A20" s="104"/>
      <c r="B20" s="128" t="str">
        <f>+[32]XX!A8</f>
        <v>Guajira</v>
      </c>
      <c r="C20" s="21">
        <f>[32]XX!B8/1000000</f>
        <v>2385.9948273299965</v>
      </c>
      <c r="D20" s="21">
        <f>[32]XX!C8/1000000</f>
        <v>1855.8877196699996</v>
      </c>
      <c r="E20" s="21">
        <f t="shared" si="1"/>
        <v>-22.217445804490843</v>
      </c>
      <c r="F20" s="21">
        <f t="shared" si="2"/>
        <v>4.7975450274845546</v>
      </c>
      <c r="G20" s="21">
        <f>[32]XX!D8/1000000</f>
        <v>261.61083753000003</v>
      </c>
      <c r="H20" s="21">
        <f>[32]XX!E8/1000000</f>
        <v>186.33732875999999</v>
      </c>
      <c r="I20" s="21">
        <f t="shared" si="3"/>
        <v>-28.773085045212664</v>
      </c>
      <c r="J20" s="21">
        <f t="shared" si="4"/>
        <v>3.7429869290490849</v>
      </c>
      <c r="K20" s="106"/>
    </row>
    <row r="21" spans="1:11">
      <c r="A21" s="14"/>
      <c r="B21" s="9" t="str">
        <f>+[32]XX!A9</f>
        <v>Casanare</v>
      </c>
      <c r="C21" s="21">
        <f>[32]XX!B9/1000000</f>
        <v>1407.6329008100001</v>
      </c>
      <c r="D21" s="21">
        <f>[32]XX!C9/1000000</f>
        <v>1579.6317649899993</v>
      </c>
      <c r="E21" s="21">
        <f t="shared" si="1"/>
        <v>12.219014210382916</v>
      </c>
      <c r="F21" s="21">
        <f t="shared" si="2"/>
        <v>4.0834121800924192</v>
      </c>
      <c r="G21" s="21">
        <f>[32]XX!D9/1000000</f>
        <v>202.62175809999999</v>
      </c>
      <c r="H21" s="21">
        <f>[32]XX!E9/1000000</f>
        <v>322.93190802000009</v>
      </c>
      <c r="I21" s="21">
        <f t="shared" si="3"/>
        <v>59.376718003119592</v>
      </c>
      <c r="J21" s="21">
        <f t="shared" si="4"/>
        <v>6.4867835056741097</v>
      </c>
      <c r="K21" s="16"/>
    </row>
    <row r="22" spans="1:11">
      <c r="A22" s="14"/>
      <c r="B22" s="9" t="str">
        <f>+[32]XX!A10</f>
        <v>Valle del Cauca</v>
      </c>
      <c r="C22" s="21">
        <f>[32]XX!B10/1000000</f>
        <v>1485.6387455100223</v>
      </c>
      <c r="D22" s="21">
        <f>[32]XX!C10/1000000</f>
        <v>1391.9509054499981</v>
      </c>
      <c r="E22" s="21">
        <f t="shared" si="1"/>
        <v>-6.306232948162716</v>
      </c>
      <c r="F22" s="21">
        <f t="shared" si="2"/>
        <v>3.5982495461156914</v>
      </c>
      <c r="G22" s="21">
        <f>[32]XX!D10/1000000</f>
        <v>206.41700689000038</v>
      </c>
      <c r="H22" s="21">
        <f>[32]XX!E10/1000000</f>
        <v>163.99885776999884</v>
      </c>
      <c r="I22" s="21">
        <f t="shared" si="3"/>
        <v>-20.549735585792195</v>
      </c>
      <c r="J22" s="21">
        <f t="shared" si="4"/>
        <v>3.2942705849492486</v>
      </c>
      <c r="K22" s="16"/>
    </row>
    <row r="23" spans="1:11">
      <c r="A23" s="14"/>
      <c r="B23" s="9" t="str">
        <f>+[32]XX!A11</f>
        <v>Cundinamarca</v>
      </c>
      <c r="C23" s="21">
        <f>[32]XX!B11/1000000</f>
        <v>1213.7750366000037</v>
      </c>
      <c r="D23" s="21">
        <f>[32]XX!C11/1000000</f>
        <v>1183.0933932499811</v>
      </c>
      <c r="E23" s="21">
        <f t="shared" si="1"/>
        <v>-2.5277866511381863</v>
      </c>
      <c r="F23" s="21">
        <f t="shared" si="2"/>
        <v>3.0583444061182381</v>
      </c>
      <c r="G23" s="21">
        <f>[32]XX!D11/1000000</f>
        <v>153.48844406999979</v>
      </c>
      <c r="H23" s="21">
        <f>[32]XX!E11/1000000</f>
        <v>146.96128248000025</v>
      </c>
      <c r="I23" s="21">
        <f t="shared" si="3"/>
        <v>-4.2525426780812055</v>
      </c>
      <c r="J23" s="21">
        <f t="shared" si="4"/>
        <v>2.9520341579406213</v>
      </c>
      <c r="K23" s="16"/>
    </row>
    <row r="24" spans="1:11">
      <c r="A24" s="14"/>
      <c r="B24" s="9" t="str">
        <f>+[32]XX!A12</f>
        <v>Atlántico</v>
      </c>
      <c r="C24" s="21">
        <f>[32]XX!B12/1000000</f>
        <v>797.83431223999526</v>
      </c>
      <c r="D24" s="21">
        <f>[32]XX!C12/1000000</f>
        <v>792.01351190000094</v>
      </c>
      <c r="E24" s="21">
        <f t="shared" si="1"/>
        <v>-0.72957508228141954</v>
      </c>
      <c r="F24" s="21">
        <f t="shared" si="2"/>
        <v>2.0473870511908272</v>
      </c>
      <c r="G24" s="21">
        <f>[32]XX!D12/1000000</f>
        <v>112.70987498000018</v>
      </c>
      <c r="H24" s="21">
        <f>[32]XX!E12/1000000</f>
        <v>109.92264495000026</v>
      </c>
      <c r="I24" s="21">
        <f t="shared" si="3"/>
        <v>-2.4729244269807715</v>
      </c>
      <c r="J24" s="21">
        <f t="shared" si="4"/>
        <v>2.2080332802467209</v>
      </c>
      <c r="K24" s="16"/>
    </row>
    <row r="25" spans="1:11">
      <c r="A25" s="14"/>
      <c r="B25" s="9" t="str">
        <f>+[32]XX!A13</f>
        <v>Santander</v>
      </c>
      <c r="C25" s="21">
        <f>[32]XX!B13/1000000</f>
        <v>480.20239569999887</v>
      </c>
      <c r="D25" s="21">
        <f>[32]XX!C13/1000000</f>
        <v>734.01752299000043</v>
      </c>
      <c r="E25" s="21">
        <f t="shared" si="1"/>
        <v>52.855864436080346</v>
      </c>
      <c r="F25" s="21">
        <f t="shared" si="2"/>
        <v>1.8974650676245493</v>
      </c>
      <c r="G25" s="21">
        <f>[32]XX!D13/1000000</f>
        <v>55.552244869999974</v>
      </c>
      <c r="H25" s="21">
        <f>[32]XX!E13/1000000</f>
        <v>93.336658800000066</v>
      </c>
      <c r="I25" s="21">
        <f t="shared" si="3"/>
        <v>68.015998306496712</v>
      </c>
      <c r="J25" s="21">
        <f t="shared" si="4"/>
        <v>1.8748679945899775</v>
      </c>
      <c r="K25" s="16"/>
    </row>
    <row r="26" spans="1:11">
      <c r="A26" s="14"/>
      <c r="B26" s="9" t="str">
        <f>+[32]XX!A14</f>
        <v>Aráuca</v>
      </c>
      <c r="C26" s="21">
        <f>[32]XX!B14/1000000</f>
        <v>429.38223088000007</v>
      </c>
      <c r="D26" s="21">
        <f>[32]XX!C14/1000000</f>
        <v>557.29271762999997</v>
      </c>
      <c r="E26" s="21">
        <f t="shared" si="1"/>
        <v>29.789422465818618</v>
      </c>
      <c r="F26" s="21">
        <f t="shared" si="2"/>
        <v>1.440624278064929</v>
      </c>
      <c r="G26" s="21">
        <f>[32]XX!D14/1000000</f>
        <v>44.705896649999993</v>
      </c>
      <c r="H26" s="21">
        <f>[32]XX!E14/1000000</f>
        <v>83.279741639999983</v>
      </c>
      <c r="I26" s="21">
        <f t="shared" si="3"/>
        <v>86.283573041812573</v>
      </c>
      <c r="J26" s="21">
        <f t="shared" si="4"/>
        <v>1.6728531340845267</v>
      </c>
      <c r="K26" s="16"/>
    </row>
    <row r="27" spans="1:11">
      <c r="A27" s="14"/>
      <c r="B27" s="9" t="str">
        <f>+[32]XX!A15</f>
        <v>Córdoba</v>
      </c>
      <c r="C27" s="21">
        <f>[32]XX!B15/1000000</f>
        <v>668.55259548999948</v>
      </c>
      <c r="D27" s="21">
        <f>[32]XX!C15/1000000</f>
        <v>543.92385404999959</v>
      </c>
      <c r="E27" s="21">
        <f t="shared" si="1"/>
        <v>-18.6415761872342</v>
      </c>
      <c r="F27" s="21">
        <f t="shared" si="2"/>
        <v>1.4060652234887423</v>
      </c>
      <c r="G27" s="21">
        <f>[32]XX!D15/1000000</f>
        <v>84.096581560000018</v>
      </c>
      <c r="H27" s="21">
        <f>[32]XX!E15/1000000</f>
        <v>64.822056930000016</v>
      </c>
      <c r="I27" s="21">
        <f t="shared" si="3"/>
        <v>-22.919510249353348</v>
      </c>
      <c r="J27" s="21">
        <f t="shared" si="4"/>
        <v>1.3020907480946424</v>
      </c>
      <c r="K27" s="16"/>
    </row>
    <row r="28" spans="1:11">
      <c r="A28" s="14"/>
      <c r="B28" s="9" t="str">
        <f>+[32]XX!A16</f>
        <v>Caldas</v>
      </c>
      <c r="C28" s="21">
        <f>[32]XX!B16/1000000</f>
        <v>431.84730964999835</v>
      </c>
      <c r="D28" s="21">
        <f>[32]XX!C16/1000000</f>
        <v>447.93838054000025</v>
      </c>
      <c r="E28" s="21">
        <f t="shared" si="1"/>
        <v>3.7261019185330424</v>
      </c>
      <c r="F28" s="21">
        <f t="shared" si="2"/>
        <v>1.1579388814325917</v>
      </c>
      <c r="G28" s="21">
        <f>[32]XX!D16/1000000</f>
        <v>62.465540700000155</v>
      </c>
      <c r="H28" s="21">
        <f>[32]XX!E16/1000000</f>
        <v>62.702070100000086</v>
      </c>
      <c r="I28" s="21">
        <f t="shared" si="3"/>
        <v>0.37865581142713101</v>
      </c>
      <c r="J28" s="21">
        <f t="shared" si="4"/>
        <v>1.2595062426321528</v>
      </c>
      <c r="K28" s="16"/>
    </row>
    <row r="29" spans="1:11">
      <c r="A29" s="14"/>
      <c r="B29" s="9" t="str">
        <f>+[32]XX!A17</f>
        <v>Magdalena</v>
      </c>
      <c r="C29" s="21">
        <f>[32]XX!B17/1000000</f>
        <v>331.52794523000074</v>
      </c>
      <c r="D29" s="21">
        <f>[32]XX!C17/1000000</f>
        <v>394.10018419000102</v>
      </c>
      <c r="E29" s="21">
        <f t="shared" si="1"/>
        <v>18.87389580887071</v>
      </c>
      <c r="F29" s="21">
        <f t="shared" si="2"/>
        <v>1.0187649602680056</v>
      </c>
      <c r="G29" s="21">
        <f>[32]XX!D17/1000000</f>
        <v>44.102338040000035</v>
      </c>
      <c r="H29" s="21">
        <f>[32]XX!E17/1000000</f>
        <v>40.717039670000013</v>
      </c>
      <c r="I29" s="21">
        <f t="shared" si="3"/>
        <v>-7.6760065802625181</v>
      </c>
      <c r="J29" s="21">
        <f t="shared" si="4"/>
        <v>0.81788951407947152</v>
      </c>
      <c r="K29" s="16"/>
    </row>
    <row r="30" spans="1:11">
      <c r="A30" s="14"/>
      <c r="B30" s="9" t="str">
        <f>+[32]XX!A18</f>
        <v>Risaralda</v>
      </c>
      <c r="C30" s="21">
        <f>[32]XX!B18/1000000</f>
        <v>389.82586922999985</v>
      </c>
      <c r="D30" s="21">
        <f>[32]XX!C18/1000000</f>
        <v>301.32643727999965</v>
      </c>
      <c r="E30" s="21">
        <f t="shared" si="1"/>
        <v>-22.702298368450492</v>
      </c>
      <c r="F30" s="21">
        <f t="shared" si="2"/>
        <v>0.77894106173586286</v>
      </c>
      <c r="G30" s="21">
        <f>[32]XX!D18/1000000</f>
        <v>46.438864230000021</v>
      </c>
      <c r="H30" s="21">
        <f>[32]XX!E18/1000000</f>
        <v>33.500386159999991</v>
      </c>
      <c r="I30" s="21">
        <f t="shared" si="3"/>
        <v>-27.861314621992051</v>
      </c>
      <c r="J30" s="21">
        <f t="shared" si="4"/>
        <v>0.67292747164192435</v>
      </c>
      <c r="K30" s="16"/>
    </row>
    <row r="31" spans="1:11">
      <c r="A31" s="14"/>
      <c r="B31" s="9" t="str">
        <f>+[32]XX!A19</f>
        <v>Huila</v>
      </c>
      <c r="C31" s="21">
        <f>[32]XX!B19/1000000</f>
        <v>507.19738108999996</v>
      </c>
      <c r="D31" s="21">
        <f>[32]XX!C19/1000000</f>
        <v>299.12243608999972</v>
      </c>
      <c r="E31" s="21">
        <f t="shared" si="1"/>
        <v>-41.024451773160528</v>
      </c>
      <c r="F31" s="21">
        <f t="shared" si="2"/>
        <v>0.77324362926859358</v>
      </c>
      <c r="G31" s="21">
        <f>[32]XX!D19/1000000</f>
        <v>33.832618359999998</v>
      </c>
      <c r="H31" s="21">
        <f>[32]XX!E19/1000000</f>
        <v>35.261359999999982</v>
      </c>
      <c r="I31" s="21">
        <f t="shared" si="3"/>
        <v>4.2229709353183598</v>
      </c>
      <c r="J31" s="21">
        <f t="shared" si="4"/>
        <v>0.70830042728843823</v>
      </c>
      <c r="K31" s="16"/>
    </row>
    <row r="32" spans="1:11">
      <c r="A32" s="14"/>
      <c r="B32" s="9" t="str">
        <f>+[32]XX!A20</f>
        <v>Norte de Santander</v>
      </c>
      <c r="C32" s="21">
        <f>[32]XX!B20/1000000</f>
        <v>289.51795004999963</v>
      </c>
      <c r="D32" s="21">
        <f>[32]XX!C20/1000000</f>
        <v>292.85611901999914</v>
      </c>
      <c r="E32" s="21">
        <f t="shared" si="1"/>
        <v>1.1530093278924625</v>
      </c>
      <c r="F32" s="21">
        <f t="shared" si="2"/>
        <v>0.75704494548983114</v>
      </c>
      <c r="G32" s="21">
        <f>[32]XX!D20/1000000</f>
        <v>32.240074509999999</v>
      </c>
      <c r="H32" s="21">
        <f>[32]XX!E20/1000000</f>
        <v>34.991238690000024</v>
      </c>
      <c r="I32" s="21">
        <f t="shared" si="3"/>
        <v>8.5333679335843016</v>
      </c>
      <c r="J32" s="21">
        <f t="shared" si="4"/>
        <v>0.70287445848596775</v>
      </c>
      <c r="K32" s="16"/>
    </row>
    <row r="33" spans="1:13">
      <c r="A33" s="14"/>
      <c r="B33" s="9" t="str">
        <f>+[32]XX!A21</f>
        <v>Boyacá</v>
      </c>
      <c r="C33" s="21">
        <f>[32]XX!B21/1000000</f>
        <v>306.98859109000006</v>
      </c>
      <c r="D33" s="21">
        <f>[32]XX!C21/1000000</f>
        <v>247.3353244699999</v>
      </c>
      <c r="E33" s="21">
        <f t="shared" si="1"/>
        <v>-19.431753606280299</v>
      </c>
      <c r="F33" s="21">
        <f t="shared" si="2"/>
        <v>0.63937184532010372</v>
      </c>
      <c r="G33" s="21">
        <f>[32]XX!D21/1000000</f>
        <v>54.872262119999995</v>
      </c>
      <c r="H33" s="21">
        <f>[32]XX!E21/1000000</f>
        <v>28.328616769999993</v>
      </c>
      <c r="I33" s="21">
        <f t="shared" si="3"/>
        <v>-48.373521200842383</v>
      </c>
      <c r="J33" s="21">
        <f t="shared" si="4"/>
        <v>0.56904133484021668</v>
      </c>
      <c r="K33" s="16"/>
    </row>
    <row r="34" spans="1:13">
      <c r="A34" s="14"/>
      <c r="B34" s="9" t="str">
        <f>+[32]XX!A22</f>
        <v>Tolima</v>
      </c>
      <c r="C34" s="21">
        <f>[32]XX!B22/1000000</f>
        <v>337.23602480999995</v>
      </c>
      <c r="D34" s="21">
        <f>[32]XX!C22/1000000</f>
        <v>215.37739251000013</v>
      </c>
      <c r="E34" s="21">
        <f t="shared" si="1"/>
        <v>-36.134523993590371</v>
      </c>
      <c r="F34" s="21">
        <f t="shared" si="2"/>
        <v>0.55675929503573163</v>
      </c>
      <c r="G34" s="21">
        <f>[32]XX!D22/1000000</f>
        <v>31.16403433999999</v>
      </c>
      <c r="H34" s="21">
        <f>[32]XX!E22/1000000</f>
        <v>24.329010390000004</v>
      </c>
      <c r="I34" s="21">
        <f t="shared" si="3"/>
        <v>-21.932410532698665</v>
      </c>
      <c r="J34" s="21">
        <f t="shared" si="4"/>
        <v>0.48870061888542771</v>
      </c>
      <c r="K34" s="16"/>
    </row>
    <row r="35" spans="1:13">
      <c r="A35" s="14"/>
      <c r="B35" s="9" t="str">
        <f>+[32]XX!A23</f>
        <v>Cauca</v>
      </c>
      <c r="C35" s="21">
        <f>[32]XX!B23/1000000</f>
        <v>193.10090019999961</v>
      </c>
      <c r="D35" s="21">
        <f>[32]XX!C23/1000000</f>
        <v>168.70414616000068</v>
      </c>
      <c r="E35" s="21">
        <f t="shared" si="1"/>
        <v>-12.6342000553755</v>
      </c>
      <c r="F35" s="21">
        <f t="shared" si="2"/>
        <v>0.43610706022121548</v>
      </c>
      <c r="G35" s="21">
        <f>[32]XX!D23/1000000</f>
        <v>37.366421210000041</v>
      </c>
      <c r="H35" s="21">
        <f>[32]XX!E23/1000000</f>
        <v>27.300319540000004</v>
      </c>
      <c r="I35" s="21">
        <f t="shared" si="3"/>
        <v>-26.938896859906237</v>
      </c>
      <c r="J35" s="21">
        <f t="shared" si="4"/>
        <v>0.54838576831106101</v>
      </c>
      <c r="K35" s="16"/>
    </row>
    <row r="36" spans="1:13">
      <c r="A36" s="14"/>
      <c r="B36" s="9" t="str">
        <f>+[32]XX!A24</f>
        <v>Putumayo</v>
      </c>
      <c r="C36" s="21">
        <f>[32]XX!B24/1000000</f>
        <v>0</v>
      </c>
      <c r="D36" s="21">
        <f>[32]XX!C24/1000000</f>
        <v>157.42354129</v>
      </c>
      <c r="E36" s="21" t="str">
        <f t="shared" si="1"/>
        <v/>
      </c>
      <c r="F36" s="21">
        <f t="shared" si="2"/>
        <v>0.40694623910714889</v>
      </c>
      <c r="G36" s="21">
        <f>[32]XX!D24/1000000</f>
        <v>0</v>
      </c>
      <c r="H36" s="21">
        <f>[32]XX!E24/1000000</f>
        <v>16.099970410000001</v>
      </c>
      <c r="I36" s="21" t="str">
        <f t="shared" si="3"/>
        <v/>
      </c>
      <c r="J36" s="21">
        <f t="shared" si="4"/>
        <v>0.32340261183159746</v>
      </c>
      <c r="K36" s="16"/>
    </row>
    <row r="37" spans="1:13">
      <c r="A37" s="14"/>
      <c r="B37" s="9" t="str">
        <f>+[32]XX!A25</f>
        <v>Quindío</v>
      </c>
      <c r="C37" s="21">
        <f>[32]XX!B25/1000000</f>
        <v>113.18882520999989</v>
      </c>
      <c r="D37" s="21">
        <f>[32]XX!C25/1000000</f>
        <v>129.67214115000013</v>
      </c>
      <c r="E37" s="21">
        <f t="shared" si="1"/>
        <v>14.562670749006056</v>
      </c>
      <c r="F37" s="21">
        <f t="shared" si="2"/>
        <v>0.33520774418835914</v>
      </c>
      <c r="G37" s="21">
        <f>[32]XX!D25/1000000</f>
        <v>15.371279220000005</v>
      </c>
      <c r="H37" s="21">
        <f>[32]XX!E25/1000000</f>
        <v>21.212009960000007</v>
      </c>
      <c r="I37" s="21">
        <f t="shared" si="3"/>
        <v>37.997688132556085</v>
      </c>
      <c r="J37" s="21">
        <f t="shared" si="4"/>
        <v>0.42608894603936487</v>
      </c>
      <c r="K37" s="16"/>
    </row>
    <row r="38" spans="1:13">
      <c r="A38" s="14"/>
      <c r="B38" s="9" t="str">
        <f>+[32]XX!A26</f>
        <v>Nariño</v>
      </c>
      <c r="C38" s="21">
        <f>[32]XX!B26/1000000</f>
        <v>20.114052260000054</v>
      </c>
      <c r="D38" s="21">
        <f>[32]XX!C26/1000000</f>
        <v>24.353405979999991</v>
      </c>
      <c r="E38" s="21">
        <f t="shared" si="1"/>
        <v>21.076577037788425</v>
      </c>
      <c r="F38" s="21">
        <f t="shared" si="2"/>
        <v>6.2954542197432406E-2</v>
      </c>
      <c r="G38" s="21">
        <f>[32]XX!D26/1000000</f>
        <v>4.6151632999999981</v>
      </c>
      <c r="H38" s="21">
        <f>[32]XX!E26/1000000</f>
        <v>9.5930006600000031</v>
      </c>
      <c r="I38" s="21">
        <f t="shared" si="3"/>
        <v>107.85831478595797</v>
      </c>
      <c r="J38" s="21">
        <f t="shared" si="4"/>
        <v>0.1926960975542712</v>
      </c>
      <c r="K38" s="16"/>
    </row>
    <row r="39" spans="1:13">
      <c r="A39" s="14"/>
      <c r="B39" s="9" t="str">
        <f>+[32]XX!A27</f>
        <v>Sucre</v>
      </c>
      <c r="C39" s="21">
        <f>[32]XX!B27/1000000</f>
        <v>16.091413500000002</v>
      </c>
      <c r="D39" s="21">
        <f>[32]XX!C27/1000000</f>
        <v>16.563501169999999</v>
      </c>
      <c r="E39" s="21">
        <f t="shared" si="1"/>
        <v>2.9337862084023669</v>
      </c>
      <c r="F39" s="21">
        <f t="shared" si="2"/>
        <v>4.2817322316243266E-2</v>
      </c>
      <c r="G39" s="21">
        <f>[32]XX!D27/1000000</f>
        <v>2.8840865</v>
      </c>
      <c r="H39" s="21">
        <f>[32]XX!E27/1000000</f>
        <v>1.2055600999999998</v>
      </c>
      <c r="I39" s="21">
        <f t="shared" si="3"/>
        <v>-58.199585900076166</v>
      </c>
      <c r="J39" s="21">
        <f t="shared" si="4"/>
        <v>2.4216273392514996E-2</v>
      </c>
      <c r="K39" s="16"/>
    </row>
    <row r="40" spans="1:13">
      <c r="A40" s="14"/>
      <c r="B40" s="9" t="str">
        <f>+[32]XX!A28</f>
        <v>San Andrés</v>
      </c>
      <c r="C40" s="21">
        <f>[32]XX!B28/1000000</f>
        <v>1.7855958600000004</v>
      </c>
      <c r="D40" s="21">
        <f>[32]XX!C28/1000000</f>
        <v>2.4846695799999998</v>
      </c>
      <c r="E40" s="21">
        <f t="shared" si="1"/>
        <v>39.150724733423118</v>
      </c>
      <c r="F40" s="21">
        <f t="shared" si="2"/>
        <v>6.4229716389258285E-3</v>
      </c>
      <c r="G40" s="21">
        <f>[32]XX!D28/1000000</f>
        <v>3.8299999999999996E-5</v>
      </c>
      <c r="H40" s="21">
        <f>[32]XX!E28/1000000</f>
        <v>1.1203899999999999E-2</v>
      </c>
      <c r="I40" s="21">
        <f t="shared" si="3"/>
        <v>29153.002610966058</v>
      </c>
      <c r="J40" s="21">
        <f t="shared" si="4"/>
        <v>2.2505448335790045E-4</v>
      </c>
      <c r="K40" s="16"/>
    </row>
    <row r="41" spans="1:13">
      <c r="A41" s="14"/>
      <c r="B41" s="9" t="str">
        <f>+[32]XX!A29</f>
        <v>Chocó</v>
      </c>
      <c r="C41" s="21">
        <f>[32]XX!B29/1000000</f>
        <v>1.5175199199999994</v>
      </c>
      <c r="D41" s="21">
        <f>[32]XX!C29/1000000</f>
        <v>1.3435777199999999</v>
      </c>
      <c r="E41" s="21">
        <f t="shared" si="1"/>
        <v>-11.462267987889053</v>
      </c>
      <c r="F41" s="21">
        <f t="shared" si="2"/>
        <v>3.4732028997805932E-3</v>
      </c>
      <c r="G41" s="21">
        <f>[32]XX!D29/1000000</f>
        <v>9.6729499999999996E-2</v>
      </c>
      <c r="H41" s="21">
        <f>[32]XX!E29/1000000</f>
        <v>0.10601724</v>
      </c>
      <c r="I41" s="21">
        <f t="shared" si="3"/>
        <v>9.6017657488149943</v>
      </c>
      <c r="J41" s="21">
        <f t="shared" si="4"/>
        <v>2.1295848030802255E-3</v>
      </c>
      <c r="K41" s="16"/>
    </row>
    <row r="42" spans="1:13">
      <c r="A42" s="14"/>
      <c r="B42" s="9" t="str">
        <f>+[32]XX!A30</f>
        <v>Vichada</v>
      </c>
      <c r="C42" s="21">
        <f>[32]XX!B30/1000000</f>
        <v>1.2323957400000001</v>
      </c>
      <c r="D42" s="21">
        <f>[32]XX!C30/1000000</f>
        <v>0.52332886999999995</v>
      </c>
      <c r="E42" s="21">
        <f t="shared" si="1"/>
        <v>-57.535647599690677</v>
      </c>
      <c r="F42" s="21">
        <f t="shared" si="2"/>
        <v>1.3528263544165507E-3</v>
      </c>
      <c r="G42" s="21">
        <f>[32]XX!D30/1000000</f>
        <v>0</v>
      </c>
      <c r="H42" s="21">
        <f>[32]XX!E30/1000000</f>
        <v>0</v>
      </c>
      <c r="I42" s="21" t="str">
        <f t="shared" si="3"/>
        <v/>
      </c>
      <c r="J42" s="21">
        <f t="shared" si="4"/>
        <v>0</v>
      </c>
      <c r="K42" s="16"/>
    </row>
    <row r="43" spans="1:13">
      <c r="A43" s="14"/>
      <c r="B43" s="9" t="str">
        <f>+[32]XX!A31</f>
        <v>Amazonas</v>
      </c>
      <c r="C43" s="21">
        <f>[32]XX!B31/1000000</f>
        <v>2.0775400000000003E-2</v>
      </c>
      <c r="D43" s="21">
        <f>[32]XX!C31/1000000</f>
        <v>0.17021084000000003</v>
      </c>
      <c r="E43" s="21">
        <f t="shared" si="1"/>
        <v>719.29031450657988</v>
      </c>
      <c r="F43" s="21">
        <f t="shared" si="2"/>
        <v>4.4000192490694973E-4</v>
      </c>
      <c r="G43" s="21">
        <f>[32]XX!D31/1000000</f>
        <v>0</v>
      </c>
      <c r="H43" s="21">
        <f>[32]XX!E31/1000000</f>
        <v>0</v>
      </c>
      <c r="I43" s="21" t="str">
        <f t="shared" si="3"/>
        <v/>
      </c>
      <c r="J43" s="21">
        <f t="shared" si="4"/>
        <v>0</v>
      </c>
      <c r="K43" s="16"/>
    </row>
    <row r="44" spans="1:13">
      <c r="A44" s="14"/>
      <c r="B44" s="9" t="str">
        <f>+[32]XX!A32</f>
        <v>Vaupés</v>
      </c>
      <c r="C44" s="21">
        <f>[32]XX!B32/1000000</f>
        <v>4.4135699999999995E-3</v>
      </c>
      <c r="D44" s="21">
        <f>[32]XX!C32/1000000</f>
        <v>0.15303784000000001</v>
      </c>
      <c r="E44" s="21">
        <f t="shared" si="1"/>
        <v>3367.4388306971459</v>
      </c>
      <c r="F44" s="21">
        <f t="shared" si="2"/>
        <v>3.956090233947602E-4</v>
      </c>
      <c r="G44" s="21">
        <f>[32]XX!D32/1000000</f>
        <v>0</v>
      </c>
      <c r="H44" s="21">
        <f>[32]XX!E32/1000000</f>
        <v>0.11315654000000001</v>
      </c>
      <c r="I44" s="21" t="str">
        <f t="shared" si="3"/>
        <v/>
      </c>
      <c r="J44" s="21">
        <f t="shared" si="4"/>
        <v>2.272993033521149E-3</v>
      </c>
      <c r="K44" s="16"/>
    </row>
    <row r="45" spans="1:13" s="147" customFormat="1">
      <c r="A45" s="104"/>
      <c r="B45" s="128" t="str">
        <f>+[32]XX!A33</f>
        <v>Guaviare</v>
      </c>
      <c r="C45" s="21">
        <f>[32]XX!B33/1000000</f>
        <v>0</v>
      </c>
      <c r="D45" s="21">
        <f>[32]XX!C33/1000000</f>
        <v>0.10904286000000001</v>
      </c>
      <c r="E45" s="21" t="str">
        <f t="shared" ref="E45" si="5">IF(OR(OR(D45=0,C45=0),D45=""),"",(D45/C45-1)*100)</f>
        <v/>
      </c>
      <c r="F45" s="21">
        <f t="shared" ref="F45" si="6">(D45/D$13)*100</f>
        <v>2.8188021572162517E-4</v>
      </c>
      <c r="G45" s="21">
        <f>[32]XX!D33/1000000</f>
        <v>0</v>
      </c>
      <c r="H45" s="21">
        <f>[32]XX!E33/1000000</f>
        <v>0.10904286000000001</v>
      </c>
      <c r="I45" s="21" t="str">
        <f t="shared" ref="I45" si="7">IF(OR(OR(H45=0,G45=0),H45=""),"",(H45/G45-1)*100)</f>
        <v/>
      </c>
      <c r="J45" s="21">
        <f t="shared" ref="J45" si="8">(H45/H$13)*100</f>
        <v>2.1903609030041208E-3</v>
      </c>
      <c r="K45" s="106"/>
    </row>
    <row r="46" spans="1:13" s="147" customFormat="1">
      <c r="A46" s="104"/>
      <c r="B46" s="128" t="str">
        <f>+[32]XX!A34</f>
        <v>Caquetá</v>
      </c>
      <c r="C46" s="21">
        <f>[32]XX!B34/1000000</f>
        <v>0.42302096</v>
      </c>
      <c r="D46" s="21">
        <f>[32]XX!C34/1000000</f>
        <v>9.0367239999999988E-2</v>
      </c>
      <c r="E46" s="21">
        <f t="shared" ref="E46" si="9">IF(OR(OR(D46=0,C46=0),D46=""),"",(D46/C46-1)*100)</f>
        <v>-78.637644810791414</v>
      </c>
      <c r="F46" s="21">
        <f t="shared" ref="F46" si="10">(D46/D$13)*100</f>
        <v>2.3360298056532879E-4</v>
      </c>
      <c r="G46" s="21">
        <f>[32]XX!D34/1000000</f>
        <v>4.444671E-2</v>
      </c>
      <c r="H46" s="21">
        <f>[32]XX!E34/1000000</f>
        <v>0</v>
      </c>
      <c r="I46" s="21" t="str">
        <f t="shared" ref="I46" si="11">IF(OR(OR(H46=0,G46=0),H46=""),"",(H46/G46-1)*100)</f>
        <v/>
      </c>
      <c r="J46" s="21">
        <f t="shared" ref="J46" si="12">(H46/H$13)*100</f>
        <v>0</v>
      </c>
      <c r="K46" s="106"/>
    </row>
    <row r="47" spans="1:13" s="147" customFormat="1">
      <c r="A47" s="104"/>
      <c r="B47" s="128" t="str">
        <f>+[32]XX!A35</f>
        <v>Guainía</v>
      </c>
      <c r="C47" s="21">
        <f>[32]XX!B35/1000000</f>
        <v>0.42601909000000004</v>
      </c>
      <c r="D47" s="21">
        <f>[32]XX!C35/1000000</f>
        <v>3.1192500000000001E-2</v>
      </c>
      <c r="E47" s="21">
        <f t="shared" ref="E47" si="13">IF(OR(OR(D47=0,C47=0),D47=""),"",(D47/C47-1)*100)</f>
        <v>-92.678145009886762</v>
      </c>
      <c r="F47" s="21">
        <f t="shared" ref="F47" si="14">(D47/D$13)*100</f>
        <v>8.0633877622952974E-5</v>
      </c>
      <c r="G47" s="21">
        <f>[32]XX!D35/1000000</f>
        <v>0</v>
      </c>
      <c r="H47" s="21">
        <f>[32]XX!E35/1000000</f>
        <v>5.7159999999999997E-3</v>
      </c>
      <c r="I47" s="21" t="str">
        <f t="shared" ref="I47" si="15">IF(OR(OR(H47=0,G47=0),H47=""),"",(H47/G47-1)*100)</f>
        <v/>
      </c>
      <c r="J47" s="21">
        <f t="shared" ref="J47" si="16">(H47/H$13)*100</f>
        <v>1.1481818178257204E-4</v>
      </c>
      <c r="K47" s="10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tr">
        <f>IF(F48="","",1)</f>
        <v/>
      </c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36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SUM(C14:C41)</f>
        <v>27789.566636169999</v>
      </c>
      <c r="D13" s="83">
        <f>SUM(D14:D41)</f>
        <v>26645.124729769988</v>
      </c>
      <c r="E13" s="83">
        <f>IF(OR(OR(D13=0,C13=0),D13=""),"",(D13/C13-1)*100)</f>
        <v>-4.1182430851960161</v>
      </c>
      <c r="F13" s="83">
        <f>(D13/D$13)*100</f>
        <v>100</v>
      </c>
      <c r="G13" s="83">
        <f t="shared" ref="G13:H13" si="0">SUM(G14:G41)</f>
        <v>2892.5954400700002</v>
      </c>
      <c r="H13" s="83">
        <f t="shared" si="0"/>
        <v>3685.6281283799995</v>
      </c>
      <c r="I13" s="83">
        <f>IF(OR(OR(H13=0,G13=0),H13=""),"",(H13/G13-1)*100)</f>
        <v>27.415955834142093</v>
      </c>
      <c r="J13" s="83">
        <f>(H13/H$13)*100</f>
        <v>100</v>
      </c>
      <c r="K13" s="16"/>
    </row>
    <row r="14" spans="1:14">
      <c r="A14" s="14"/>
      <c r="B14" s="9" t="str">
        <f>+[33]XX!A2</f>
        <v>Sin definir</v>
      </c>
      <c r="C14" s="21">
        <f>[33]XX!B2/1000000</f>
        <v>14673.143713490001</v>
      </c>
      <c r="D14" s="21">
        <f>[33]XX!E2/1000000</f>
        <v>14248.378455179998</v>
      </c>
      <c r="E14" s="21">
        <f>IF(OR(OR(D14=0,C14=0),D14=""),"",(D14/C14-1)*100)</f>
        <v>-2.8948483474573128</v>
      </c>
      <c r="F14" s="21">
        <f>(D14/D$13)*100</f>
        <v>53.474617213034136</v>
      </c>
      <c r="G14" s="21">
        <f>[33]XX!C2/1000000</f>
        <v>1543.4274550599998</v>
      </c>
      <c r="H14" s="21">
        <f>[33]XX!F2/1000000</f>
        <v>2118.1322492299996</v>
      </c>
      <c r="I14" s="21">
        <f>IF(OR(OR(H14=0,G14=0),H14=""),"",(H14/G14-1)*100)</f>
        <v>37.235620779316683</v>
      </c>
      <c r="J14" s="21">
        <f>(H14/H$13)*100</f>
        <v>57.470047857514452</v>
      </c>
      <c r="K14" s="16"/>
    </row>
    <row r="15" spans="1:14">
      <c r="A15" s="14"/>
      <c r="B15" s="9" t="str">
        <f>+[33]XX!A3</f>
        <v>Cesar</v>
      </c>
      <c r="C15" s="21">
        <f>[33]XX!B3/1000000</f>
        <v>2732.4438075799981</v>
      </c>
      <c r="D15" s="21">
        <f>[33]XX!E3/1000000</f>
        <v>2085.2961613499992</v>
      </c>
      <c r="E15" s="21">
        <f t="shared" ref="E15:E38" si="1">IF(OR(OR(D15=0,C15=0),D15=""),"",(D15/C15-1)*100)</f>
        <v>-23.683840979081218</v>
      </c>
      <c r="F15" s="21">
        <f t="shared" ref="F15:F38" si="2">(D15/D$13)*100</f>
        <v>7.8261827726411255</v>
      </c>
      <c r="G15" s="21">
        <f>[33]XX!C3/1000000</f>
        <v>80.314059570000012</v>
      </c>
      <c r="H15" s="21">
        <f>[33]XX!F3/1000000</f>
        <v>409.78172223000001</v>
      </c>
      <c r="I15" s="21">
        <f t="shared" ref="I15:I38" si="3">IF(OR(OR(H15=0,G15=0),H15=""),"",(H15/G15-1)*100)</f>
        <v>410.22414310017916</v>
      </c>
      <c r="J15" s="21">
        <f t="shared" ref="J15:J38" si="4">(H15/H$13)*100</f>
        <v>11.118368645892597</v>
      </c>
      <c r="K15" s="16"/>
    </row>
    <row r="16" spans="1:14">
      <c r="A16" s="14"/>
      <c r="B16" s="9" t="str">
        <f>+[33]XX!A4</f>
        <v>Meta</v>
      </c>
      <c r="C16" s="21">
        <f>[33]XX!B4/1000000</f>
        <v>1931.5191844399999</v>
      </c>
      <c r="D16" s="21">
        <f>[33]XX!E4/1000000</f>
        <v>2052.4260910899998</v>
      </c>
      <c r="E16" s="21">
        <f t="shared" si="1"/>
        <v>6.2596793044566112</v>
      </c>
      <c r="F16" s="21">
        <f t="shared" si="2"/>
        <v>7.7028203542123821</v>
      </c>
      <c r="G16" s="21">
        <f>[33]XX!C4/1000000</f>
        <v>223.93034405999998</v>
      </c>
      <c r="H16" s="21">
        <f>[33]XX!F4/1000000</f>
        <v>136.05955990000001</v>
      </c>
      <c r="I16" s="21">
        <f t="shared" si="3"/>
        <v>-39.240230942732722</v>
      </c>
      <c r="J16" s="21">
        <f t="shared" si="4"/>
        <v>3.6916247423964701</v>
      </c>
      <c r="K16" s="16"/>
    </row>
    <row r="17" spans="1:11">
      <c r="A17" s="14"/>
      <c r="B17" s="9" t="str">
        <f>+[33]XX!A5</f>
        <v>Guajira</v>
      </c>
      <c r="C17" s="21">
        <f>[33]XX!B5/1000000</f>
        <v>2384.5206208199984</v>
      </c>
      <c r="D17" s="21">
        <f>[33]XX!E5/1000000</f>
        <v>1847.375457749999</v>
      </c>
      <c r="E17" s="21">
        <f t="shared" si="1"/>
        <v>-22.526337511196857</v>
      </c>
      <c r="F17" s="21">
        <f t="shared" si="2"/>
        <v>6.9332588099539603</v>
      </c>
      <c r="G17" s="21">
        <f>[33]XX!C5/1000000</f>
        <v>261.58051113000005</v>
      </c>
      <c r="H17" s="21">
        <f>[33]XX!F5/1000000</f>
        <v>185.99346961999996</v>
      </c>
      <c r="I17" s="21">
        <f t="shared" si="3"/>
        <v>-28.896281754123077</v>
      </c>
      <c r="J17" s="21">
        <f t="shared" si="4"/>
        <v>5.0464524130314938</v>
      </c>
      <c r="K17" s="16"/>
    </row>
    <row r="18" spans="1:11">
      <c r="A18" s="14"/>
      <c r="B18" s="9" t="str">
        <f>+[33]XX!A6</f>
        <v>Casanare</v>
      </c>
      <c r="C18" s="21">
        <f>[33]XX!B6/1000000</f>
        <v>1407.5752508100002</v>
      </c>
      <c r="D18" s="21">
        <f>[33]XX!E6/1000000</f>
        <v>1579.3794673900004</v>
      </c>
      <c r="E18" s="21">
        <f t="shared" si="1"/>
        <v>12.205686088977075</v>
      </c>
      <c r="F18" s="21">
        <f t="shared" si="2"/>
        <v>5.927461340143009</v>
      </c>
      <c r="G18" s="21">
        <f>[33]XX!C6/1000000</f>
        <v>202.62175809999999</v>
      </c>
      <c r="H18" s="21">
        <f>[33]XX!F6/1000000</f>
        <v>322.92963801000013</v>
      </c>
      <c r="I18" s="21">
        <f t="shared" si="3"/>
        <v>59.375597684146307</v>
      </c>
      <c r="J18" s="21">
        <f t="shared" si="4"/>
        <v>8.7618616626941783</v>
      </c>
      <c r="K18" s="16"/>
    </row>
    <row r="19" spans="1:11">
      <c r="A19" s="14"/>
      <c r="B19" s="9" t="str">
        <f>+[33]XX!A7</f>
        <v>Bolívar</v>
      </c>
      <c r="C19" s="21">
        <f>[33]XX!B7/1000000</f>
        <v>1284.0988433099994</v>
      </c>
      <c r="D19" s="21">
        <f>[33]XX!E7/1000000</f>
        <v>1438.7677245999996</v>
      </c>
      <c r="E19" s="21">
        <f t="shared" si="1"/>
        <v>12.044935800371315</v>
      </c>
      <c r="F19" s="21">
        <f t="shared" si="2"/>
        <v>5.3997410002457125</v>
      </c>
      <c r="G19" s="21">
        <f>[33]XX!C7/1000000</f>
        <v>205.94397040999999</v>
      </c>
      <c r="H19" s="21">
        <f>[33]XX!F7/1000000</f>
        <v>96.40888412999999</v>
      </c>
      <c r="I19" s="21">
        <f t="shared" si="3"/>
        <v>-53.186838178332664</v>
      </c>
      <c r="J19" s="21">
        <f t="shared" si="4"/>
        <v>2.6158060653931483</v>
      </c>
      <c r="K19" s="16"/>
    </row>
    <row r="20" spans="1:11">
      <c r="A20" s="14"/>
      <c r="B20" s="9" t="str">
        <f>+[33]XX!A8</f>
        <v>Santander</v>
      </c>
      <c r="C20" s="21">
        <f>[33]XX!B8/1000000</f>
        <v>398.11057195999979</v>
      </c>
      <c r="D20" s="21">
        <f>[33]XX!E8/1000000</f>
        <v>570.83706395000036</v>
      </c>
      <c r="E20" s="21">
        <f t="shared" si="1"/>
        <v>43.386562466709691</v>
      </c>
      <c r="F20" s="21">
        <f t="shared" si="2"/>
        <v>2.142369644500921</v>
      </c>
      <c r="G20" s="21">
        <f>[33]XX!C8/1000000</f>
        <v>44.974072030000002</v>
      </c>
      <c r="H20" s="21">
        <f>[33]XX!F8/1000000</f>
        <v>73.792404880000007</v>
      </c>
      <c r="I20" s="21">
        <f t="shared" si="3"/>
        <v>64.077659747546775</v>
      </c>
      <c r="J20" s="21">
        <f t="shared" si="4"/>
        <v>2.0021663149297462</v>
      </c>
      <c r="K20" s="16"/>
    </row>
    <row r="21" spans="1:11">
      <c r="A21" s="14"/>
      <c r="B21" s="9" t="str">
        <f>+[33]XX!A9</f>
        <v>Aráuca</v>
      </c>
      <c r="C21" s="21">
        <f>[33]XX!B9/1000000</f>
        <v>413.64070981999998</v>
      </c>
      <c r="D21" s="21">
        <f>[33]XX!E9/1000000</f>
        <v>556.14292607000004</v>
      </c>
      <c r="E21" s="21">
        <f t="shared" si="1"/>
        <v>34.450723264644665</v>
      </c>
      <c r="F21" s="21">
        <f t="shared" si="2"/>
        <v>2.08722207799851</v>
      </c>
      <c r="G21" s="21">
        <f>[33]XX!C9/1000000</f>
        <v>41.314150120000001</v>
      </c>
      <c r="H21" s="21">
        <f>[33]XX!F9/1000000</f>
        <v>83.260912689999998</v>
      </c>
      <c r="I21" s="21">
        <f t="shared" si="3"/>
        <v>101.53122464860714</v>
      </c>
      <c r="J21" s="21">
        <f t="shared" si="4"/>
        <v>2.2590698190323653</v>
      </c>
      <c r="K21" s="16"/>
    </row>
    <row r="22" spans="1:11">
      <c r="A22" s="14"/>
      <c r="B22" s="9" t="str">
        <f>+[33]XX!A10</f>
        <v>Huila</v>
      </c>
      <c r="C22" s="21">
        <f>[33]XX!B10/1000000</f>
        <v>493.74867467999979</v>
      </c>
      <c r="D22" s="21">
        <f>[33]XX!E10/1000000</f>
        <v>286.14034095</v>
      </c>
      <c r="E22" s="21">
        <f t="shared" si="1"/>
        <v>-42.047370327535859</v>
      </c>
      <c r="F22" s="21">
        <f t="shared" si="2"/>
        <v>1.0738937942756257</v>
      </c>
      <c r="G22" s="21">
        <f>[33]XX!C10/1000000</f>
        <v>33.429133129999997</v>
      </c>
      <c r="H22" s="21">
        <f>[33]XX!F10/1000000</f>
        <v>33.482328809999991</v>
      </c>
      <c r="I22" s="21">
        <f t="shared" si="3"/>
        <v>0.15912970220652856</v>
      </c>
      <c r="J22" s="21">
        <f t="shared" si="4"/>
        <v>0.90845651388918058</v>
      </c>
      <c r="K22" s="16"/>
    </row>
    <row r="23" spans="1:11" s="98" customFormat="1">
      <c r="A23" s="104"/>
      <c r="B23" s="128" t="str">
        <f>+[33]XX!A11</f>
        <v>Cundinamarca</v>
      </c>
      <c r="C23" s="21">
        <f>[33]XX!B11/1000000</f>
        <v>306.10474653999944</v>
      </c>
      <c r="D23" s="21">
        <f>[33]XX!E11/1000000</f>
        <v>246.82378697000001</v>
      </c>
      <c r="E23" s="21">
        <f t="shared" si="1"/>
        <v>-19.366233369482579</v>
      </c>
      <c r="F23" s="21">
        <f t="shared" si="2"/>
        <v>0.92633751755055382</v>
      </c>
      <c r="G23" s="21">
        <f>[33]XX!C11/1000000</f>
        <v>45.437276699999991</v>
      </c>
      <c r="H23" s="21">
        <f>[33]XX!F11/1000000</f>
        <v>12.318101140000001</v>
      </c>
      <c r="I23" s="21">
        <f t="shared" si="3"/>
        <v>-72.88987801507038</v>
      </c>
      <c r="J23" s="21">
        <f t="shared" si="4"/>
        <v>0.33421985916453179</v>
      </c>
      <c r="K23" s="106"/>
    </row>
    <row r="24" spans="1:11" s="98" customFormat="1">
      <c r="A24" s="104"/>
      <c r="B24" s="128" t="str">
        <f>+[33]XX!A12</f>
        <v>Caldas</v>
      </c>
      <c r="C24" s="21">
        <f>[33]XX!B12/1000000</f>
        <v>184.62353912999987</v>
      </c>
      <c r="D24" s="21">
        <f>[33]XX!E12/1000000</f>
        <v>194.58414171999999</v>
      </c>
      <c r="E24" s="21">
        <f t="shared" ref="E24" si="5">IF(OR(OR(D24=0,C24=0),D24=""),"",(D24/C24-1)*100)</f>
        <v>5.3950881003242523</v>
      </c>
      <c r="F24" s="21">
        <f t="shared" ref="F24" si="6">(D24/D$13)*100</f>
        <v>0.73028046854138229</v>
      </c>
      <c r="G24" s="21">
        <f>[33]XX!C12/1000000</f>
        <v>32.226039250000014</v>
      </c>
      <c r="H24" s="21">
        <f>[33]XX!F12/1000000</f>
        <v>21.326662950000006</v>
      </c>
      <c r="I24" s="21">
        <f t="shared" ref="I24" si="7">IF(OR(OR(H24=0,G24=0),H24=""),"",(H24/G24-1)*100)</f>
        <v>-33.821644091741753</v>
      </c>
      <c r="J24" s="21">
        <f t="shared" ref="J24" si="8">(H24/H$13)*100</f>
        <v>0.57864391650858282</v>
      </c>
      <c r="K24" s="106"/>
    </row>
    <row r="25" spans="1:11">
      <c r="A25" s="14"/>
      <c r="B25" s="128" t="str">
        <f>+[33]XX!A13</f>
        <v>Tolima</v>
      </c>
      <c r="C25" s="21">
        <f>[33]XX!B13/1000000</f>
        <v>317.47732694000047</v>
      </c>
      <c r="D25" s="21">
        <f>[33]XX!E13/1000000</f>
        <v>185.15402564000004</v>
      </c>
      <c r="E25" s="21">
        <f t="shared" si="1"/>
        <v>-41.679606721965378</v>
      </c>
      <c r="F25" s="21">
        <f t="shared" si="2"/>
        <v>0.6948889431661458</v>
      </c>
      <c r="G25" s="21">
        <f>[33]XX!C13/1000000</f>
        <v>29.536528570000012</v>
      </c>
      <c r="H25" s="21">
        <f>[33]XX!F13/1000000</f>
        <v>20.701406950000003</v>
      </c>
      <c r="I25" s="21">
        <f t="shared" si="3"/>
        <v>-29.912525431217276</v>
      </c>
      <c r="J25" s="21">
        <f t="shared" si="4"/>
        <v>0.56167920986372566</v>
      </c>
      <c r="K25" s="16"/>
    </row>
    <row r="26" spans="1:11" s="98" customFormat="1">
      <c r="A26" s="104"/>
      <c r="B26" s="128" t="str">
        <f>+[33]XX!A14</f>
        <v>Risaralda</v>
      </c>
      <c r="C26" s="21">
        <f>[33]XX!B14/1000000</f>
        <v>249.48064807000009</v>
      </c>
      <c r="D26" s="21">
        <f>[33]XX!E14/1000000</f>
        <v>183.60555176999998</v>
      </c>
      <c r="E26" s="21">
        <f t="shared" si="1"/>
        <v>-26.404892246999722</v>
      </c>
      <c r="F26" s="21">
        <f t="shared" si="2"/>
        <v>0.6890774715153114</v>
      </c>
      <c r="G26" s="21">
        <f>[33]XX!C14/1000000</f>
        <v>30.192779469999991</v>
      </c>
      <c r="H26" s="21">
        <f>[33]XX!F14/1000000</f>
        <v>15.954398389999998</v>
      </c>
      <c r="I26" s="21">
        <f t="shared" si="3"/>
        <v>-47.158232299041778</v>
      </c>
      <c r="J26" s="21">
        <f t="shared" si="4"/>
        <v>0.43288139319179436</v>
      </c>
      <c r="K26" s="106"/>
    </row>
    <row r="27" spans="1:11" s="147" customFormat="1">
      <c r="A27" s="104"/>
      <c r="B27" s="129" t="str">
        <f>+[33]XX!A15</f>
        <v>Bogotá</v>
      </c>
      <c r="C27" s="24">
        <f>[33]XX!B15/1000000</f>
        <v>186.48824779000006</v>
      </c>
      <c r="D27" s="24">
        <f>[33]XX!E15/1000000</f>
        <v>161.96889111999971</v>
      </c>
      <c r="E27" s="24">
        <f t="shared" si="1"/>
        <v>-13.147936645107528</v>
      </c>
      <c r="F27" s="24">
        <f t="shared" si="2"/>
        <v>0.60787439639580887</v>
      </c>
      <c r="G27" s="24">
        <f>[33]XX!C15/1000000</f>
        <v>15.897211899999997</v>
      </c>
      <c r="H27" s="24">
        <f>[33]XX!F15/1000000</f>
        <v>21.486942090000014</v>
      </c>
      <c r="I27" s="24">
        <f t="shared" si="3"/>
        <v>35.161701467915996</v>
      </c>
      <c r="J27" s="24">
        <f t="shared" si="4"/>
        <v>0.58299267700250867</v>
      </c>
      <c r="K27" s="106"/>
    </row>
    <row r="28" spans="1:11" s="147" customFormat="1">
      <c r="A28" s="104"/>
      <c r="B28" s="128" t="str">
        <f>+[33]XX!A16</f>
        <v>Putumayo</v>
      </c>
      <c r="C28" s="21">
        <f>[33]XX!B16/1000000</f>
        <v>0</v>
      </c>
      <c r="D28" s="21">
        <f>[33]XX!E16/1000000</f>
        <v>157.42159429</v>
      </c>
      <c r="E28" s="21" t="str">
        <f t="shared" si="1"/>
        <v/>
      </c>
      <c r="F28" s="21">
        <f t="shared" si="2"/>
        <v>0.59080824686144717</v>
      </c>
      <c r="G28" s="21">
        <f>[33]XX!C16/1000000</f>
        <v>0</v>
      </c>
      <c r="H28" s="21">
        <f>[33]XX!F16/1000000</f>
        <v>16.099970410000001</v>
      </c>
      <c r="I28" s="21" t="str">
        <f t="shared" si="3"/>
        <v/>
      </c>
      <c r="J28" s="21">
        <f t="shared" si="4"/>
        <v>0.4368311139701625</v>
      </c>
      <c r="K28" s="106"/>
    </row>
    <row r="29" spans="1:11" s="147" customFormat="1">
      <c r="A29" s="104"/>
      <c r="B29" s="128" t="str">
        <f>+[33]XX!A17</f>
        <v>Boyacá</v>
      </c>
      <c r="C29" s="21">
        <f>[33]XX!B17/1000000</f>
        <v>215.68919790000004</v>
      </c>
      <c r="D29" s="21">
        <f>[33]XX!E17/1000000</f>
        <v>155.10735580999997</v>
      </c>
      <c r="E29" s="21">
        <f t="shared" si="1"/>
        <v>-28.087564272962627</v>
      </c>
      <c r="F29" s="21">
        <f t="shared" si="2"/>
        <v>0.58212283629020534</v>
      </c>
      <c r="G29" s="21">
        <f>[33]XX!C17/1000000</f>
        <v>38.814206649999996</v>
      </c>
      <c r="H29" s="21">
        <f>[33]XX!F17/1000000</f>
        <v>17.610220179999999</v>
      </c>
      <c r="I29" s="21">
        <f t="shared" si="3"/>
        <v>-54.629447050671587</v>
      </c>
      <c r="J29" s="21">
        <f t="shared" si="4"/>
        <v>0.4778078407964747</v>
      </c>
      <c r="K29" s="106"/>
    </row>
    <row r="30" spans="1:11" s="147" customFormat="1">
      <c r="A30" s="104"/>
      <c r="B30" s="128" t="str">
        <f>+[33]XX!A18</f>
        <v>Norte de Santander</v>
      </c>
      <c r="C30" s="21">
        <f>[33]XX!B18/1000000</f>
        <v>140.91612047999988</v>
      </c>
      <c r="D30" s="21">
        <f>[33]XX!E18/1000000</f>
        <v>151.27553459000003</v>
      </c>
      <c r="E30" s="21">
        <f t="shared" si="1"/>
        <v>7.3514755265139842</v>
      </c>
      <c r="F30" s="21">
        <f t="shared" si="2"/>
        <v>0.5677418894608639</v>
      </c>
      <c r="G30" s="21">
        <f>[33]XX!C18/1000000</f>
        <v>13.015194660000002</v>
      </c>
      <c r="H30" s="21">
        <f>[33]XX!F18/1000000</f>
        <v>19.776234710000004</v>
      </c>
      <c r="I30" s="21">
        <f t="shared" si="3"/>
        <v>51.947283360877528</v>
      </c>
      <c r="J30" s="21">
        <f t="shared" si="4"/>
        <v>0.53657705067202632</v>
      </c>
      <c r="K30" s="106"/>
    </row>
    <row r="31" spans="1:11">
      <c r="A31" s="14"/>
      <c r="B31" s="9" t="str">
        <f>+[33]XX!A19</f>
        <v>Antioquia</v>
      </c>
      <c r="C31" s="21">
        <f>[33]XX!B19/1000000</f>
        <v>174.51670932000016</v>
      </c>
      <c r="D31" s="21">
        <f>[33]XX!E19/1000000</f>
        <v>151.20556792999989</v>
      </c>
      <c r="E31" s="21">
        <f t="shared" si="1"/>
        <v>-13.357541223892843</v>
      </c>
      <c r="F31" s="21">
        <f t="shared" si="2"/>
        <v>0.56747930236206157</v>
      </c>
      <c r="G31" s="21">
        <f>[33]XX!C19/1000000</f>
        <v>12.305179039999995</v>
      </c>
      <c r="H31" s="21">
        <f>[33]XX!F19/1000000</f>
        <v>18.643364040000005</v>
      </c>
      <c r="I31" s="21">
        <f t="shared" si="3"/>
        <v>51.508271268517937</v>
      </c>
      <c r="J31" s="21">
        <f t="shared" si="4"/>
        <v>0.50583953102709267</v>
      </c>
      <c r="K31" s="16"/>
    </row>
    <row r="32" spans="1:11">
      <c r="A32" s="14"/>
      <c r="B32" s="9" t="str">
        <f>+[33]XX!A20</f>
        <v>Quindío</v>
      </c>
      <c r="C32" s="21">
        <f>[33]XX!B20/1000000</f>
        <v>110.10420168</v>
      </c>
      <c r="D32" s="21">
        <f>[33]XX!E20/1000000</f>
        <v>127.39849574000012</v>
      </c>
      <c r="E32" s="21">
        <f t="shared" si="1"/>
        <v>15.707206261086348</v>
      </c>
      <c r="F32" s="21">
        <f t="shared" si="2"/>
        <v>0.4781306037485375</v>
      </c>
      <c r="G32" s="21">
        <f>[33]XX!C20/1000000</f>
        <v>15.100778330000002</v>
      </c>
      <c r="H32" s="21">
        <f>[33]XX!F20/1000000</f>
        <v>20.859382190000005</v>
      </c>
      <c r="I32" s="21">
        <f t="shared" si="3"/>
        <v>38.134483760745354</v>
      </c>
      <c r="J32" s="21">
        <f t="shared" si="4"/>
        <v>0.5659654599816788</v>
      </c>
      <c r="K32" s="16"/>
    </row>
    <row r="33" spans="1:13">
      <c r="A33" s="14"/>
      <c r="B33" s="9" t="str">
        <f>+[33]XX!A21</f>
        <v>Magdalena</v>
      </c>
      <c r="C33" s="21">
        <f>[33]XX!B21/1000000</f>
        <v>47.880418420000005</v>
      </c>
      <c r="D33" s="21">
        <f>[33]XX!E21/1000000</f>
        <v>93.882287969999979</v>
      </c>
      <c r="E33" s="21">
        <f t="shared" si="1"/>
        <v>96.076582177035959</v>
      </c>
      <c r="F33" s="21">
        <f t="shared" si="2"/>
        <v>0.35234321070791402</v>
      </c>
      <c r="G33" s="21">
        <f>[33]XX!C21/1000000</f>
        <v>0.46534919999999996</v>
      </c>
      <c r="H33" s="21">
        <f>[33]XX!F21/1000000</f>
        <v>12.27462064</v>
      </c>
      <c r="I33" s="21">
        <f t="shared" si="3"/>
        <v>2537.7225189169772</v>
      </c>
      <c r="J33" s="21">
        <f t="shared" si="4"/>
        <v>0.33304012809874156</v>
      </c>
      <c r="K33" s="16"/>
    </row>
    <row r="34" spans="1:13">
      <c r="A34" s="14"/>
      <c r="B34" s="9" t="str">
        <f>+[33]XX!A22</f>
        <v>Valle del Cauca</v>
      </c>
      <c r="C34" s="21">
        <f>[33]XX!B22/1000000</f>
        <v>40.823577829999998</v>
      </c>
      <c r="D34" s="21">
        <f>[33]XX!E22/1000000</f>
        <v>65.72709703000001</v>
      </c>
      <c r="E34" s="21">
        <f t="shared" si="1"/>
        <v>61.002784478383411</v>
      </c>
      <c r="F34" s="21">
        <f t="shared" si="2"/>
        <v>0.24667588422494655</v>
      </c>
      <c r="G34" s="21">
        <f>[33]XX!C22/1000000</f>
        <v>4.8993809399999995</v>
      </c>
      <c r="H34" s="21">
        <f>[33]XX!F22/1000000</f>
        <v>9.6543062099999997</v>
      </c>
      <c r="I34" s="21">
        <f t="shared" si="3"/>
        <v>97.051552598806509</v>
      </c>
      <c r="J34" s="21">
        <f t="shared" si="4"/>
        <v>0.26194466380533904</v>
      </c>
      <c r="K34" s="16"/>
    </row>
    <row r="35" spans="1:13">
      <c r="A35" s="14"/>
      <c r="B35" s="9" t="str">
        <f>+[33]XX!A23</f>
        <v>Cauca</v>
      </c>
      <c r="C35" s="21">
        <f>[33]XX!B23/1000000</f>
        <v>42.188029600000014</v>
      </c>
      <c r="D35" s="21">
        <f>[33]XX!E23/1000000</f>
        <v>53.934515830000024</v>
      </c>
      <c r="E35" s="21">
        <f t="shared" si="1"/>
        <v>27.843173386794074</v>
      </c>
      <c r="F35" s="21">
        <f t="shared" si="2"/>
        <v>0.20241795216571165</v>
      </c>
      <c r="G35" s="21">
        <f>[33]XX!C23/1000000</f>
        <v>10.270265089999997</v>
      </c>
      <c r="H35" s="21">
        <f>[33]XX!F23/1000000</f>
        <v>10.497416610000002</v>
      </c>
      <c r="I35" s="21">
        <f t="shared" si="3"/>
        <v>2.2117395998003886</v>
      </c>
      <c r="J35" s="21">
        <f t="shared" si="4"/>
        <v>0.28482028691847683</v>
      </c>
      <c r="K35" s="16"/>
    </row>
    <row r="36" spans="1:13">
      <c r="A36" s="14"/>
      <c r="B36" s="9" t="str">
        <f>+[33]XX!A24</f>
        <v>Atlántico</v>
      </c>
      <c r="C36" s="21">
        <f>[33]XX!B24/1000000</f>
        <v>40.223058930000001</v>
      </c>
      <c r="D36" s="21">
        <f>[33]XX!E24/1000000</f>
        <v>41.144214040000016</v>
      </c>
      <c r="E36" s="21">
        <f t="shared" si="1"/>
        <v>2.2901169988167602</v>
      </c>
      <c r="F36" s="21">
        <f t="shared" si="2"/>
        <v>0.15441554302063568</v>
      </c>
      <c r="G36" s="21">
        <f>[33]XX!C24/1000000</f>
        <v>3.0104458300000001</v>
      </c>
      <c r="H36" s="21">
        <f>[33]XX!F24/1000000</f>
        <v>2.7640376</v>
      </c>
      <c r="I36" s="21">
        <f t="shared" si="3"/>
        <v>-8.1851075858754179</v>
      </c>
      <c r="J36" s="21">
        <f t="shared" si="4"/>
        <v>7.4995021302241907E-2</v>
      </c>
      <c r="K36" s="16"/>
    </row>
    <row r="37" spans="1:13">
      <c r="A37" s="14"/>
      <c r="B37" s="9" t="str">
        <f>+[33]XX!A25</f>
        <v>Nariño</v>
      </c>
      <c r="C37" s="21">
        <f>[33]XX!B25/1000000</f>
        <v>14.052799360000002</v>
      </c>
      <c r="D37" s="21">
        <f>[33]XX!E25/1000000</f>
        <v>10.94084174</v>
      </c>
      <c r="E37" s="21">
        <f t="shared" si="1"/>
        <v>-22.144752374803723</v>
      </c>
      <c r="F37" s="21">
        <f t="shared" si="2"/>
        <v>4.1061326794151004E-2</v>
      </c>
      <c r="G37" s="21">
        <f>[33]XX!C25/1000000</f>
        <v>3.8893508300000001</v>
      </c>
      <c r="H37" s="21">
        <f>[33]XX!F25/1000000</f>
        <v>5.8198947700000003</v>
      </c>
      <c r="I37" s="21">
        <f t="shared" si="3"/>
        <v>49.636662373293802</v>
      </c>
      <c r="J37" s="21">
        <f t="shared" si="4"/>
        <v>0.15790781292300662</v>
      </c>
      <c r="K37" s="16"/>
    </row>
    <row r="38" spans="1:13">
      <c r="A38" s="14"/>
      <c r="B38" s="9" t="str">
        <f>+[33]XX!A26</f>
        <v>San Andrés</v>
      </c>
      <c r="C38" s="21">
        <f>[33]XX!B26/1000000</f>
        <v>0.10498555999999999</v>
      </c>
      <c r="D38" s="21">
        <f>[33]XX!E26/1000000</f>
        <v>0.12518425</v>
      </c>
      <c r="E38" s="21">
        <f t="shared" si="1"/>
        <v>19.239493507488081</v>
      </c>
      <c r="F38" s="21">
        <f t="shared" si="2"/>
        <v>4.6982046910868655E-4</v>
      </c>
      <c r="G38" s="21">
        <f>[33]XX!C26/1000000</f>
        <v>0</v>
      </c>
      <c r="H38" s="21">
        <f>[33]XX!F26/1000000</f>
        <v>0</v>
      </c>
      <c r="I38" s="21" t="str">
        <f t="shared" si="3"/>
        <v/>
      </c>
      <c r="J38" s="21">
        <f t="shared" si="4"/>
        <v>0</v>
      </c>
      <c r="K38" s="16"/>
    </row>
    <row r="39" spans="1:13" s="147" customFormat="1">
      <c r="A39" s="104"/>
      <c r="B39" s="128" t="str">
        <f>+[33]XX!A27</f>
        <v>Sucre</v>
      </c>
      <c r="C39" s="21">
        <f>[33]XX!B27/1000000</f>
        <v>0</v>
      </c>
      <c r="D39" s="21">
        <f>[33]XX!E27/1000000</f>
        <v>7.7885999999999997E-2</v>
      </c>
      <c r="E39" s="21" t="str">
        <f t="shared" ref="E39" si="9">IF(OR(OR(D39=0,C39=0),D39=""),"",(D39/C39-1)*100)</f>
        <v/>
      </c>
      <c r="F39" s="21">
        <f t="shared" ref="F39" si="10">(D39/D$13)*100</f>
        <v>2.9230863353016981E-4</v>
      </c>
      <c r="G39" s="21">
        <f>[33]XX!C27/1000000</f>
        <v>0</v>
      </c>
      <c r="H39" s="21">
        <f>[33]XX!F27/1000000</f>
        <v>0</v>
      </c>
      <c r="I39" s="21" t="str">
        <f t="shared" ref="I39" si="11">IF(OR(OR(H39=0,G39=0),H39=""),"",(H39/G39-1)*100)</f>
        <v/>
      </c>
      <c r="J39" s="21">
        <f t="shared" ref="J39" si="12">(H39/H$13)*100</f>
        <v>0</v>
      </c>
      <c r="K39" s="106"/>
    </row>
    <row r="40" spans="1:13" s="147" customFormat="1">
      <c r="A40" s="104"/>
      <c r="B40" s="128" t="str">
        <f>+[33]XX!A28</f>
        <v>Córdoba</v>
      </c>
      <c r="C40" s="21">
        <f>[33]XX!B28/1000000</f>
        <v>0</v>
      </c>
      <c r="D40" s="21">
        <f>[33]XX!E28/1000000</f>
        <v>4.0689999999999997E-3</v>
      </c>
      <c r="E40" s="21" t="str">
        <f t="shared" ref="E40:E41" si="13">IF(OR(OR(D40=0,C40=0),D40=""),"",(D40/C40-1)*100)</f>
        <v/>
      </c>
      <c r="F40" s="21">
        <f t="shared" ref="F40:F41" si="14">(D40/D$13)*100</f>
        <v>1.5271086329176758E-5</v>
      </c>
      <c r="G40" s="21">
        <f>[33]XX!C28/1000000</f>
        <v>0</v>
      </c>
      <c r="H40" s="21">
        <f>[33]XX!F28/1000000</f>
        <v>0</v>
      </c>
      <c r="I40" s="21" t="str">
        <f t="shared" ref="I40:I41" si="15">IF(OR(OR(H40=0,G40=0),H40=""),"",(H40/G40-1)*100)</f>
        <v/>
      </c>
      <c r="J40" s="21">
        <f t="shared" ref="J40:J41" si="16">(H40/H$13)*100</f>
        <v>0</v>
      </c>
      <c r="K40" s="106"/>
    </row>
    <row r="41" spans="1:13" s="147" customFormat="1">
      <c r="A41" s="104"/>
      <c r="B41" s="128" t="str">
        <f>+[33]XX!A29</f>
        <v>Vichada</v>
      </c>
      <c r="C41" s="21">
        <f>[33]XX!B29/1000000</f>
        <v>9.1651710000000011E-2</v>
      </c>
      <c r="D41" s="21">
        <f>[33]XX!E29/1000000</f>
        <v>0</v>
      </c>
      <c r="E41" s="21" t="str">
        <f t="shared" si="13"/>
        <v/>
      </c>
      <c r="F41" s="21">
        <f t="shared" si="14"/>
        <v>0</v>
      </c>
      <c r="G41" s="21">
        <f>[33]XX!C29/1000000</f>
        <v>0</v>
      </c>
      <c r="H41" s="21">
        <f>[33]XX!F29/1000000</f>
        <v>0</v>
      </c>
      <c r="I41" s="21" t="str">
        <f t="shared" si="15"/>
        <v/>
      </c>
      <c r="J41" s="21">
        <f t="shared" si="16"/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tr">
        <f>IF(F42="","",1)</f>
        <v/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SUM(C14:C47)</f>
        <v>12379.093754120087</v>
      </c>
      <c r="D13" s="83">
        <f>SUM(D14:D47)</f>
        <v>12038.98785360006</v>
      </c>
      <c r="E13" s="83">
        <f>IF(OR(OR(D13=0,C13=0),D13=""),"",(D13/C13-1)*100)</f>
        <v>-2.7474216390584449</v>
      </c>
      <c r="F13" s="83">
        <f>(D13/D$13)*100</f>
        <v>100</v>
      </c>
      <c r="G13" s="83">
        <f t="shared" ref="G13:H13" si="0">SUM(G14:G47)</f>
        <v>1678.1843357399978</v>
      </c>
      <c r="H13" s="83">
        <f t="shared" si="0"/>
        <v>1292.6774947000013</v>
      </c>
      <c r="I13" s="83">
        <f>IF(OR(OR(H13=0,G13=0),H13=""),"",(H13/G13-1)*100)</f>
        <v>-22.971662458642051</v>
      </c>
      <c r="J13" s="83">
        <f>(H13/H$13)*100</f>
        <v>100</v>
      </c>
      <c r="K13" s="16"/>
    </row>
    <row r="14" spans="1:14">
      <c r="A14" s="14"/>
      <c r="B14" s="9" t="str">
        <f>+[34]XX!A2</f>
        <v>Antioquia</v>
      </c>
      <c r="C14" s="21">
        <f>[34]XX!B2/1000000</f>
        <v>4140.2698104800374</v>
      </c>
      <c r="D14" s="21">
        <f>[34]XX!E2/1000000</f>
        <v>3513.1599121600507</v>
      </c>
      <c r="E14" s="21">
        <f>IF(OR(OR(D14=0,C14=0),D14=""),"",(D14/C14-1)*100)</f>
        <v>-15.146594956990922</v>
      </c>
      <c r="F14" s="21">
        <f>(D14/D$13)*100</f>
        <v>29.181522191747195</v>
      </c>
      <c r="G14" s="21">
        <f>[34]XX!C2/1000000</f>
        <v>556.89469426999813</v>
      </c>
      <c r="H14" s="21">
        <f>[34]XX!F2/1000000</f>
        <v>317.93363202000182</v>
      </c>
      <c r="I14" s="21">
        <f>IF(OR(OR(H14=0,G14=0),H14=""),"",(H14/G14-1)*100)</f>
        <v>-42.909559869884717</v>
      </c>
      <c r="J14" s="21">
        <f>(H14/H$13)*100</f>
        <v>24.594969226549924</v>
      </c>
      <c r="K14" s="16"/>
    </row>
    <row r="15" spans="1:14">
      <c r="A15" s="14"/>
      <c r="B15" s="10" t="str">
        <f>+[34]XX!A3</f>
        <v>Bogotá</v>
      </c>
      <c r="C15" s="24">
        <f>[34]XX!B3/1000000</f>
        <v>2051.147908950039</v>
      </c>
      <c r="D15" s="24">
        <f>[34]XX!E3/1000000</f>
        <v>2011.1550335400318</v>
      </c>
      <c r="E15" s="24">
        <f t="shared" ref="E15:E41" si="1">IF(OR(OR(D15=0,C15=0),D15=""),"",(D15/C15-1)*100)</f>
        <v>-1.9497801809172821</v>
      </c>
      <c r="F15" s="24">
        <f t="shared" ref="F15:F41" si="2">(D15/D$13)*100</f>
        <v>16.705349801799404</v>
      </c>
      <c r="G15" s="24">
        <f>[34]XX!C3/1000000</f>
        <v>255.40726839999937</v>
      </c>
      <c r="H15" s="24">
        <f>[34]XX!F3/1000000</f>
        <v>224.19292393999905</v>
      </c>
      <c r="I15" s="24">
        <f t="shared" ref="I15:I41" si="3">IF(OR(OR(H15=0,G15=0),H15=""),"",(H15/G15-1)*100)</f>
        <v>-12.22140021916479</v>
      </c>
      <c r="J15" s="24">
        <f t="shared" ref="J15:J41" si="4">(H15/H$13)*100</f>
        <v>17.343299071825239</v>
      </c>
      <c r="K15" s="16"/>
    </row>
    <row r="16" spans="1:14">
      <c r="A16" s="14"/>
      <c r="B16" s="9" t="str">
        <f>+[34]XX!A4</f>
        <v>Valle del Cauca</v>
      </c>
      <c r="C16" s="21">
        <f>[34]XX!B4/1000000</f>
        <v>1444.8151676800344</v>
      </c>
      <c r="D16" s="21">
        <f>[34]XX!E4/1000000</f>
        <v>1326.2238084199823</v>
      </c>
      <c r="E16" s="21">
        <f t="shared" si="1"/>
        <v>-8.2080643886426223</v>
      </c>
      <c r="F16" s="21">
        <f t="shared" si="2"/>
        <v>11.016073980200893</v>
      </c>
      <c r="G16" s="21">
        <f>[34]XX!C4/1000000</f>
        <v>201.51762595000093</v>
      </c>
      <c r="H16" s="21">
        <f>[34]XX!F4/1000000</f>
        <v>154.34455156000007</v>
      </c>
      <c r="I16" s="21">
        <f t="shared" si="3"/>
        <v>-23.408907368581787</v>
      </c>
      <c r="J16" s="21">
        <f t="shared" si="4"/>
        <v>11.939911709828262</v>
      </c>
      <c r="K16" s="16"/>
    </row>
    <row r="17" spans="1:11">
      <c r="A17" s="14"/>
      <c r="B17" s="9" t="str">
        <f>+[34]XX!A5</f>
        <v>Bolívar</v>
      </c>
      <c r="C17" s="21">
        <f>[34]XX!B5/1000000</f>
        <v>1076.5946026799977</v>
      </c>
      <c r="D17" s="21">
        <f>[34]XX!E5/1000000</f>
        <v>1026.9775310399982</v>
      </c>
      <c r="E17" s="21">
        <f t="shared" si="1"/>
        <v>-4.6087052188898525</v>
      </c>
      <c r="F17" s="21">
        <f t="shared" si="2"/>
        <v>8.530430826316497</v>
      </c>
      <c r="G17" s="21">
        <f>[34]XX!C5/1000000</f>
        <v>158.24777700999965</v>
      </c>
      <c r="H17" s="21">
        <f>[34]XX!F5/1000000</f>
        <v>114.53710601999991</v>
      </c>
      <c r="I17" s="21">
        <f t="shared" si="3"/>
        <v>-27.621665097537306</v>
      </c>
      <c r="J17" s="21">
        <f t="shared" si="4"/>
        <v>8.8604548690298941</v>
      </c>
      <c r="K17" s="16"/>
    </row>
    <row r="18" spans="1:11">
      <c r="A18" s="14"/>
      <c r="B18" s="9" t="str">
        <f>+[34]XX!A6</f>
        <v>Cundinamarca</v>
      </c>
      <c r="C18" s="21">
        <f>[34]XX!B6/1000000</f>
        <v>907.67029005998484</v>
      </c>
      <c r="D18" s="21">
        <f>[34]XX!E6/1000000</f>
        <v>936.26960627999608</v>
      </c>
      <c r="E18" s="21">
        <f t="shared" si="1"/>
        <v>3.150848555164365</v>
      </c>
      <c r="F18" s="21">
        <f t="shared" si="2"/>
        <v>7.7769794077831893</v>
      </c>
      <c r="G18" s="21">
        <f>[34]XX!C6/1000000</f>
        <v>108.05116736999989</v>
      </c>
      <c r="H18" s="21">
        <f>[34]XX!F6/1000000</f>
        <v>134.64318134000044</v>
      </c>
      <c r="I18" s="21">
        <f t="shared" si="3"/>
        <v>24.610575357267027</v>
      </c>
      <c r="J18" s="21">
        <f t="shared" si="4"/>
        <v>10.415837043039712</v>
      </c>
      <c r="K18" s="16"/>
    </row>
    <row r="19" spans="1:11">
      <c r="A19" s="14"/>
      <c r="B19" s="9" t="str">
        <f>+[34]XX!A7</f>
        <v>Atlántico</v>
      </c>
      <c r="C19" s="21">
        <f>[34]XX!B7/1000000</f>
        <v>757.6112533099955</v>
      </c>
      <c r="D19" s="21">
        <f>[34]XX!E7/1000000</f>
        <v>750.86929785999916</v>
      </c>
      <c r="E19" s="21">
        <f t="shared" si="1"/>
        <v>-0.88989642386393397</v>
      </c>
      <c r="F19" s="21">
        <f t="shared" si="2"/>
        <v>6.2369802760077055</v>
      </c>
      <c r="G19" s="21">
        <f>[34]XX!C7/1000000</f>
        <v>109.69942915000023</v>
      </c>
      <c r="H19" s="21">
        <f>[34]XX!F7/1000000</f>
        <v>107.15860735</v>
      </c>
      <c r="I19" s="21">
        <f t="shared" si="3"/>
        <v>-2.3161668385037637</v>
      </c>
      <c r="J19" s="21">
        <f t="shared" si="4"/>
        <v>8.2896629506858464</v>
      </c>
      <c r="K19" s="16"/>
    </row>
    <row r="20" spans="1:11">
      <c r="A20" s="14"/>
      <c r="B20" s="9" t="str">
        <f>+[34]XX!A8</f>
        <v>Córdoba</v>
      </c>
      <c r="C20" s="21">
        <f>[34]XX!B8/1000000</f>
        <v>668.55259548999993</v>
      </c>
      <c r="D20" s="21">
        <f>[34]XX!E8/1000000</f>
        <v>543.91978504999963</v>
      </c>
      <c r="E20" s="21">
        <f t="shared" si="1"/>
        <v>-18.642184815489891</v>
      </c>
      <c r="F20" s="21">
        <f t="shared" si="2"/>
        <v>4.51798599404143</v>
      </c>
      <c r="G20" s="21">
        <f>[34]XX!C8/1000000</f>
        <v>84.096581560000018</v>
      </c>
      <c r="H20" s="21">
        <f>[34]XX!F8/1000000</f>
        <v>64.822056930000016</v>
      </c>
      <c r="I20" s="21">
        <f t="shared" si="3"/>
        <v>-22.919510249353348</v>
      </c>
      <c r="J20" s="21">
        <f t="shared" si="4"/>
        <v>5.0145575517305367</v>
      </c>
      <c r="K20" s="16"/>
    </row>
    <row r="21" spans="1:11">
      <c r="A21" s="14"/>
      <c r="B21" s="9" t="str">
        <f>+[34]XX!A9</f>
        <v>Sin definir</v>
      </c>
      <c r="C21" s="21">
        <f>[34]XX!B9/1000000</f>
        <v>0</v>
      </c>
      <c r="D21" s="21">
        <f>[34]XX!E9/1000000</f>
        <v>531.62052800000004</v>
      </c>
      <c r="E21" s="21" t="str">
        <f t="shared" si="1"/>
        <v/>
      </c>
      <c r="F21" s="21">
        <f t="shared" si="2"/>
        <v>4.4158241080127656</v>
      </c>
      <c r="G21" s="21">
        <f>[34]XX!C9/1000000</f>
        <v>0</v>
      </c>
      <c r="H21" s="21">
        <f>[34]XX!F9/1000000</f>
        <v>0</v>
      </c>
      <c r="I21" s="21" t="str">
        <f t="shared" si="3"/>
        <v/>
      </c>
      <c r="J21" s="21">
        <f t="shared" si="4"/>
        <v>0</v>
      </c>
      <c r="K21" s="16"/>
    </row>
    <row r="22" spans="1:11">
      <c r="A22" s="14"/>
      <c r="B22" s="9" t="str">
        <f>+[34]XX!A10</f>
        <v>Magdalena</v>
      </c>
      <c r="C22" s="21">
        <f>[34]XX!B10/1000000</f>
        <v>283.64752681000044</v>
      </c>
      <c r="D22" s="21">
        <f>[34]XX!E10/1000000</f>
        <v>300.21789622000028</v>
      </c>
      <c r="E22" s="21">
        <f t="shared" si="1"/>
        <v>5.8418874990224801</v>
      </c>
      <c r="F22" s="21">
        <f t="shared" si="2"/>
        <v>2.493713756262534</v>
      </c>
      <c r="G22" s="21">
        <f>[34]XX!C10/1000000</f>
        <v>43.636988840000036</v>
      </c>
      <c r="H22" s="21">
        <f>[34]XX!F10/1000000</f>
        <v>28.442419030000003</v>
      </c>
      <c r="I22" s="21">
        <f t="shared" si="3"/>
        <v>-34.820390255873626</v>
      </c>
      <c r="J22" s="21">
        <f t="shared" si="4"/>
        <v>2.2002718502189746</v>
      </c>
      <c r="K22" s="16"/>
    </row>
    <row r="23" spans="1:11">
      <c r="A23" s="14"/>
      <c r="B23" s="9" t="str">
        <f>+[34]XX!A11</f>
        <v>Caldas</v>
      </c>
      <c r="C23" s="21">
        <f>[34]XX!B11/1000000</f>
        <v>247.22377051999996</v>
      </c>
      <c r="D23" s="21">
        <f>[34]XX!E11/1000000</f>
        <v>253.35423882000009</v>
      </c>
      <c r="E23" s="21">
        <f t="shared" si="1"/>
        <v>2.4797244565543108</v>
      </c>
      <c r="F23" s="21">
        <f t="shared" si="2"/>
        <v>2.1044479976299559</v>
      </c>
      <c r="G23" s="21">
        <f>[34]XX!C11/1000000</f>
        <v>30.239501449999974</v>
      </c>
      <c r="H23" s="21">
        <f>[34]XX!F11/1000000</f>
        <v>41.375407150000001</v>
      </c>
      <c r="I23" s="21">
        <f t="shared" si="3"/>
        <v>36.825692111402297</v>
      </c>
      <c r="J23" s="21">
        <f t="shared" si="4"/>
        <v>3.200752493923646</v>
      </c>
      <c r="K23" s="16"/>
    </row>
    <row r="24" spans="1:11">
      <c r="A24" s="14"/>
      <c r="B24" s="9" t="str">
        <f>+[34]XX!A12</f>
        <v>Santander</v>
      </c>
      <c r="C24" s="21">
        <f>[34]XX!B12/1000000</f>
        <v>82.091823739999938</v>
      </c>
      <c r="D24" s="21">
        <f>[34]XX!E12/1000000</f>
        <v>163.18045904000007</v>
      </c>
      <c r="E24" s="21">
        <f t="shared" si="1"/>
        <v>98.777967897050161</v>
      </c>
      <c r="F24" s="21">
        <f t="shared" si="2"/>
        <v>1.3554333721767455</v>
      </c>
      <c r="G24" s="21">
        <f>[34]XX!C12/1000000</f>
        <v>10.578172840000001</v>
      </c>
      <c r="H24" s="21">
        <f>[34]XX!F12/1000000</f>
        <v>19.544253920000017</v>
      </c>
      <c r="I24" s="21">
        <f t="shared" si="3"/>
        <v>84.760205903385639</v>
      </c>
      <c r="J24" s="21">
        <f t="shared" si="4"/>
        <v>1.5119203359021702</v>
      </c>
      <c r="K24" s="16"/>
    </row>
    <row r="25" spans="1:11">
      <c r="A25" s="14"/>
      <c r="B25" s="9" t="str">
        <f>+[34]XX!A13</f>
        <v>Norte de Santander</v>
      </c>
      <c r="C25" s="21">
        <f>[34]XX!B13/1000000</f>
        <v>148.60182956999969</v>
      </c>
      <c r="D25" s="21">
        <f>[34]XX!E13/1000000</f>
        <v>141.58058443000039</v>
      </c>
      <c r="E25" s="21">
        <f t="shared" si="1"/>
        <v>-4.7248712618924493</v>
      </c>
      <c r="F25" s="21">
        <f t="shared" si="2"/>
        <v>1.1760173376008769</v>
      </c>
      <c r="G25" s="21">
        <f>[34]XX!C13/1000000</f>
        <v>19.224879850000011</v>
      </c>
      <c r="H25" s="21">
        <f>[34]XX!F13/1000000</f>
        <v>15.215003979999988</v>
      </c>
      <c r="I25" s="21">
        <f t="shared" si="3"/>
        <v>-20.857742161650084</v>
      </c>
      <c r="J25" s="21">
        <f t="shared" si="4"/>
        <v>1.1770146879157217</v>
      </c>
      <c r="K25" s="16"/>
    </row>
    <row r="26" spans="1:11">
      <c r="A26" s="14"/>
      <c r="B26" s="9" t="str">
        <f>+[34]XX!A14</f>
        <v>Cesar</v>
      </c>
      <c r="C26" s="21">
        <f>[34]XX!B14/1000000</f>
        <v>106.07190298000002</v>
      </c>
      <c r="D26" s="21">
        <f>[34]XX!E14/1000000</f>
        <v>121.77883786999999</v>
      </c>
      <c r="E26" s="21">
        <f t="shared" si="1"/>
        <v>14.807818516239424</v>
      </c>
      <c r="F26" s="21">
        <f t="shared" si="2"/>
        <v>1.0115371769694415</v>
      </c>
      <c r="G26" s="21">
        <f>[34]XX!C14/1000000</f>
        <v>31.642380399999997</v>
      </c>
      <c r="H26" s="21">
        <f>[34]XX!F14/1000000</f>
        <v>13.489441990000001</v>
      </c>
      <c r="I26" s="21">
        <f t="shared" si="3"/>
        <v>-57.369066993455384</v>
      </c>
      <c r="J26" s="21">
        <f t="shared" si="4"/>
        <v>1.0435272560485451</v>
      </c>
      <c r="K26" s="16"/>
    </row>
    <row r="27" spans="1:11">
      <c r="A27" s="14"/>
      <c r="B27" s="9" t="str">
        <f>+[34]XX!A15</f>
        <v>Risaralda</v>
      </c>
      <c r="C27" s="21">
        <f>[34]XX!B15/1000000</f>
        <v>140.34522115999991</v>
      </c>
      <c r="D27" s="21">
        <f>[34]XX!E15/1000000</f>
        <v>117.72088550999969</v>
      </c>
      <c r="E27" s="21">
        <f t="shared" si="1"/>
        <v>-16.120488793991395</v>
      </c>
      <c r="F27" s="21">
        <f t="shared" si="2"/>
        <v>0.9778304201444743</v>
      </c>
      <c r="G27" s="21">
        <f>[34]XX!C15/1000000</f>
        <v>16.246084759999992</v>
      </c>
      <c r="H27" s="21">
        <f>[34]XX!F15/1000000</f>
        <v>17.545987769999979</v>
      </c>
      <c r="I27" s="21">
        <f t="shared" si="3"/>
        <v>8.0013309619097797</v>
      </c>
      <c r="J27" s="21">
        <f t="shared" si="4"/>
        <v>1.3573368331961231</v>
      </c>
      <c r="K27" s="16"/>
    </row>
    <row r="28" spans="1:11">
      <c r="A28" s="14"/>
      <c r="B28" s="9" t="str">
        <f>+[34]XX!A16</f>
        <v>Cauca</v>
      </c>
      <c r="C28" s="21">
        <f>[34]XX!B16/1000000</f>
        <v>150.91287060000013</v>
      </c>
      <c r="D28" s="21">
        <f>[34]XX!E16/1000000</f>
        <v>114.76963033000035</v>
      </c>
      <c r="E28" s="21">
        <f t="shared" si="1"/>
        <v>-23.949740089298754</v>
      </c>
      <c r="F28" s="21">
        <f t="shared" si="2"/>
        <v>0.95331627314235068</v>
      </c>
      <c r="G28" s="21">
        <f>[34]XX!C16/1000000</f>
        <v>27.096156120000011</v>
      </c>
      <c r="H28" s="21">
        <f>[34]XX!F16/1000000</f>
        <v>16.802902930000002</v>
      </c>
      <c r="I28" s="21">
        <f t="shared" si="3"/>
        <v>-37.987872318178852</v>
      </c>
      <c r="J28" s="21">
        <f t="shared" si="4"/>
        <v>1.2998526700505098</v>
      </c>
      <c r="K28" s="16"/>
    </row>
    <row r="29" spans="1:11">
      <c r="A29" s="14"/>
      <c r="B29" s="9" t="str">
        <f>+[34]XX!A17</f>
        <v>Boyacá</v>
      </c>
      <c r="C29" s="21">
        <f>[34]XX!B17/1000000</f>
        <v>91.299393189999989</v>
      </c>
      <c r="D29" s="21">
        <f>[34]XX!E17/1000000</f>
        <v>92.227968660000002</v>
      </c>
      <c r="E29" s="21">
        <f t="shared" si="1"/>
        <v>1.0170664202198809</v>
      </c>
      <c r="F29" s="21">
        <f t="shared" si="2"/>
        <v>0.76607742927841527</v>
      </c>
      <c r="G29" s="21">
        <f>[34]XX!C17/1000000</f>
        <v>16.058055469999999</v>
      </c>
      <c r="H29" s="21">
        <f>[34]XX!F17/1000000</f>
        <v>10.718396590000001</v>
      </c>
      <c r="I29" s="21">
        <f t="shared" si="3"/>
        <v>-33.252213444994396</v>
      </c>
      <c r="J29" s="21">
        <f t="shared" si="4"/>
        <v>0.82916246580803032</v>
      </c>
      <c r="K29" s="16"/>
    </row>
    <row r="30" spans="1:11">
      <c r="A30" s="14"/>
      <c r="B30" s="9" t="str">
        <f>+[34]XX!A18</f>
        <v>Tolima</v>
      </c>
      <c r="C30" s="21">
        <f>[34]XX!B18/1000000</f>
        <v>19.758697870000002</v>
      </c>
      <c r="D30" s="21">
        <f>[34]XX!E18/1000000</f>
        <v>30.223366870000003</v>
      </c>
      <c r="E30" s="21">
        <f t="shared" si="1"/>
        <v>52.962341288130645</v>
      </c>
      <c r="F30" s="21">
        <f t="shared" si="2"/>
        <v>0.25104574601728008</v>
      </c>
      <c r="G30" s="21">
        <f>[34]XX!C18/1000000</f>
        <v>1.6275057699999997</v>
      </c>
      <c r="H30" s="21">
        <f>[34]XX!F18/1000000</f>
        <v>3.6276034400000006</v>
      </c>
      <c r="I30" s="21">
        <f t="shared" si="3"/>
        <v>122.89343035631765</v>
      </c>
      <c r="J30" s="21">
        <f t="shared" si="4"/>
        <v>0.28062710574549593</v>
      </c>
      <c r="K30" s="16"/>
    </row>
    <row r="31" spans="1:11">
      <c r="A31" s="14"/>
      <c r="B31" s="9" t="str">
        <f>+[34]XX!A19</f>
        <v>Sucre</v>
      </c>
      <c r="C31" s="21">
        <f>[34]XX!B19/1000000</f>
        <v>16.091413500000002</v>
      </c>
      <c r="D31" s="21">
        <f>[34]XX!E19/1000000</f>
        <v>16.485615170000003</v>
      </c>
      <c r="E31" s="21">
        <f t="shared" si="1"/>
        <v>2.4497640931295583</v>
      </c>
      <c r="F31" s="21">
        <f t="shared" si="2"/>
        <v>0.13693522553949794</v>
      </c>
      <c r="G31" s="21">
        <f>[34]XX!C19/1000000</f>
        <v>2.8840865</v>
      </c>
      <c r="H31" s="21">
        <f>[34]XX!F19/1000000</f>
        <v>1.2055600999999998</v>
      </c>
      <c r="I31" s="21">
        <f t="shared" si="3"/>
        <v>-58.199585900076166</v>
      </c>
      <c r="J31" s="21">
        <f t="shared" si="4"/>
        <v>9.32607015239931E-2</v>
      </c>
      <c r="K31" s="16"/>
    </row>
    <row r="32" spans="1:11">
      <c r="A32" s="14"/>
      <c r="B32" s="9" t="str">
        <f>+[34]XX!A20</f>
        <v>Nariño</v>
      </c>
      <c r="C32" s="21">
        <f>[34]XX!B20/1000000</f>
        <v>6.0612528999999871</v>
      </c>
      <c r="D32" s="21">
        <f>[34]XX!E20/1000000</f>
        <v>13.41256424</v>
      </c>
      <c r="E32" s="21">
        <f t="shared" si="1"/>
        <v>121.2836926834059</v>
      </c>
      <c r="F32" s="21">
        <f t="shared" si="2"/>
        <v>0.11140940088239391</v>
      </c>
      <c r="G32" s="21">
        <f>[34]XX!C20/1000000</f>
        <v>0.7258124700000006</v>
      </c>
      <c r="H32" s="21">
        <f>[34]XX!F20/1000000</f>
        <v>3.7731058900000001</v>
      </c>
      <c r="I32" s="21">
        <f t="shared" si="3"/>
        <v>419.84583428278614</v>
      </c>
      <c r="J32" s="21">
        <f t="shared" si="4"/>
        <v>0.29188300295083619</v>
      </c>
      <c r="K32" s="16"/>
    </row>
    <row r="33" spans="1:13">
      <c r="A33" s="14"/>
      <c r="B33" s="9" t="str">
        <f>+[34]XX!A21</f>
        <v>Huila</v>
      </c>
      <c r="C33" s="21">
        <f>[34]XX!B21/1000000</f>
        <v>13.448706409999998</v>
      </c>
      <c r="D33" s="21">
        <f>[34]XX!E21/1000000</f>
        <v>12.982095140000002</v>
      </c>
      <c r="E33" s="21">
        <f t="shared" si="1"/>
        <v>-3.4695624677555603</v>
      </c>
      <c r="F33" s="21">
        <f t="shared" si="2"/>
        <v>0.10783377554549091</v>
      </c>
      <c r="G33" s="21">
        <f>[34]XX!C21/1000000</f>
        <v>0.40348522999999997</v>
      </c>
      <c r="H33" s="21">
        <f>[34]XX!F21/1000000</f>
        <v>1.7790311900000002</v>
      </c>
      <c r="I33" s="21">
        <f t="shared" si="3"/>
        <v>340.9160627763253</v>
      </c>
      <c r="J33" s="21">
        <f t="shared" si="4"/>
        <v>0.13762374585262427</v>
      </c>
      <c r="K33" s="16"/>
    </row>
    <row r="34" spans="1:13">
      <c r="A34" s="14"/>
      <c r="B34" s="9" t="str">
        <f>+[34]XX!A22</f>
        <v>Guajira</v>
      </c>
      <c r="C34" s="21">
        <f>[34]XX!B22/1000000</f>
        <v>1.4742065099999999</v>
      </c>
      <c r="D34" s="21">
        <f>[34]XX!E22/1000000</f>
        <v>8.5122619200000003</v>
      </c>
      <c r="E34" s="21">
        <f t="shared" si="1"/>
        <v>477.41312782562602</v>
      </c>
      <c r="F34" s="21">
        <f t="shared" si="2"/>
        <v>7.0705793738753131E-2</v>
      </c>
      <c r="G34" s="21">
        <f>[34]XX!C22/1000000</f>
        <v>3.03264E-2</v>
      </c>
      <c r="H34" s="21">
        <f>[34]XX!F22/1000000</f>
        <v>0.34385914000000001</v>
      </c>
      <c r="I34" s="21">
        <f t="shared" si="3"/>
        <v>1033.860728606099</v>
      </c>
      <c r="J34" s="21">
        <f t="shared" si="4"/>
        <v>2.6600535818858771E-2</v>
      </c>
      <c r="K34" s="16"/>
    </row>
    <row r="35" spans="1:13">
      <c r="A35" s="14"/>
      <c r="B35" s="9" t="str">
        <f>+[34]XX!A23</f>
        <v>Meta</v>
      </c>
      <c r="C35" s="21">
        <f>[34]XX!B23/1000000</f>
        <v>1.3066118499999999</v>
      </c>
      <c r="D35" s="21">
        <f>[34]XX!E23/1000000</f>
        <v>3.8880222600000005</v>
      </c>
      <c r="E35" s="21">
        <f t="shared" si="1"/>
        <v>197.5652072954949</v>
      </c>
      <c r="F35" s="21">
        <f t="shared" si="2"/>
        <v>3.229525859881445E-2</v>
      </c>
      <c r="G35" s="21">
        <f>[34]XX!C23/1000000</f>
        <v>7.2894E-2</v>
      </c>
      <c r="H35" s="21">
        <f>[34]XX!F23/1000000</f>
        <v>0.46359915000000002</v>
      </c>
      <c r="I35" s="21">
        <f t="shared" si="3"/>
        <v>535.99082228990039</v>
      </c>
      <c r="J35" s="21">
        <f t="shared" si="4"/>
        <v>3.5863481177692356E-2</v>
      </c>
      <c r="K35" s="16"/>
    </row>
    <row r="36" spans="1:13">
      <c r="A36" s="14"/>
      <c r="B36" s="9" t="str">
        <f>+[34]XX!A24</f>
        <v>San Andrés</v>
      </c>
      <c r="C36" s="21">
        <f>[34]XX!B24/1000000</f>
        <v>1.6806103000000001</v>
      </c>
      <c r="D36" s="21">
        <f>[34]XX!E24/1000000</f>
        <v>2.35948533</v>
      </c>
      <c r="E36" s="21">
        <f t="shared" si="1"/>
        <v>40.394553692786481</v>
      </c>
      <c r="F36" s="21">
        <f t="shared" si="2"/>
        <v>1.9598701806933339E-2</v>
      </c>
      <c r="G36" s="21">
        <f>[34]XX!C24/1000000</f>
        <v>3.8299999999999996E-5</v>
      </c>
      <c r="H36" s="21">
        <f>[34]XX!F24/1000000</f>
        <v>1.1203899999999999E-2</v>
      </c>
      <c r="I36" s="21">
        <f t="shared" si="3"/>
        <v>29153.002610966058</v>
      </c>
      <c r="J36" s="21">
        <f t="shared" si="4"/>
        <v>8.6672043459688677E-4</v>
      </c>
      <c r="K36" s="16"/>
    </row>
    <row r="37" spans="1:13">
      <c r="A37" s="14"/>
      <c r="B37" s="9" t="str">
        <f>+[34]XX!A25</f>
        <v>Quindío</v>
      </c>
      <c r="C37" s="21">
        <f>[34]XX!B25/1000000</f>
        <v>3.0846235300000009</v>
      </c>
      <c r="D37" s="21">
        <f>[34]XX!E25/1000000</f>
        <v>2.2736454099999999</v>
      </c>
      <c r="E37" s="21">
        <f t="shared" si="1"/>
        <v>-26.290991821617883</v>
      </c>
      <c r="F37" s="21">
        <f t="shared" si="2"/>
        <v>1.8885685720831623E-2</v>
      </c>
      <c r="G37" s="21">
        <f>[34]XX!C25/1000000</f>
        <v>0.27050088999999994</v>
      </c>
      <c r="H37" s="21">
        <f>[34]XX!F25/1000000</f>
        <v>0.35262777000000001</v>
      </c>
      <c r="I37" s="21">
        <f t="shared" si="3"/>
        <v>30.36103873817202</v>
      </c>
      <c r="J37" s="21">
        <f t="shared" si="4"/>
        <v>2.7278866650481622E-2</v>
      </c>
      <c r="K37" s="16"/>
    </row>
    <row r="38" spans="1:13">
      <c r="A38" s="14"/>
      <c r="B38" s="9" t="str">
        <f>+[34]XX!A26</f>
        <v>Chocó</v>
      </c>
      <c r="C38" s="21">
        <f>[34]XX!B26/1000000</f>
        <v>1.51751992</v>
      </c>
      <c r="D38" s="21">
        <f>[34]XX!E26/1000000</f>
        <v>1.3435777199999999</v>
      </c>
      <c r="E38" s="21">
        <f t="shared" si="1"/>
        <v>-11.462267987889096</v>
      </c>
      <c r="F38" s="21">
        <f t="shared" si="2"/>
        <v>1.1160221576253401E-2</v>
      </c>
      <c r="G38" s="21">
        <f>[34]XX!C26/1000000</f>
        <v>9.6729499999999996E-2</v>
      </c>
      <c r="H38" s="21">
        <f>[34]XX!F26/1000000</f>
        <v>0.10601724</v>
      </c>
      <c r="I38" s="21">
        <f t="shared" si="3"/>
        <v>9.6017657488149943</v>
      </c>
      <c r="J38" s="21">
        <f t="shared" si="4"/>
        <v>8.2013681242748028E-3</v>
      </c>
      <c r="K38" s="16"/>
    </row>
    <row r="39" spans="1:13">
      <c r="A39" s="14"/>
      <c r="B39" s="9" t="str">
        <f>+[34]XX!A27</f>
        <v>Aráuca</v>
      </c>
      <c r="C39" s="21">
        <f>[34]XX!B27/1000000</f>
        <v>15.74152106</v>
      </c>
      <c r="D39" s="21">
        <f>[34]XX!E27/1000000</f>
        <v>1.1497915600000004</v>
      </c>
      <c r="E39" s="21">
        <f t="shared" si="1"/>
        <v>-92.6958039466613</v>
      </c>
      <c r="F39" s="21">
        <f t="shared" si="2"/>
        <v>9.5505666587758394E-3</v>
      </c>
      <c r="G39" s="21">
        <f>[34]XX!C27/1000000</f>
        <v>3.3917465299999998</v>
      </c>
      <c r="H39" s="21">
        <f>[34]XX!F27/1000000</f>
        <v>1.8828950000000001E-2</v>
      </c>
      <c r="I39" s="21">
        <f t="shared" si="3"/>
        <v>-99.44485975489448</v>
      </c>
      <c r="J39" s="21">
        <f t="shared" si="4"/>
        <v>1.456585271825262E-3</v>
      </c>
      <c r="K39" s="16"/>
    </row>
    <row r="40" spans="1:13">
      <c r="A40" s="14"/>
      <c r="B40" s="9" t="str">
        <f>+[34]XX!A28</f>
        <v>Vichada</v>
      </c>
      <c r="C40" s="21">
        <f>[34]XX!B28/1000000</f>
        <v>1.14074403</v>
      </c>
      <c r="D40" s="21">
        <f>[34]XX!E28/1000000</f>
        <v>0.52332886999999995</v>
      </c>
      <c r="E40" s="21">
        <f t="shared" si="1"/>
        <v>-54.123900170663177</v>
      </c>
      <c r="F40" s="21">
        <f t="shared" si="2"/>
        <v>4.3469507267881085E-3</v>
      </c>
      <c r="G40" s="21">
        <f>[34]XX!C28/1000000</f>
        <v>0</v>
      </c>
      <c r="H40" s="21">
        <f>[34]XX!F28/1000000</f>
        <v>0</v>
      </c>
      <c r="I40" s="21" t="str">
        <f t="shared" si="3"/>
        <v/>
      </c>
      <c r="J40" s="21">
        <f t="shared" si="4"/>
        <v>0</v>
      </c>
      <c r="K40" s="16"/>
    </row>
    <row r="41" spans="1:13">
      <c r="A41" s="14"/>
      <c r="B41" s="9" t="str">
        <f>+[34]XX!A29</f>
        <v>Casanare</v>
      </c>
      <c r="C41" s="21">
        <f>[34]XX!B29/1000000</f>
        <v>5.765E-2</v>
      </c>
      <c r="D41" s="21">
        <f>[34]XX!E29/1000000</f>
        <v>0.25229760000000001</v>
      </c>
      <c r="E41" s="21">
        <f t="shared" si="1"/>
        <v>337.6367736339983</v>
      </c>
      <c r="F41" s="21">
        <f t="shared" si="2"/>
        <v>2.0956711898712861E-3</v>
      </c>
      <c r="G41" s="21">
        <f>[34]XX!C29/1000000</f>
        <v>0</v>
      </c>
      <c r="H41" s="21">
        <f>[34]XX!F29/1000000</f>
        <v>2.2700100000000003E-3</v>
      </c>
      <c r="I41" s="21" t="str">
        <f t="shared" si="3"/>
        <v/>
      </c>
      <c r="J41" s="21">
        <f t="shared" si="4"/>
        <v>1.7560528510065954E-4</v>
      </c>
      <c r="K41" s="16"/>
    </row>
    <row r="42" spans="1:13" s="98" customFormat="1">
      <c r="A42" s="104"/>
      <c r="B42" s="128" t="str">
        <f>+[34]XX!A30</f>
        <v>Amazonas</v>
      </c>
      <c r="C42" s="21">
        <f>[34]XX!B30/1000000</f>
        <v>2.0775400000000003E-2</v>
      </c>
      <c r="D42" s="21">
        <f>[34]XX!E30/1000000</f>
        <v>0.17021084000000003</v>
      </c>
      <c r="E42" s="21">
        <f t="shared" ref="E42" si="5">IF(OR(OR(D42=0,C42=0),D42=""),"",(D42/C42-1)*100)</f>
        <v>719.29031450657988</v>
      </c>
      <c r="F42" s="21">
        <f t="shared" ref="F42" si="6">(D42/D$13)*100</f>
        <v>1.4138301497588213E-3</v>
      </c>
      <c r="G42" s="21">
        <f>[34]XX!C30/1000000</f>
        <v>0</v>
      </c>
      <c r="H42" s="21">
        <f>[34]XX!F30/1000000</f>
        <v>0</v>
      </c>
      <c r="I42" s="21" t="str">
        <f t="shared" ref="I42" si="7">IF(OR(OR(H42=0,G42=0),H42=""),"",(H42/G42-1)*100)</f>
        <v/>
      </c>
      <c r="J42" s="21">
        <f t="shared" ref="J42" si="8">(H42/H$13)*100</f>
        <v>0</v>
      </c>
      <c r="K42" s="106"/>
    </row>
    <row r="43" spans="1:13" s="147" customFormat="1">
      <c r="A43" s="104"/>
      <c r="B43" s="128" t="str">
        <f>+[34]XX!A31</f>
        <v>Vaupés</v>
      </c>
      <c r="C43" s="21">
        <f>[34]XX!B31/1000000</f>
        <v>4.4135699999999995E-3</v>
      </c>
      <c r="D43" s="21">
        <f>[34]XX!E31/1000000</f>
        <v>0.15303784000000001</v>
      </c>
      <c r="E43" s="21">
        <f t="shared" ref="E43" si="9">IF(OR(OR(D43=0,C43=0),D43=""),"",(D43/C43-1)*100)</f>
        <v>3367.4388306971459</v>
      </c>
      <c r="F43" s="21">
        <f t="shared" ref="F43" si="10">(D43/D$13)*100</f>
        <v>1.2711852679063596E-3</v>
      </c>
      <c r="G43" s="21">
        <f>[34]XX!C31/1000000</f>
        <v>0</v>
      </c>
      <c r="H43" s="21">
        <f>[34]XX!F31/1000000</f>
        <v>0.11315654000000001</v>
      </c>
      <c r="I43" s="21" t="str">
        <f t="shared" ref="I43" si="11">IF(OR(OR(H43=0,G43=0),H43=""),"",(H43/G43-1)*100)</f>
        <v/>
      </c>
      <c r="J43" s="21">
        <f t="shared" ref="J43" si="12">(H43/H$13)*100</f>
        <v>8.7536559168039721E-3</v>
      </c>
      <c r="K43" s="106"/>
    </row>
    <row r="44" spans="1:13" s="147" customFormat="1">
      <c r="A44" s="104"/>
      <c r="B44" s="128" t="str">
        <f>+[34]XX!A32</f>
        <v>Guaviare</v>
      </c>
      <c r="C44" s="21">
        <f>[34]XX!B32/1000000</f>
        <v>0</v>
      </c>
      <c r="D44" s="21">
        <f>[34]XX!E32/1000000</f>
        <v>0.10904286000000001</v>
      </c>
      <c r="E44" s="21" t="str">
        <f t="shared" ref="E44:E45" si="13">IF(OR(OR(D44=0,C44=0),D44=""),"",(D44/C44-1)*100)</f>
        <v/>
      </c>
      <c r="F44" s="21">
        <f t="shared" ref="F44:F45" si="14">(D44/D$13)*100</f>
        <v>9.0574773665372992E-4</v>
      </c>
      <c r="G44" s="21">
        <f>[34]XX!C32/1000000</f>
        <v>0</v>
      </c>
      <c r="H44" s="21">
        <f>[34]XX!F32/1000000</f>
        <v>0.10904286000000001</v>
      </c>
      <c r="I44" s="21" t="str">
        <f t="shared" ref="I44:I45" si="15">IF(OR(OR(H44=0,G44=0),H44=""),"",(H44/G44-1)*100)</f>
        <v/>
      </c>
      <c r="J44" s="21">
        <f t="shared" ref="J44:J45" si="16">(H44/H$13)*100</f>
        <v>8.4354265040644319E-3</v>
      </c>
      <c r="K44" s="106"/>
    </row>
    <row r="45" spans="1:13" s="147" customFormat="1">
      <c r="A45" s="104"/>
      <c r="B45" s="128" t="str">
        <f>+[34]XX!A33</f>
        <v>Caquetá</v>
      </c>
      <c r="C45" s="21">
        <f>[34]XX!B33/1000000</f>
        <v>0.42302096</v>
      </c>
      <c r="D45" s="21">
        <f>[34]XX!E33/1000000</f>
        <v>9.0367239999999988E-2</v>
      </c>
      <c r="E45" s="21">
        <f t="shared" si="13"/>
        <v>-78.637644810791414</v>
      </c>
      <c r="F45" s="21">
        <f t="shared" si="14"/>
        <v>7.5062157300023486E-4</v>
      </c>
      <c r="G45" s="21">
        <f>[34]XX!C33/1000000</f>
        <v>4.444671E-2</v>
      </c>
      <c r="H45" s="21">
        <f>[34]XX!F33/1000000</f>
        <v>0</v>
      </c>
      <c r="I45" s="21" t="str">
        <f t="shared" si="15"/>
        <v/>
      </c>
      <c r="J45" s="21">
        <f t="shared" si="16"/>
        <v>0</v>
      </c>
      <c r="K45" s="106"/>
    </row>
    <row r="46" spans="1:13" s="147" customFormat="1">
      <c r="A46" s="104"/>
      <c r="B46" s="128" t="str">
        <f>+[34]XX!A34</f>
        <v>Guainía</v>
      </c>
      <c r="C46" s="21">
        <f>[34]XX!B34/1000000</f>
        <v>0.42601909000000004</v>
      </c>
      <c r="D46" s="21">
        <f>[34]XX!E34/1000000</f>
        <v>3.1192500000000001E-2</v>
      </c>
      <c r="E46" s="21">
        <f t="shared" ref="E46" si="17">IF(OR(OR(D46=0,C46=0),D46=""),"",(D46/C46-1)*100)</f>
        <v>-92.678145009886762</v>
      </c>
      <c r="F46" s="21">
        <f t="shared" ref="F46" si="18">(D46/D$13)*100</f>
        <v>2.5909570122767753E-4</v>
      </c>
      <c r="G46" s="21">
        <f>[34]XX!C34/1000000</f>
        <v>0</v>
      </c>
      <c r="H46" s="21">
        <f>[34]XX!F34/1000000</f>
        <v>5.7159999999999997E-3</v>
      </c>
      <c r="I46" s="21" t="str">
        <f t="shared" ref="I46" si="19">IF(OR(OR(H46=0,G46=0),H46=""),"",(H46/G46-1)*100)</f>
        <v/>
      </c>
      <c r="J46" s="21">
        <f t="shared" ref="J46" si="20">(H46/H$13)*100</f>
        <v>4.4218299022267285E-4</v>
      </c>
      <c r="K46" s="106"/>
    </row>
    <row r="47" spans="1:13" s="147" customFormat="1">
      <c r="A47" s="104"/>
      <c r="B47" s="128" t="str">
        <f>+[34]XX!A35</f>
        <v>Putumayo</v>
      </c>
      <c r="C47" s="21">
        <f>[34]XX!B35/1000000</f>
        <v>0</v>
      </c>
      <c r="D47" s="21">
        <f>[34]XX!E35/1000000</f>
        <v>1.9469999999999999E-3</v>
      </c>
      <c r="E47" s="21" t="str">
        <f t="shared" ref="E47" si="21">IF(OR(OR(D47=0,C47=0),D47=""),"",(D47/C47-1)*100)</f>
        <v/>
      </c>
      <c r="F47" s="21">
        <f t="shared" ref="F47" si="22">(D47/D$13)*100</f>
        <v>1.6172455888123368E-5</v>
      </c>
      <c r="G47" s="21">
        <f>[34]XX!C35/1000000</f>
        <v>0</v>
      </c>
      <c r="H47" s="21">
        <f>[34]XX!F35/1000000</f>
        <v>0</v>
      </c>
      <c r="I47" s="21" t="str">
        <f t="shared" ref="I47" si="23">IF(OR(OR(H47=0,G47=0),H47=""),"",(H47/G47-1)*100)</f>
        <v/>
      </c>
      <c r="J47" s="21">
        <f t="shared" ref="J47" si="24">(H47/H$13)*100</f>
        <v>0</v>
      </c>
      <c r="K47" s="10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tr">
        <f>IF(F48="","",1)</f>
        <v/>
      </c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54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SUM(C14:C46)</f>
        <v>26527.733509270001</v>
      </c>
      <c r="D13" s="83">
        <f>SUM(D14:D46)</f>
        <v>25844.361892410001</v>
      </c>
      <c r="E13" s="83">
        <f>IF(OR(OR(D13=0,C13=0),D13=""),"",(D13/C13-1)*100)</f>
        <v>-2.5760648440666833</v>
      </c>
      <c r="F13" s="83">
        <f>(D13/D$13)*100</f>
        <v>100</v>
      </c>
      <c r="G13" s="83">
        <f t="shared" ref="G13:H13" si="0">SUM(G14:G46)</f>
        <v>2713.9610577000003</v>
      </c>
      <c r="H13" s="83">
        <f t="shared" si="0"/>
        <v>3625.9230252200009</v>
      </c>
      <c r="I13" s="83">
        <f>IF(OR(OR(H13=0,G13=0),H13=""),"",(H13/G13-1)*100)</f>
        <v>33.602618023298426</v>
      </c>
      <c r="J13" s="83">
        <f>(H13/H$13)*100</f>
        <v>100</v>
      </c>
      <c r="K13" s="16"/>
    </row>
    <row r="14" spans="1:14">
      <c r="A14" s="14"/>
      <c r="B14" s="9" t="str">
        <f>+[35]XX!A2</f>
        <v>Sin definir</v>
      </c>
      <c r="C14" s="21">
        <f>[35]XX!B2/1000000</f>
        <v>13260.76320388</v>
      </c>
      <c r="D14" s="21">
        <f>[35]XX!E2/1000000</f>
        <v>13052.259065179998</v>
      </c>
      <c r="E14" s="21">
        <f>IF(OR(OR(D14=0,C14=0),D14=""),"",(D14/C14-1)*100)</f>
        <v>-1.5723389030805945</v>
      </c>
      <c r="F14" s="21">
        <f>(D14/D$13)*100</f>
        <v>50.503313332000666</v>
      </c>
      <c r="G14" s="21">
        <f>[35]XX!C2/1000000</f>
        <v>1418.84691606</v>
      </c>
      <c r="H14" s="21">
        <f>[35]XX!F2/1000000</f>
        <v>1929.2910862299998</v>
      </c>
      <c r="I14" s="21">
        <f>IF(OR(OR(H14=0,G14=0),H14=""),"",(H14/G14-1)*100)</f>
        <v>35.975986161174724</v>
      </c>
      <c r="J14" s="21">
        <f>(H14/H$13)*100</f>
        <v>53.208274770613507</v>
      </c>
      <c r="K14" s="16"/>
    </row>
    <row r="15" spans="1:14">
      <c r="A15" s="14"/>
      <c r="B15" s="9" t="str">
        <f>+[35]XX!A3</f>
        <v>Cesar</v>
      </c>
      <c r="C15" s="21">
        <f>[35]XX!B3/1000000</f>
        <v>2835.5831822400014</v>
      </c>
      <c r="D15" s="21">
        <f>[35]XX!E3/1000000</f>
        <v>2202.082333249999</v>
      </c>
      <c r="E15" s="21">
        <f t="shared" ref="E15:E42" si="1">IF(OR(OR(D15=0,C15=0),D15=""),"",(D15/C15-1)*100)</f>
        <v>-22.341113212893337</v>
      </c>
      <c r="F15" s="21">
        <f t="shared" ref="F15:F42" si="2">(D15/D$13)*100</f>
        <v>8.520552151441235</v>
      </c>
      <c r="G15" s="21">
        <f>[35]XX!C3/1000000</f>
        <v>109.39375197</v>
      </c>
      <c r="H15" s="21">
        <f>[35]XX!F3/1000000</f>
        <v>422.21672718000002</v>
      </c>
      <c r="I15" s="21">
        <f t="shared" ref="I15:I42" si="3">IF(OR(OR(H15=0,G15=0),H15=""),"",(H15/G15-1)*100)</f>
        <v>285.96055037566327</v>
      </c>
      <c r="J15" s="21">
        <f t="shared" ref="J15:J42" si="4">(H15/H$13)*100</f>
        <v>11.644393006781556</v>
      </c>
      <c r="K15" s="16"/>
    </row>
    <row r="16" spans="1:14">
      <c r="A16" s="14"/>
      <c r="B16" s="9" t="str">
        <f>+[35]XX!A4</f>
        <v>Meta</v>
      </c>
      <c r="C16" s="21">
        <f>[35]XX!B4/1000000</f>
        <v>1931.6508414400002</v>
      </c>
      <c r="D16" s="21">
        <f>[35]XX!E4/1000000</f>
        <v>2053.1490684399996</v>
      </c>
      <c r="E16" s="21">
        <f t="shared" si="1"/>
        <v>6.2898648344452024</v>
      </c>
      <c r="F16" s="21">
        <f t="shared" si="2"/>
        <v>7.9442823041530399</v>
      </c>
      <c r="G16" s="21">
        <f>[35]XX!C4/1000000</f>
        <v>223.97584406000001</v>
      </c>
      <c r="H16" s="21">
        <f>[35]XX!F4/1000000</f>
        <v>136.33991785000003</v>
      </c>
      <c r="I16" s="21">
        <f t="shared" si="3"/>
        <v>-39.127400804224024</v>
      </c>
      <c r="J16" s="21">
        <f t="shared" si="4"/>
        <v>3.7601437455150521</v>
      </c>
      <c r="K16" s="16"/>
    </row>
    <row r="17" spans="1:11">
      <c r="A17" s="14"/>
      <c r="B17" s="9" t="str">
        <f>+[35]XX!A5</f>
        <v>Guajira</v>
      </c>
      <c r="C17" s="21">
        <f>[35]XX!B5/1000000</f>
        <v>2384.6791659300002</v>
      </c>
      <c r="D17" s="21">
        <f>[35]XX!E5/1000000</f>
        <v>1849.20488873</v>
      </c>
      <c r="E17" s="21">
        <f t="shared" si="1"/>
        <v>-22.454772316978367</v>
      </c>
      <c r="F17" s="21">
        <f t="shared" si="2"/>
        <v>7.1551578500109017</v>
      </c>
      <c r="G17" s="21">
        <f>[35]XX!C5/1000000</f>
        <v>261.58051112999999</v>
      </c>
      <c r="H17" s="21">
        <f>[35]XX!F5/1000000</f>
        <v>186.23548922000001</v>
      </c>
      <c r="I17" s="21">
        <f t="shared" si="3"/>
        <v>-28.803759723733812</v>
      </c>
      <c r="J17" s="21">
        <f t="shared" si="4"/>
        <v>5.1362229127492371</v>
      </c>
      <c r="K17" s="16"/>
    </row>
    <row r="18" spans="1:11">
      <c r="A18" s="14"/>
      <c r="B18" s="9" t="str">
        <f>+[35]XX!A6</f>
        <v>Casanare</v>
      </c>
      <c r="C18" s="21">
        <f>[35]XX!B6/1000000</f>
        <v>1407.5752508100002</v>
      </c>
      <c r="D18" s="21">
        <f>[35]XX!E6/1000000</f>
        <v>1575.2843003899991</v>
      </c>
      <c r="E18" s="21">
        <f t="shared" si="1"/>
        <v>11.914748393273422</v>
      </c>
      <c r="F18" s="21">
        <f t="shared" si="2"/>
        <v>6.0952725664030813</v>
      </c>
      <c r="G18" s="21">
        <f>[35]XX!C6/1000000</f>
        <v>202.62175809999999</v>
      </c>
      <c r="H18" s="21">
        <f>[35]XX!F6/1000000</f>
        <v>322.92963800999996</v>
      </c>
      <c r="I18" s="21">
        <f t="shared" si="3"/>
        <v>59.375597684146221</v>
      </c>
      <c r="J18" s="21">
        <f t="shared" si="4"/>
        <v>8.9061360587048419</v>
      </c>
      <c r="K18" s="16"/>
    </row>
    <row r="19" spans="1:11">
      <c r="A19" s="14"/>
      <c r="B19" s="9" t="str">
        <f>+[35]XX!A7</f>
        <v>Antioquia</v>
      </c>
      <c r="C19" s="21">
        <f>[35]XX!B7/1000000</f>
        <v>859.10562380000079</v>
      </c>
      <c r="D19" s="21">
        <f>[35]XX!E7/1000000</f>
        <v>707.14419849000376</v>
      </c>
      <c r="E19" s="21">
        <f t="shared" si="1"/>
        <v>-17.688328547756495</v>
      </c>
      <c r="F19" s="21">
        <f t="shared" si="2"/>
        <v>2.7361642799843269</v>
      </c>
      <c r="G19" s="21">
        <f>[35]XX!C7/1000000</f>
        <v>89.335750900000008</v>
      </c>
      <c r="H19" s="21">
        <f>[35]XX!F7/1000000</f>
        <v>78.135969439999911</v>
      </c>
      <c r="I19" s="21">
        <f t="shared" si="3"/>
        <v>-12.536729525603729</v>
      </c>
      <c r="J19" s="21">
        <f t="shared" si="4"/>
        <v>2.1549263152176001</v>
      </c>
      <c r="K19" s="16"/>
    </row>
    <row r="20" spans="1:11" s="147" customFormat="1">
      <c r="A20" s="104"/>
      <c r="B20" s="129" t="str">
        <f>+[35]XX!A8</f>
        <v>Bogotá</v>
      </c>
      <c r="C20" s="24">
        <f>[35]XX!B8/1000000</f>
        <v>655.95207864000315</v>
      </c>
      <c r="D20" s="24">
        <f>[35]XX!E8/1000000</f>
        <v>679.22808282999756</v>
      </c>
      <c r="E20" s="24">
        <f t="shared" si="1"/>
        <v>3.5484305863094479</v>
      </c>
      <c r="F20" s="24">
        <f t="shared" si="2"/>
        <v>2.6281480102221986</v>
      </c>
      <c r="G20" s="24">
        <f>[35]XX!C8/1000000</f>
        <v>58.422400809999928</v>
      </c>
      <c r="H20" s="24">
        <f>[35]XX!F8/1000000</f>
        <v>70.101548890000103</v>
      </c>
      <c r="I20" s="24">
        <f t="shared" si="3"/>
        <v>19.990873223411086</v>
      </c>
      <c r="J20" s="24">
        <f t="shared" si="4"/>
        <v>1.9333435487298225</v>
      </c>
      <c r="K20" s="106"/>
    </row>
    <row r="21" spans="1:11" s="147" customFormat="1">
      <c r="A21" s="104"/>
      <c r="B21" s="128" t="str">
        <f>+[35]XX!A9</f>
        <v>Aráuca</v>
      </c>
      <c r="C21" s="21">
        <f>[35]XX!B9/1000000</f>
        <v>429.10844078999997</v>
      </c>
      <c r="D21" s="21">
        <f>[35]XX!E9/1000000</f>
        <v>557.05480707000004</v>
      </c>
      <c r="E21" s="21">
        <f t="shared" si="1"/>
        <v>29.816790842997044</v>
      </c>
      <c r="F21" s="21">
        <f t="shared" si="2"/>
        <v>2.1554210136393288</v>
      </c>
      <c r="G21" s="21">
        <f>[35]XX!C9/1000000</f>
        <v>44.572390119999994</v>
      </c>
      <c r="H21" s="21">
        <f>[35]XX!F9/1000000</f>
        <v>83.260912689999998</v>
      </c>
      <c r="I21" s="21">
        <f t="shared" si="3"/>
        <v>86.799299893590742</v>
      </c>
      <c r="J21" s="21">
        <f t="shared" si="4"/>
        <v>2.2962680705266263</v>
      </c>
      <c r="K21" s="106"/>
    </row>
    <row r="22" spans="1:11">
      <c r="A22" s="14"/>
      <c r="B22" s="9" t="str">
        <f>+[35]XX!A10</f>
        <v>Cundinamarca</v>
      </c>
      <c r="C22" s="21">
        <f>[35]XX!B10/1000000</f>
        <v>526.47145177000152</v>
      </c>
      <c r="D22" s="21">
        <f>[35]XX!E10/1000000</f>
        <v>482.50811135999999</v>
      </c>
      <c r="E22" s="21">
        <f t="shared" si="1"/>
        <v>-8.350564928486893</v>
      </c>
      <c r="F22" s="21">
        <f t="shared" si="2"/>
        <v>1.8669762997774126</v>
      </c>
      <c r="G22" s="21">
        <f>[35]XX!C10/1000000</f>
        <v>49.677748990000119</v>
      </c>
      <c r="H22" s="21">
        <f>[35]XX!F10/1000000</f>
        <v>79.405683180000182</v>
      </c>
      <c r="I22" s="21">
        <f t="shared" si="3"/>
        <v>59.841548368031219</v>
      </c>
      <c r="J22" s="21">
        <f t="shared" si="4"/>
        <v>2.1899439846818671</v>
      </c>
      <c r="K22" s="16"/>
    </row>
    <row r="23" spans="1:11" s="147" customFormat="1">
      <c r="A23" s="104"/>
      <c r="B23" s="128" t="str">
        <f>+[35]XX!A11</f>
        <v>Bolívar</v>
      </c>
      <c r="C23" s="21">
        <f>[35]XX!B11/1000000</f>
        <v>109.53430627000007</v>
      </c>
      <c r="D23" s="21">
        <f>[35]XX!E11/1000000</f>
        <v>350.55431762999996</v>
      </c>
      <c r="E23" s="21">
        <f t="shared" si="1"/>
        <v>220.04066083724484</v>
      </c>
      <c r="F23" s="21">
        <f t="shared" si="2"/>
        <v>1.3564053896527084</v>
      </c>
      <c r="G23" s="21">
        <f>[35]XX!C11/1000000</f>
        <v>15.108474429999996</v>
      </c>
      <c r="H23" s="21">
        <f>[35]XX!F11/1000000</f>
        <v>39.140292729999999</v>
      </c>
      <c r="I23" s="21">
        <f t="shared" si="3"/>
        <v>159.06184579616757</v>
      </c>
      <c r="J23" s="21">
        <f t="shared" si="4"/>
        <v>1.0794573535555181</v>
      </c>
      <c r="K23" s="106"/>
    </row>
    <row r="24" spans="1:11">
      <c r="A24" s="14"/>
      <c r="B24" s="9" t="str">
        <f>+[35]XX!A12</f>
        <v>Santander</v>
      </c>
      <c r="C24" s="21">
        <f>[35]XX!B12/1000000</f>
        <v>73.324355470000029</v>
      </c>
      <c r="D24" s="21">
        <f>[35]XX!E12/1000000</f>
        <v>329.58755306999961</v>
      </c>
      <c r="E24" s="21">
        <f t="shared" si="1"/>
        <v>349.49260168382557</v>
      </c>
      <c r="F24" s="21">
        <f t="shared" si="2"/>
        <v>1.2752783544901267</v>
      </c>
      <c r="G24" s="21">
        <f>[35]XX!C12/1000000</f>
        <v>4.827709190000002</v>
      </c>
      <c r="H24" s="21">
        <f>[35]XX!F12/1000000</f>
        <v>49.581495270000005</v>
      </c>
      <c r="I24" s="21">
        <f t="shared" si="3"/>
        <v>927.01909577946185</v>
      </c>
      <c r="J24" s="21">
        <f t="shared" si="4"/>
        <v>1.3674172045335042</v>
      </c>
      <c r="K24" s="16"/>
    </row>
    <row r="25" spans="1:11">
      <c r="A25" s="14"/>
      <c r="B25" s="9" t="str">
        <f>+[35]XX!A13</f>
        <v>Huila</v>
      </c>
      <c r="C25" s="21">
        <f>[35]XX!B13/1000000</f>
        <v>506.99144438000013</v>
      </c>
      <c r="D25" s="21">
        <f>[35]XX!E13/1000000</f>
        <v>297.43589092000002</v>
      </c>
      <c r="E25" s="21">
        <f t="shared" si="1"/>
        <v>-41.333153800310299</v>
      </c>
      <c r="F25" s="21">
        <f t="shared" si="2"/>
        <v>1.1508734174139208</v>
      </c>
      <c r="G25" s="21">
        <f>[35]XX!C13/1000000</f>
        <v>33.796955839999988</v>
      </c>
      <c r="H25" s="21">
        <f>[35]XX!F13/1000000</f>
        <v>34.975146130000006</v>
      </c>
      <c r="I25" s="21">
        <f t="shared" si="3"/>
        <v>3.4860840591021125</v>
      </c>
      <c r="J25" s="21">
        <f t="shared" si="4"/>
        <v>0.96458600711408948</v>
      </c>
      <c r="K25" s="16"/>
    </row>
    <row r="26" spans="1:11">
      <c r="A26" s="14"/>
      <c r="B26" s="9" t="str">
        <f>+[35]XX!A14</f>
        <v>Caldas</v>
      </c>
      <c r="C26" s="21">
        <f>[35]XX!B14/1000000</f>
        <v>271.64821880000005</v>
      </c>
      <c r="D26" s="21">
        <f>[35]XX!E14/1000000</f>
        <v>294.08309984000005</v>
      </c>
      <c r="E26" s="21">
        <f t="shared" si="1"/>
        <v>8.2587992437813895</v>
      </c>
      <c r="F26" s="21">
        <f t="shared" si="2"/>
        <v>1.1379004096300271</v>
      </c>
      <c r="G26" s="21">
        <f>[35]XX!C14/1000000</f>
        <v>44.700900060000009</v>
      </c>
      <c r="H26" s="21">
        <f>[35]XX!F14/1000000</f>
        <v>37.531128869999996</v>
      </c>
      <c r="I26" s="21">
        <f t="shared" si="3"/>
        <v>-16.039433614035403</v>
      </c>
      <c r="J26" s="21">
        <f t="shared" si="4"/>
        <v>1.0350779266121575</v>
      </c>
      <c r="K26" s="16"/>
    </row>
    <row r="27" spans="1:11">
      <c r="A27" s="14"/>
      <c r="B27" s="9" t="str">
        <f>+[35]XX!A15</f>
        <v>Magdalena</v>
      </c>
      <c r="C27" s="21">
        <f>[35]XX!B15/1000000</f>
        <v>188.90944102999987</v>
      </c>
      <c r="D27" s="21">
        <f>[35]XX!E15/1000000</f>
        <v>234.60123319999963</v>
      </c>
      <c r="E27" s="21">
        <f t="shared" si="1"/>
        <v>24.187140632502135</v>
      </c>
      <c r="F27" s="21">
        <f t="shared" si="2"/>
        <v>0.90774627818881282</v>
      </c>
      <c r="G27" s="21">
        <f>[35]XX!C15/1000000</f>
        <v>24.89584223</v>
      </c>
      <c r="H27" s="21">
        <f>[35]XX!F15/1000000</f>
        <v>17.988320680000001</v>
      </c>
      <c r="I27" s="21">
        <f t="shared" si="3"/>
        <v>-27.745683340153459</v>
      </c>
      <c r="J27" s="21">
        <f t="shared" si="4"/>
        <v>0.49610321440589789</v>
      </c>
      <c r="K27" s="16"/>
    </row>
    <row r="28" spans="1:11">
      <c r="A28" s="14"/>
      <c r="B28" s="9" t="str">
        <f>+[35]XX!A16</f>
        <v>Tolima</v>
      </c>
      <c r="C28" s="21">
        <f>[35]XX!B16/1000000</f>
        <v>334.69090298000032</v>
      </c>
      <c r="D28" s="21">
        <f>[35]XX!E16/1000000</f>
        <v>211.52903925000012</v>
      </c>
      <c r="E28" s="21">
        <f t="shared" si="1"/>
        <v>-36.798688770265088</v>
      </c>
      <c r="F28" s="21">
        <f t="shared" si="2"/>
        <v>0.81847267164341253</v>
      </c>
      <c r="G28" s="21">
        <f>[35]XX!C16/1000000</f>
        <v>30.847611550000011</v>
      </c>
      <c r="H28" s="21">
        <f>[35]XX!F16/1000000</f>
        <v>23.932424949999994</v>
      </c>
      <c r="I28" s="21">
        <f t="shared" si="3"/>
        <v>-22.417251296073239</v>
      </c>
      <c r="J28" s="21">
        <f t="shared" si="4"/>
        <v>0.66003676259917043</v>
      </c>
      <c r="K28" s="16"/>
    </row>
    <row r="29" spans="1:11">
      <c r="A29" s="14"/>
      <c r="B29" s="9" t="str">
        <f>+[35]XX!A17</f>
        <v>Risaralda</v>
      </c>
      <c r="C29" s="21">
        <f>[35]XX!B17/1000000</f>
        <v>251.85588273999969</v>
      </c>
      <c r="D29" s="21">
        <f>[35]XX!E17/1000000</f>
        <v>186.27550774999978</v>
      </c>
      <c r="E29" s="21">
        <f t="shared" si="1"/>
        <v>-26.038849788432771</v>
      </c>
      <c r="F29" s="21">
        <f t="shared" si="2"/>
        <v>0.72075878106592117</v>
      </c>
      <c r="G29" s="21">
        <f>[35]XX!C17/1000000</f>
        <v>30.463163929999997</v>
      </c>
      <c r="H29" s="21">
        <f>[35]XX!F17/1000000</f>
        <v>16.310422979999998</v>
      </c>
      <c r="I29" s="21">
        <f t="shared" si="3"/>
        <v>-46.458539180371993</v>
      </c>
      <c r="J29" s="21">
        <f t="shared" si="4"/>
        <v>0.4498281642095911</v>
      </c>
      <c r="K29" s="16"/>
    </row>
    <row r="30" spans="1:11">
      <c r="A30" s="14"/>
      <c r="B30" s="9" t="str">
        <f>+[35]XX!A18</f>
        <v>Norte de Santander</v>
      </c>
      <c r="C30" s="21">
        <f>[35]XX!B18/1000000</f>
        <v>99.960594399999991</v>
      </c>
      <c r="D30" s="21">
        <f>[35]XX!E18/1000000</f>
        <v>174.23856559999993</v>
      </c>
      <c r="E30" s="21">
        <f t="shared" si="1"/>
        <v>74.307252418659033</v>
      </c>
      <c r="F30" s="21">
        <f t="shared" si="2"/>
        <v>0.67418404960182232</v>
      </c>
      <c r="G30" s="21">
        <f>[35]XX!C18/1000000</f>
        <v>10.279418840000002</v>
      </c>
      <c r="H30" s="21">
        <f>[35]XX!F18/1000000</f>
        <v>17.812841120000002</v>
      </c>
      <c r="I30" s="21">
        <f t="shared" si="3"/>
        <v>73.286461007750887</v>
      </c>
      <c r="J30" s="21">
        <f t="shared" si="4"/>
        <v>0.49126363124929323</v>
      </c>
      <c r="K30" s="16"/>
    </row>
    <row r="31" spans="1:11">
      <c r="A31" s="14"/>
      <c r="B31" s="9" t="str">
        <f>+[35]XX!A19</f>
        <v>Putumayo</v>
      </c>
      <c r="C31" s="21">
        <f>[35]XX!B19/1000000</f>
        <v>0</v>
      </c>
      <c r="D31" s="21">
        <f>[35]XX!E19/1000000</f>
        <v>157.42159429</v>
      </c>
      <c r="E31" s="21" t="str">
        <f t="shared" si="1"/>
        <v/>
      </c>
      <c r="F31" s="21">
        <f t="shared" si="2"/>
        <v>0.60911387537964989</v>
      </c>
      <c r="G31" s="21">
        <f>[35]XX!C19/1000000</f>
        <v>0</v>
      </c>
      <c r="H31" s="21">
        <f>[35]XX!F19/1000000</f>
        <v>16.099970410000001</v>
      </c>
      <c r="I31" s="21" t="str">
        <f t="shared" si="3"/>
        <v/>
      </c>
      <c r="J31" s="21">
        <f t="shared" si="4"/>
        <v>0.44402405395859562</v>
      </c>
      <c r="K31" s="16"/>
    </row>
    <row r="32" spans="1:11">
      <c r="A32" s="14"/>
      <c r="B32" s="9" t="str">
        <f>+[35]XX!A20</f>
        <v>Quindío</v>
      </c>
      <c r="C32" s="21">
        <f>[35]XX!B20/1000000</f>
        <v>110.82515080000002</v>
      </c>
      <c r="D32" s="21">
        <f>[35]XX!E20/1000000</f>
        <v>127.83951931000013</v>
      </c>
      <c r="E32" s="21">
        <f t="shared" si="1"/>
        <v>15.352443364327106</v>
      </c>
      <c r="F32" s="21">
        <f t="shared" si="2"/>
        <v>0.49465148275742177</v>
      </c>
      <c r="G32" s="21">
        <f>[35]XX!C20/1000000</f>
        <v>15.263420720000004</v>
      </c>
      <c r="H32" s="21">
        <f>[35]XX!F20/1000000</f>
        <v>20.861929259999997</v>
      </c>
      <c r="I32" s="21">
        <f t="shared" si="3"/>
        <v>36.679251936390258</v>
      </c>
      <c r="J32" s="21">
        <f t="shared" si="4"/>
        <v>0.57535499553894165</v>
      </c>
      <c r="K32" s="16"/>
    </row>
    <row r="33" spans="1:13">
      <c r="A33" s="14"/>
      <c r="B33" s="9" t="str">
        <f>+[35]XX!A21</f>
        <v>Valle del Cauca</v>
      </c>
      <c r="C33" s="21">
        <f>[35]XX!B21/1000000</f>
        <v>70.350513699999922</v>
      </c>
      <c r="D33" s="21">
        <f>[35]XX!E21/1000000</f>
        <v>78.82997838</v>
      </c>
      <c r="E33" s="21">
        <f t="shared" si="1"/>
        <v>12.053166684979132</v>
      </c>
      <c r="F33" s="21">
        <f t="shared" si="2"/>
        <v>0.30501808753556753</v>
      </c>
      <c r="G33" s="21">
        <f>[35]XX!C21/1000000</f>
        <v>10.156750589999998</v>
      </c>
      <c r="H33" s="21">
        <f>[35]XX!F21/1000000</f>
        <v>11.691031649999994</v>
      </c>
      <c r="I33" s="21">
        <f t="shared" si="3"/>
        <v>15.106022801333708</v>
      </c>
      <c r="J33" s="21">
        <f t="shared" si="4"/>
        <v>0.32242911856328355</v>
      </c>
      <c r="K33" s="16"/>
    </row>
    <row r="34" spans="1:13">
      <c r="A34" s="14"/>
      <c r="B34" s="9" t="str">
        <f>+[35]XX!A22</f>
        <v>Córdoba</v>
      </c>
      <c r="C34" s="21">
        <f>[35]XX!B22/1000000</f>
        <v>57.389138159999995</v>
      </c>
      <c r="D34" s="21">
        <f>[35]XX!E22/1000000</f>
        <v>65.658797879999995</v>
      </c>
      <c r="E34" s="21">
        <f t="shared" si="1"/>
        <v>14.409799458818018</v>
      </c>
      <c r="F34" s="21">
        <f t="shared" si="2"/>
        <v>0.2540546296067876</v>
      </c>
      <c r="G34" s="21">
        <f>[35]XX!C22/1000000</f>
        <v>5.8461208799999991</v>
      </c>
      <c r="H34" s="21">
        <f>[35]XX!F22/1000000</f>
        <v>3.5526362799999998</v>
      </c>
      <c r="I34" s="21">
        <f t="shared" si="3"/>
        <v>-39.230878852440007</v>
      </c>
      <c r="J34" s="21">
        <f t="shared" si="4"/>
        <v>9.7978811334100122E-2</v>
      </c>
      <c r="K34" s="16"/>
    </row>
    <row r="35" spans="1:13">
      <c r="A35" s="14"/>
      <c r="B35" s="9" t="str">
        <f>+[35]XX!A23</f>
        <v>Cauca</v>
      </c>
      <c r="C35" s="21">
        <f>[35]XX!B23/1000000</f>
        <v>43.782385720000057</v>
      </c>
      <c r="D35" s="21">
        <f>[35]XX!E23/1000000</f>
        <v>54.081431909999971</v>
      </c>
      <c r="E35" s="21">
        <f t="shared" si="1"/>
        <v>23.523264026462698</v>
      </c>
      <c r="F35" s="21">
        <f t="shared" si="2"/>
        <v>0.20925814355618766</v>
      </c>
      <c r="G35" s="21">
        <f>[35]XX!C23/1000000</f>
        <v>10.437481200000001</v>
      </c>
      <c r="H35" s="21">
        <f>[35]XX!F23/1000000</f>
        <v>10.49741661</v>
      </c>
      <c r="I35" s="21">
        <f t="shared" si="3"/>
        <v>0.57423250736010623</v>
      </c>
      <c r="J35" s="21">
        <f t="shared" si="4"/>
        <v>0.28951018918453392</v>
      </c>
      <c r="K35" s="16"/>
    </row>
    <row r="36" spans="1:13">
      <c r="A36" s="14"/>
      <c r="B36" s="9" t="str">
        <f>+[35]XX!A24</f>
        <v>Atlántico</v>
      </c>
      <c r="C36" s="21">
        <f>[35]XX!B24/1000000</f>
        <v>52.663339359999988</v>
      </c>
      <c r="D36" s="21">
        <f>[35]XX!E24/1000000</f>
        <v>53.162227959999996</v>
      </c>
      <c r="E36" s="21">
        <f t="shared" si="1"/>
        <v>0.94731668379337552</v>
      </c>
      <c r="F36" s="21">
        <f t="shared" si="2"/>
        <v>0.20570145311118218</v>
      </c>
      <c r="G36" s="21">
        <f>[35]XX!C24/1000000</f>
        <v>3.38768753</v>
      </c>
      <c r="H36" s="21">
        <f>[35]XX!F24/1000000</f>
        <v>10.067257549999999</v>
      </c>
      <c r="I36" s="21">
        <f t="shared" si="3"/>
        <v>197.17196349570054</v>
      </c>
      <c r="J36" s="21">
        <f t="shared" si="4"/>
        <v>0.27764675311575798</v>
      </c>
      <c r="K36" s="16"/>
    </row>
    <row r="37" spans="1:13">
      <c r="A37" s="14"/>
      <c r="B37" s="9" t="str">
        <f>+[35]XX!A25</f>
        <v>Boyacá</v>
      </c>
      <c r="C37" s="21">
        <f>[35]XX!B25/1000000</f>
        <v>32.733633670000003</v>
      </c>
      <c r="D37" s="21">
        <f>[35]XX!E25/1000000</f>
        <v>39.133834230000026</v>
      </c>
      <c r="E37" s="21">
        <f t="shared" si="1"/>
        <v>19.552368137686258</v>
      </c>
      <c r="F37" s="21">
        <f t="shared" si="2"/>
        <v>0.15142116641499626</v>
      </c>
      <c r="G37" s="21">
        <f>[35]XX!C25/1000000</f>
        <v>8.7448986400000006</v>
      </c>
      <c r="H37" s="21">
        <f>[35]XX!F25/1000000</f>
        <v>1.2414301200000006</v>
      </c>
      <c r="I37" s="21">
        <f t="shared" si="3"/>
        <v>-85.803950724807933</v>
      </c>
      <c r="J37" s="21">
        <f t="shared" si="4"/>
        <v>3.4237630290694807E-2</v>
      </c>
      <c r="K37" s="16"/>
    </row>
    <row r="38" spans="1:13">
      <c r="A38" s="14"/>
      <c r="B38" s="9" t="str">
        <f>+[35]XX!A26</f>
        <v>Nariño</v>
      </c>
      <c r="C38" s="21">
        <f>[35]XX!B26/1000000</f>
        <v>14.856667430000007</v>
      </c>
      <c r="D38" s="21">
        <f>[35]XX!E26/1000000</f>
        <v>16.600374679999998</v>
      </c>
      <c r="E38" s="21">
        <f t="shared" si="1"/>
        <v>11.736866684374526</v>
      </c>
      <c r="F38" s="21">
        <f t="shared" si="2"/>
        <v>6.4232093441143209E-2</v>
      </c>
      <c r="G38" s="21">
        <f>[35]XX!C26/1000000</f>
        <v>3.9488883299999999</v>
      </c>
      <c r="H38" s="21">
        <f>[35]XX!F26/1000000</f>
        <v>6.6034266600000011</v>
      </c>
      <c r="I38" s="21">
        <f t="shared" si="3"/>
        <v>67.222420797095594</v>
      </c>
      <c r="J38" s="21">
        <f t="shared" si="4"/>
        <v>0.18211712201472732</v>
      </c>
      <c r="K38" s="16"/>
    </row>
    <row r="39" spans="1:13">
      <c r="A39" s="14"/>
      <c r="B39" s="9" t="str">
        <f>+[35]XX!A27</f>
        <v>Sucre</v>
      </c>
      <c r="C39" s="21">
        <f>[35]XX!B27/1000000</f>
        <v>13.859465710000002</v>
      </c>
      <c r="D39" s="21">
        <f>[35]XX!E27/1000000</f>
        <v>12.263980310000001</v>
      </c>
      <c r="E39" s="21">
        <f t="shared" si="1"/>
        <v>-11.511882444709343</v>
      </c>
      <c r="F39" s="21">
        <f t="shared" si="2"/>
        <v>4.7453213823018391E-2</v>
      </c>
      <c r="G39" s="21">
        <f>[35]XX!C27/1000000</f>
        <v>2.8286616000000002</v>
      </c>
      <c r="H39" s="21">
        <f>[35]XX!F27/1000000</f>
        <v>9.8383999999999989E-3</v>
      </c>
      <c r="I39" s="21">
        <f t="shared" si="3"/>
        <v>-99.652188865575155</v>
      </c>
      <c r="J39" s="21">
        <f t="shared" si="4"/>
        <v>2.7133504852610766E-4</v>
      </c>
      <c r="K39" s="16"/>
    </row>
    <row r="40" spans="1:13">
      <c r="A40" s="14"/>
      <c r="B40" s="9" t="str">
        <f>+[35]XX!A28</f>
        <v>San Andrés</v>
      </c>
      <c r="C40" s="21">
        <f>[35]XX!B28/1000000</f>
        <v>1.7372375600000001</v>
      </c>
      <c r="D40" s="21">
        <f>[35]XX!E28/1000000</f>
        <v>2.4537101200000002</v>
      </c>
      <c r="E40" s="21">
        <f t="shared" si="1"/>
        <v>41.242060182028318</v>
      </c>
      <c r="F40" s="21">
        <f t="shared" si="2"/>
        <v>9.4941795437426084E-3</v>
      </c>
      <c r="G40" s="21">
        <f>[35]XX!C28/1000000</f>
        <v>0</v>
      </c>
      <c r="H40" s="21">
        <f>[35]XX!F28/1000000</f>
        <v>0</v>
      </c>
      <c r="I40" s="21" t="str">
        <f t="shared" si="3"/>
        <v/>
      </c>
      <c r="J40" s="21">
        <f t="shared" si="4"/>
        <v>0</v>
      </c>
      <c r="K40" s="16"/>
    </row>
    <row r="41" spans="1:13">
      <c r="A41" s="14"/>
      <c r="B41" s="9" t="str">
        <f>+[35]XX!A29</f>
        <v>Vichada</v>
      </c>
      <c r="C41" s="21">
        <f>[35]XX!B29/1000000</f>
        <v>1.23186774</v>
      </c>
      <c r="D41" s="21">
        <f>[35]XX!E29/1000000</f>
        <v>0.52332886999999995</v>
      </c>
      <c r="E41" s="21">
        <f t="shared" si="1"/>
        <v>-57.517446637574906</v>
      </c>
      <c r="F41" s="21">
        <f t="shared" si="2"/>
        <v>2.0249247096082944E-3</v>
      </c>
      <c r="G41" s="21">
        <f>[35]XX!C29/1000000</f>
        <v>0</v>
      </c>
      <c r="H41" s="21">
        <f>[35]XX!F29/1000000</f>
        <v>0</v>
      </c>
      <c r="I41" s="21" t="str">
        <f t="shared" si="3"/>
        <v/>
      </c>
      <c r="J41" s="21">
        <f t="shared" si="4"/>
        <v>0</v>
      </c>
      <c r="K41" s="16"/>
    </row>
    <row r="42" spans="1:13">
      <c r="A42" s="14"/>
      <c r="B42" s="9" t="str">
        <f>+[35]XX!A30</f>
        <v>Guaviare</v>
      </c>
      <c r="C42" s="21">
        <f>[35]XX!B30/1000000</f>
        <v>0</v>
      </c>
      <c r="D42" s="21">
        <f>[35]XX!E30/1000000</f>
        <v>0.10904286000000001</v>
      </c>
      <c r="E42" s="21" t="str">
        <f t="shared" si="1"/>
        <v/>
      </c>
      <c r="F42" s="21">
        <f t="shared" si="2"/>
        <v>4.2192127031011675E-4</v>
      </c>
      <c r="G42" s="21">
        <f>[35]XX!C30/1000000</f>
        <v>0</v>
      </c>
      <c r="H42" s="21">
        <f>[35]XX!F30/1000000</f>
        <v>0.10904286000000001</v>
      </c>
      <c r="I42" s="21" t="str">
        <f t="shared" si="3"/>
        <v/>
      </c>
      <c r="J42" s="21">
        <f t="shared" si="4"/>
        <v>3.0073131514804811E-3</v>
      </c>
      <c r="K42" s="16"/>
    </row>
    <row r="43" spans="1:13" s="147" customFormat="1">
      <c r="A43" s="104"/>
      <c r="B43" s="128" t="str">
        <f>+[35]XX!A31</f>
        <v>Chocó</v>
      </c>
      <c r="C43" s="21">
        <f>[35]XX!B31/1000000</f>
        <v>0</v>
      </c>
      <c r="D43" s="21">
        <f>[35]XX!E31/1000000</f>
        <v>3.4529999999999998E-2</v>
      </c>
      <c r="E43" s="21" t="str">
        <f t="shared" ref="E43:E44" si="5">IF(OR(OR(D43=0,C43=0),D43=""),"",(D43/C43-1)*100)</f>
        <v/>
      </c>
      <c r="F43" s="21">
        <f t="shared" ref="F43:F44" si="6">(D43/D$13)*100</f>
        <v>1.3360747749837385E-4</v>
      </c>
      <c r="G43" s="21">
        <f>[35]XX!C31/1000000</f>
        <v>0</v>
      </c>
      <c r="H43" s="21">
        <f>[35]XX!F31/1000000</f>
        <v>0</v>
      </c>
      <c r="I43" s="21" t="str">
        <f t="shared" ref="I43:I44" si="7">IF(OR(OR(H43=0,G43=0),H43=""),"",(H43/G43-1)*100)</f>
        <v/>
      </c>
      <c r="J43" s="21">
        <f t="shared" ref="J43:J44" si="8">(H43/H$13)*100</f>
        <v>0</v>
      </c>
      <c r="K43" s="106"/>
    </row>
    <row r="44" spans="1:13" s="147" customFormat="1">
      <c r="A44" s="104"/>
      <c r="B44" s="128" t="str">
        <f>+[35]XX!A32</f>
        <v>Amazonas</v>
      </c>
      <c r="C44" s="21">
        <f>[35]XX!B32/1000000</f>
        <v>0</v>
      </c>
      <c r="D44" s="21">
        <f>[35]XX!E32/1000000</f>
        <v>2.9478610000000002E-2</v>
      </c>
      <c r="E44" s="21" t="str">
        <f t="shared" si="5"/>
        <v/>
      </c>
      <c r="F44" s="21">
        <f t="shared" si="6"/>
        <v>1.1406205393160553E-4</v>
      </c>
      <c r="G44" s="21">
        <f>[35]XX!C32/1000000</f>
        <v>0</v>
      </c>
      <c r="H44" s="21">
        <f>[35]XX!F32/1000000</f>
        <v>0</v>
      </c>
      <c r="I44" s="21" t="str">
        <f t="shared" si="7"/>
        <v/>
      </c>
      <c r="J44" s="21">
        <f t="shared" si="8"/>
        <v>0</v>
      </c>
      <c r="K44" s="106"/>
    </row>
    <row r="45" spans="1:13" s="147" customFormat="1">
      <c r="A45" s="104"/>
      <c r="B45" s="128" t="str">
        <f>+[35]XX!A33</f>
        <v>Caquetá</v>
      </c>
      <c r="C45" s="21">
        <f>[35]XX!B33/1000000</f>
        <v>7.370496E-2</v>
      </c>
      <c r="D45" s="21">
        <f>[35]XX!E33/1000000</f>
        <v>0</v>
      </c>
      <c r="E45" s="21" t="str">
        <f t="shared" ref="E45" si="9">IF(OR(OR(D45=0,C45=0),D45=""),"",(D45/C45-1)*100)</f>
        <v/>
      </c>
      <c r="F45" s="21">
        <f t="shared" ref="F45" si="10">(D45/D$13)*100</f>
        <v>0</v>
      </c>
      <c r="G45" s="21">
        <f>[35]XX!C33/1000000</f>
        <v>0</v>
      </c>
      <c r="H45" s="21">
        <f>[35]XX!F33/1000000</f>
        <v>0</v>
      </c>
      <c r="I45" s="21" t="str">
        <f t="shared" ref="I45" si="11">IF(OR(OR(H45=0,G45=0),H45=""),"",(H45/G45-1)*100)</f>
        <v/>
      </c>
      <c r="J45" s="21">
        <f t="shared" ref="J45" si="12">(H45/H$13)*100</f>
        <v>0</v>
      </c>
      <c r="K45" s="106"/>
    </row>
    <row r="46" spans="1:13" s="147" customFormat="1">
      <c r="A46" s="104"/>
      <c r="B46" s="128" t="str">
        <f>+[35]XX!A34</f>
        <v>Guainía</v>
      </c>
      <c r="C46" s="21">
        <f>[35]XX!B34/1000000</f>
        <v>0.42601909000000004</v>
      </c>
      <c r="D46" s="21">
        <f>[35]XX!E34/1000000</f>
        <v>0</v>
      </c>
      <c r="E46" s="21" t="str">
        <f t="shared" ref="E46" si="13">IF(OR(OR(D46=0,C46=0),D46=""),"",(D46/C46-1)*100)</f>
        <v/>
      </c>
      <c r="F46" s="21">
        <f t="shared" ref="F46" si="14">(D46/D$13)*100</f>
        <v>0</v>
      </c>
      <c r="G46" s="21">
        <f>[35]XX!C34/1000000</f>
        <v>0</v>
      </c>
      <c r="H46" s="21">
        <f>[35]XX!F34/1000000</f>
        <v>0</v>
      </c>
      <c r="I46" s="21" t="str">
        <f t="shared" ref="I46" si="15">IF(OR(OR(H46=0,G46=0),H46=""),"",(H46/G46-1)*100)</f>
        <v/>
      </c>
      <c r="J46" s="21">
        <f t="shared" ref="J46" si="16">(H46/H$13)*100</f>
        <v>0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tr">
        <f>IF(F47="","",1)</f>
        <v/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SUM(C14:C44)</f>
        <v>5618.8146111500009</v>
      </c>
      <c r="D13" s="83">
        <f>SUM(D14:D44)</f>
        <v>5174.9063222799987</v>
      </c>
      <c r="E13" s="83">
        <f>IF(OR(OR(D13=0,C13=0),D13=""),"",(D13/C13-1)*100)</f>
        <v>-7.9003903775203499</v>
      </c>
      <c r="F13" s="83">
        <f>(D13/D$13)*100</f>
        <v>100</v>
      </c>
      <c r="G13" s="83">
        <f t="shared" ref="G13:H13" si="0">SUM(G14:G44)</f>
        <v>752.28253321000011</v>
      </c>
      <c r="H13" s="83">
        <f t="shared" si="0"/>
        <v>583.12470963999988</v>
      </c>
      <c r="I13" s="83">
        <f>IF(OR(OR(H13=0,G13=0),H13=""),"",(H13/G13-1)*100)</f>
        <v>-22.485943259668872</v>
      </c>
      <c r="J13" s="83">
        <f>(H13/H$13)*100</f>
        <v>100</v>
      </c>
      <c r="K13" s="16"/>
    </row>
    <row r="14" spans="1:14">
      <c r="A14" s="14"/>
      <c r="B14" s="9" t="str">
        <f>+[36]XX!A2</f>
        <v>Sin definir</v>
      </c>
      <c r="C14" s="21">
        <f>[36]XX!B2/1000000</f>
        <v>1412.3805096100002</v>
      </c>
      <c r="D14" s="21">
        <f>[36]XX!E2/1000000</f>
        <v>1359.7471840000001</v>
      </c>
      <c r="E14" s="21">
        <f>IF(OR(OR(D14=0,C14=0),D14=""),"",(D14/C14-1)*100)</f>
        <v>-3.7265683894585733</v>
      </c>
      <c r="F14" s="21">
        <f>(D14/D$13)*100</f>
        <v>26.275783546955349</v>
      </c>
      <c r="G14" s="21">
        <f>[36]XX!C2/1000000</f>
        <v>124.580539</v>
      </c>
      <c r="H14" s="21">
        <f>[36]XX!F2/1000000</f>
        <v>188.84116299999999</v>
      </c>
      <c r="I14" s="21">
        <f>IF(OR(OR(H14=0,G14=0),H14=""),"",(H14/G14-1)*100)</f>
        <v>51.581590925690236</v>
      </c>
      <c r="J14" s="21">
        <f>(H14/H$13)*100</f>
        <v>32.384352759906832</v>
      </c>
      <c r="K14" s="16"/>
    </row>
    <row r="15" spans="1:14">
      <c r="A15" s="14"/>
      <c r="B15" s="9" t="str">
        <f>+[36]XX!A3</f>
        <v>Bolívar</v>
      </c>
      <c r="C15" s="21">
        <f>[36]XX!B3/1000000</f>
        <v>1359.9797424900025</v>
      </c>
      <c r="D15" s="21">
        <f>[36]XX!E3/1000000</f>
        <v>1293.2411283299994</v>
      </c>
      <c r="E15" s="21">
        <f t="shared" ref="E15:E39" si="1">IF(OR(OR(D15=0,C15=0),D15=""),"",(D15/C15-1)*100)</f>
        <v>-4.9073241368882918</v>
      </c>
      <c r="F15" s="21">
        <f t="shared" ref="F15:F39" si="2">(D15/D$13)*100</f>
        <v>24.990619110573842</v>
      </c>
      <c r="G15" s="21">
        <f>[36]XX!C3/1000000</f>
        <v>213.98208141000001</v>
      </c>
      <c r="H15" s="21">
        <f>[36]XX!F3/1000000</f>
        <v>83.794081989999952</v>
      </c>
      <c r="I15" s="21">
        <f t="shared" ref="I15:I39" si="3">IF(OR(OR(H15=0,G15=0),H15=""),"",(H15/G15-1)*100)</f>
        <v>-60.840608036966216</v>
      </c>
      <c r="J15" s="21">
        <f t="shared" ref="J15:J39" si="4">(H15/H$13)*100</f>
        <v>14.369839007805277</v>
      </c>
      <c r="K15" s="16"/>
    </row>
    <row r="16" spans="1:14">
      <c r="A16" s="14"/>
      <c r="B16" s="9" t="str">
        <f>+[36]XX!A4</f>
        <v>Valle del Cauca</v>
      </c>
      <c r="C16" s="21">
        <f>[36]XX!B4/1000000</f>
        <v>672.49534319999759</v>
      </c>
      <c r="D16" s="21">
        <f>[36]XX!E4/1000000</f>
        <v>579.43877791999728</v>
      </c>
      <c r="E16" s="21">
        <f t="shared" si="1"/>
        <v>-13.837503295889086</v>
      </c>
      <c r="F16" s="21">
        <f t="shared" si="2"/>
        <v>11.197087286880661</v>
      </c>
      <c r="G16" s="21">
        <f>[36]XX!C4/1000000</f>
        <v>94.806773680000205</v>
      </c>
      <c r="H16" s="21">
        <f>[36]XX!F4/1000000</f>
        <v>73.292384889999781</v>
      </c>
      <c r="I16" s="21">
        <f t="shared" si="3"/>
        <v>-22.692881483993531</v>
      </c>
      <c r="J16" s="21">
        <f t="shared" si="4"/>
        <v>12.568903988865065</v>
      </c>
      <c r="K16" s="16"/>
    </row>
    <row r="17" spans="1:11" s="98" customFormat="1">
      <c r="A17" s="104"/>
      <c r="B17" s="128" t="str">
        <f>+[36]XX!A5</f>
        <v>Santander</v>
      </c>
      <c r="C17" s="21">
        <f>[36]XX!B5/1000000</f>
        <v>357.34787903999984</v>
      </c>
      <c r="D17" s="21">
        <f>[36]XX!E5/1000000</f>
        <v>361.93304776000025</v>
      </c>
      <c r="E17" s="21">
        <f t="shared" si="1"/>
        <v>1.2831106574126894</v>
      </c>
      <c r="F17" s="21">
        <f t="shared" si="2"/>
        <v>6.994001924280961</v>
      </c>
      <c r="G17" s="21">
        <f>[36]XX!C5/1000000</f>
        <v>44.389182350000006</v>
      </c>
      <c r="H17" s="21">
        <f>[36]XX!F5/1000000</f>
        <v>39.734353590000026</v>
      </c>
      <c r="I17" s="21">
        <f t="shared" si="3"/>
        <v>-10.486403473931027</v>
      </c>
      <c r="J17" s="21">
        <f t="shared" si="4"/>
        <v>6.8140404502032821</v>
      </c>
      <c r="K17" s="106"/>
    </row>
    <row r="18" spans="1:11" s="147" customFormat="1">
      <c r="A18" s="104"/>
      <c r="B18" s="129" t="str">
        <f>+[36]XX!A6</f>
        <v>Bogotá</v>
      </c>
      <c r="C18" s="24">
        <f>[36]XX!B6/1000000</f>
        <v>303.18486883999913</v>
      </c>
      <c r="D18" s="24">
        <f>[36]XX!E6/1000000</f>
        <v>286.18182991000003</v>
      </c>
      <c r="E18" s="24">
        <f t="shared" si="1"/>
        <v>-5.6081423176076006</v>
      </c>
      <c r="F18" s="24">
        <f t="shared" si="2"/>
        <v>5.5301837770062656</v>
      </c>
      <c r="G18" s="24">
        <f>[36]XX!C6/1000000</f>
        <v>45.721718699999919</v>
      </c>
      <c r="H18" s="24">
        <f>[36]XX!F6/1000000</f>
        <v>36.834505869999958</v>
      </c>
      <c r="I18" s="24">
        <f t="shared" si="3"/>
        <v>-19.437617575823928</v>
      </c>
      <c r="J18" s="24">
        <f t="shared" si="4"/>
        <v>6.3167458454539247</v>
      </c>
      <c r="K18" s="106"/>
    </row>
    <row r="19" spans="1:11" s="147" customFormat="1">
      <c r="A19" s="104"/>
      <c r="B19" s="128" t="str">
        <f>+[36]XX!A7</f>
        <v>Atlántico</v>
      </c>
      <c r="C19" s="21">
        <f>[36]XX!B7/1000000</f>
        <v>293.37547031999873</v>
      </c>
      <c r="D19" s="21">
        <f>[36]XX!E7/1000000</f>
        <v>283.26159207000097</v>
      </c>
      <c r="E19" s="21">
        <f t="shared" si="1"/>
        <v>-3.4474178222760221</v>
      </c>
      <c r="F19" s="21">
        <f t="shared" si="2"/>
        <v>5.4737530387835012</v>
      </c>
      <c r="G19" s="21">
        <f>[36]XX!C7/1000000</f>
        <v>40.501088639999992</v>
      </c>
      <c r="H19" s="21">
        <f>[36]XX!F7/1000000</f>
        <v>31.756865670000028</v>
      </c>
      <c r="I19" s="21">
        <f t="shared" si="3"/>
        <v>-21.590093658282385</v>
      </c>
      <c r="J19" s="21">
        <f t="shared" si="4"/>
        <v>5.4459818191559002</v>
      </c>
      <c r="K19" s="106"/>
    </row>
    <row r="20" spans="1:11">
      <c r="A20" s="14"/>
      <c r="B20" s="9" t="str">
        <f>+[36]XX!A8</f>
        <v>Boyacá</v>
      </c>
      <c r="C20" s="21">
        <f>[36]XX!B8/1000000</f>
        <v>271.11572957999999</v>
      </c>
      <c r="D20" s="21">
        <f>[36]XX!E8/1000000</f>
        <v>207.40148965</v>
      </c>
      <c r="E20" s="21">
        <f t="shared" si="1"/>
        <v>-23.500753729303405</v>
      </c>
      <c r="F20" s="21">
        <f t="shared" si="2"/>
        <v>4.0078308037588117</v>
      </c>
      <c r="G20" s="21">
        <f>[36]XX!C8/1000000</f>
        <v>43.449056990000003</v>
      </c>
      <c r="H20" s="21">
        <f>[36]XX!F8/1000000</f>
        <v>27.004221879999999</v>
      </c>
      <c r="I20" s="21">
        <f t="shared" si="3"/>
        <v>-37.848543211846597</v>
      </c>
      <c r="J20" s="21">
        <f t="shared" si="4"/>
        <v>4.6309513957437041</v>
      </c>
      <c r="K20" s="16"/>
    </row>
    <row r="21" spans="1:11">
      <c r="A21" s="14"/>
      <c r="B21" s="9" t="str">
        <f>+[36]XX!A9</f>
        <v>Cundinamarca</v>
      </c>
      <c r="C21" s="21">
        <f>[36]XX!B9/1000000</f>
        <v>207.39963965000135</v>
      </c>
      <c r="D21" s="21">
        <f>[36]XX!E9/1000000</f>
        <v>197.15407563999949</v>
      </c>
      <c r="E21" s="21">
        <f t="shared" si="1"/>
        <v>-4.9400105165524071</v>
      </c>
      <c r="F21" s="21">
        <f t="shared" si="2"/>
        <v>3.8098095571541841</v>
      </c>
      <c r="G21" s="21">
        <f>[36]XX!C9/1000000</f>
        <v>41.108800509999966</v>
      </c>
      <c r="H21" s="21">
        <f>[36]XX!F9/1000000</f>
        <v>11.678332079999999</v>
      </c>
      <c r="I21" s="21">
        <f t="shared" si="3"/>
        <v>-71.591649634342474</v>
      </c>
      <c r="J21" s="21">
        <f t="shared" si="4"/>
        <v>2.0027160377425575</v>
      </c>
      <c r="K21" s="16"/>
    </row>
    <row r="22" spans="1:11">
      <c r="A22" s="14"/>
      <c r="B22" s="9" t="str">
        <f>+[36]XX!A10</f>
        <v>Antioquia</v>
      </c>
      <c r="C22" s="21">
        <f>[36]XX!B10/1000000</f>
        <v>230.51116783000069</v>
      </c>
      <c r="D22" s="21">
        <f>[36]XX!E10/1000000</f>
        <v>174.88284050000053</v>
      </c>
      <c r="E22" s="21">
        <f t="shared" si="1"/>
        <v>-24.132595333092677</v>
      </c>
      <c r="F22" s="21">
        <f t="shared" si="2"/>
        <v>3.3794397349196719</v>
      </c>
      <c r="G22" s="21">
        <f>[36]XX!C10/1000000</f>
        <v>32.605705749999991</v>
      </c>
      <c r="H22" s="21">
        <f>[36]XX!F10/1000000</f>
        <v>24.273902349999986</v>
      </c>
      <c r="I22" s="21">
        <f t="shared" si="3"/>
        <v>-25.553206742043933</v>
      </c>
      <c r="J22" s="21">
        <f t="shared" si="4"/>
        <v>4.1627291638843111</v>
      </c>
      <c r="K22" s="16"/>
    </row>
    <row r="23" spans="1:11">
      <c r="A23" s="14"/>
      <c r="B23" s="9" t="str">
        <f>+[36]XX!A11</f>
        <v>Magdalena</v>
      </c>
      <c r="C23" s="21">
        <f>[36]XX!B11/1000000</f>
        <v>138.72797331000004</v>
      </c>
      <c r="D23" s="21">
        <f>[36]XX!E11/1000000</f>
        <v>146.86650833999991</v>
      </c>
      <c r="E23" s="21">
        <f t="shared" si="1"/>
        <v>5.8665421513897531</v>
      </c>
      <c r="F23" s="21">
        <f t="shared" si="2"/>
        <v>2.8380515354970206</v>
      </c>
      <c r="G23" s="21">
        <f>[36]XX!C11/1000000</f>
        <v>18.982156549999996</v>
      </c>
      <c r="H23" s="21">
        <f>[36]XX!F11/1000000</f>
        <v>22.225508089999995</v>
      </c>
      <c r="I23" s="21">
        <f t="shared" si="3"/>
        <v>17.086317518543481</v>
      </c>
      <c r="J23" s="21">
        <f t="shared" si="4"/>
        <v>3.811450230555522</v>
      </c>
      <c r="K23" s="16"/>
    </row>
    <row r="24" spans="1:11">
      <c r="A24" s="14"/>
      <c r="B24" s="9" t="str">
        <f>+[36]XX!A12</f>
        <v>Norte de Santander</v>
      </c>
      <c r="C24" s="21">
        <f>[36]XX!B12/1000000</f>
        <v>164.79039410999965</v>
      </c>
      <c r="D24" s="21">
        <f>[36]XX!E12/1000000</f>
        <v>103.86974281000025</v>
      </c>
      <c r="E24" s="21">
        <f t="shared" si="1"/>
        <v>-36.968569453953791</v>
      </c>
      <c r="F24" s="21">
        <f t="shared" si="2"/>
        <v>2.0071811225412977</v>
      </c>
      <c r="G24" s="21">
        <f>[36]XX!C12/1000000</f>
        <v>19.055613850000004</v>
      </c>
      <c r="H24" s="21">
        <f>[36]XX!F12/1000000</f>
        <v>14.578041460000003</v>
      </c>
      <c r="I24" s="21">
        <f t="shared" si="3"/>
        <v>-23.497392554478115</v>
      </c>
      <c r="J24" s="21">
        <f t="shared" si="4"/>
        <v>2.4999869185786965</v>
      </c>
      <c r="K24" s="16"/>
    </row>
    <row r="25" spans="1:11">
      <c r="A25" s="14"/>
      <c r="B25" s="9" t="str">
        <f>+[36]XX!A13</f>
        <v>Caldas</v>
      </c>
      <c r="C25" s="21">
        <f>[36]XX!B13/1000000</f>
        <v>58.431492830000359</v>
      </c>
      <c r="D25" s="21">
        <f>[36]XX!E13/1000000</f>
        <v>57.101083729999921</v>
      </c>
      <c r="E25" s="21">
        <f t="shared" si="1"/>
        <v>-2.2768699472921372</v>
      </c>
      <c r="F25" s="21">
        <f t="shared" si="2"/>
        <v>1.1034225582820194</v>
      </c>
      <c r="G25" s="21">
        <f>[36]XX!C13/1000000</f>
        <v>7.2012777299999966</v>
      </c>
      <c r="H25" s="21">
        <f>[36]XX!F13/1000000</f>
        <v>7.2992026699999979</v>
      </c>
      <c r="I25" s="21">
        <f t="shared" si="3"/>
        <v>1.3598272927601851</v>
      </c>
      <c r="J25" s="21">
        <f t="shared" si="4"/>
        <v>1.2517395591941665</v>
      </c>
      <c r="K25" s="16"/>
    </row>
    <row r="26" spans="1:11">
      <c r="A26" s="14"/>
      <c r="B26" s="9" t="str">
        <f>+[36]XX!A14</f>
        <v>Cauca</v>
      </c>
      <c r="C26" s="21">
        <f>[36]XX!B14/1000000</f>
        <v>80.487182780000111</v>
      </c>
      <c r="D26" s="21">
        <f>[36]XX!E14/1000000</f>
        <v>55.947970589999983</v>
      </c>
      <c r="E26" s="21">
        <f t="shared" si="1"/>
        <v>-30.488347762244906</v>
      </c>
      <c r="F26" s="21">
        <f t="shared" si="2"/>
        <v>1.0811397754027363</v>
      </c>
      <c r="G26" s="21">
        <f>[36]XX!C14/1000000</f>
        <v>17.969106999999997</v>
      </c>
      <c r="H26" s="21">
        <f>[36]XX!F14/1000000</f>
        <v>11.271933500000003</v>
      </c>
      <c r="I26" s="21">
        <f t="shared" si="3"/>
        <v>-37.270485951249533</v>
      </c>
      <c r="J26" s="21">
        <f t="shared" si="4"/>
        <v>1.9330227846044952</v>
      </c>
      <c r="K26" s="16"/>
    </row>
    <row r="27" spans="1:11">
      <c r="A27" s="14"/>
      <c r="B27" s="9" t="str">
        <f>+[36]XX!A15</f>
        <v>Risaralda</v>
      </c>
      <c r="C27" s="21">
        <f>[36]XX!B15/1000000</f>
        <v>56.414731709999991</v>
      </c>
      <c r="D27" s="21">
        <f>[36]XX!E15/1000000</f>
        <v>44.390796490000007</v>
      </c>
      <c r="E27" s="21">
        <f t="shared" si="1"/>
        <v>-21.313466989099659</v>
      </c>
      <c r="F27" s="21">
        <f t="shared" si="2"/>
        <v>0.85780869692037209</v>
      </c>
      <c r="G27" s="21">
        <f>[36]XX!C15/1000000</f>
        <v>7.2422046499999988</v>
      </c>
      <c r="H27" s="21">
        <f>[36]XX!F15/1000000</f>
        <v>5.3809175400000004</v>
      </c>
      <c r="I27" s="21">
        <f t="shared" si="3"/>
        <v>-25.700559428405533</v>
      </c>
      <c r="J27" s="21">
        <f t="shared" si="4"/>
        <v>0.92277302797234995</v>
      </c>
      <c r="K27" s="16"/>
    </row>
    <row r="28" spans="1:11">
      <c r="A28" s="14"/>
      <c r="B28" s="9" t="str">
        <f>+[36]XX!A16</f>
        <v>Nariño</v>
      </c>
      <c r="C28" s="21">
        <f>[36]XX!B16/1000000</f>
        <v>2.5857674799999995</v>
      </c>
      <c r="D28" s="21">
        <f>[36]XX!E16/1000000</f>
        <v>4.4164660700000011</v>
      </c>
      <c r="E28" s="21">
        <f t="shared" si="1"/>
        <v>70.799041451321926</v>
      </c>
      <c r="F28" s="21">
        <f t="shared" si="2"/>
        <v>8.5343884409759943E-2</v>
      </c>
      <c r="G28" s="21">
        <f>[36]XX!C16/1000000</f>
        <v>4.6096970000000001E-2</v>
      </c>
      <c r="H28" s="21">
        <f>[36]XX!F16/1000000</f>
        <v>2.52791823</v>
      </c>
      <c r="I28" s="21">
        <f t="shared" si="3"/>
        <v>5383.9140837239411</v>
      </c>
      <c r="J28" s="21">
        <f t="shared" si="4"/>
        <v>0.43351245251820064</v>
      </c>
      <c r="K28" s="16"/>
    </row>
    <row r="29" spans="1:11">
      <c r="A29" s="14"/>
      <c r="B29" s="9" t="str">
        <f>+[36]XX!A17</f>
        <v>Cesar</v>
      </c>
      <c r="C29" s="21">
        <f>[36]XX!B17/1000000</f>
        <v>6.4146999999999996E-2</v>
      </c>
      <c r="D29" s="21">
        <f>[36]XX!E17/1000000</f>
        <v>4.2107591299999996</v>
      </c>
      <c r="E29" s="21">
        <f t="shared" si="1"/>
        <v>6464.2339158495333</v>
      </c>
      <c r="F29" s="21">
        <f t="shared" si="2"/>
        <v>8.1368799119532501E-2</v>
      </c>
      <c r="G29" s="21">
        <f>[36]XX!C17/1000000</f>
        <v>0</v>
      </c>
      <c r="H29" s="21">
        <f>[36]XX!F17/1000000</f>
        <v>0.75233519999999998</v>
      </c>
      <c r="I29" s="21" t="str">
        <f t="shared" si="3"/>
        <v/>
      </c>
      <c r="J29" s="21">
        <f t="shared" si="4"/>
        <v>0.12901789060944863</v>
      </c>
      <c r="K29" s="16"/>
    </row>
    <row r="30" spans="1:11">
      <c r="A30" s="14"/>
      <c r="B30" s="9" t="str">
        <f>+[36]XX!A18</f>
        <v>Sucre</v>
      </c>
      <c r="C30" s="21">
        <f>[36]XX!B18/1000000</f>
        <v>1.94446786</v>
      </c>
      <c r="D30" s="21">
        <f>[36]XX!E18/1000000</f>
        <v>4.1786319599999997</v>
      </c>
      <c r="E30" s="21">
        <f t="shared" si="1"/>
        <v>114.8984843596232</v>
      </c>
      <c r="F30" s="21">
        <f t="shared" si="2"/>
        <v>8.0747973002126675E-2</v>
      </c>
      <c r="G30" s="21">
        <f>[36]XX!C18/1000000</f>
        <v>7.1999999999999998E-3</v>
      </c>
      <c r="H30" s="21">
        <f>[36]XX!F18/1000000</f>
        <v>1.1860705</v>
      </c>
      <c r="I30" s="21">
        <f t="shared" si="3"/>
        <v>16373.201388888891</v>
      </c>
      <c r="J30" s="21">
        <f t="shared" si="4"/>
        <v>0.2033991152136628</v>
      </c>
      <c r="K30" s="16"/>
    </row>
    <row r="31" spans="1:11">
      <c r="A31" s="14"/>
      <c r="B31" s="9" t="str">
        <f>+[36]XX!A19</f>
        <v>Casanare</v>
      </c>
      <c r="C31" s="21">
        <f>[36]XX!B19/1000000</f>
        <v>0</v>
      </c>
      <c r="D31" s="21">
        <f>[36]XX!E19/1000000</f>
        <v>4.1331608399999995</v>
      </c>
      <c r="E31" s="21" t="str">
        <f t="shared" si="1"/>
        <v/>
      </c>
      <c r="F31" s="21">
        <f t="shared" si="2"/>
        <v>7.9869288110687581E-2</v>
      </c>
      <c r="G31" s="21">
        <f>[36]XX!C19/1000000</f>
        <v>0</v>
      </c>
      <c r="H31" s="21">
        <f>[36]XX!F19/1000000</f>
        <v>0</v>
      </c>
      <c r="I31" s="21" t="str">
        <f t="shared" si="3"/>
        <v/>
      </c>
      <c r="J31" s="21">
        <f t="shared" si="4"/>
        <v>0</v>
      </c>
      <c r="K31" s="16"/>
    </row>
    <row r="32" spans="1:11">
      <c r="A32" s="14"/>
      <c r="B32" s="9" t="str">
        <f>+[36]XX!A20</f>
        <v>Córdoba</v>
      </c>
      <c r="C32" s="21">
        <f>[36]XX!B20/1000000</f>
        <v>4.3056114300000035</v>
      </c>
      <c r="D32" s="21">
        <f>[36]XX!E20/1000000</f>
        <v>3.1878273099999994</v>
      </c>
      <c r="E32" s="21">
        <f t="shared" si="1"/>
        <v>-25.961100721065378</v>
      </c>
      <c r="F32" s="21">
        <f t="shared" si="2"/>
        <v>6.1601642840859824E-2</v>
      </c>
      <c r="G32" s="21">
        <f>[36]XX!C20/1000000</f>
        <v>0.36294905999999999</v>
      </c>
      <c r="H32" s="21">
        <f>[36]XX!F20/1000000</f>
        <v>0.33831897999999999</v>
      </c>
      <c r="I32" s="21">
        <f t="shared" si="3"/>
        <v>-6.7860983026102879</v>
      </c>
      <c r="J32" s="21">
        <f t="shared" si="4"/>
        <v>5.8018289125299785E-2</v>
      </c>
      <c r="K32" s="16"/>
    </row>
    <row r="33" spans="1:13">
      <c r="A33" s="14"/>
      <c r="B33" s="9" t="str">
        <f>+[36]XX!A21</f>
        <v>Tolima</v>
      </c>
      <c r="C33" s="21">
        <f>[36]XX!B21/1000000</f>
        <v>0.96403939000000005</v>
      </c>
      <c r="D33" s="21">
        <f>[36]XX!E21/1000000</f>
        <v>1.6070704099999999</v>
      </c>
      <c r="E33" s="21">
        <f t="shared" si="1"/>
        <v>66.701737156196472</v>
      </c>
      <c r="F33" s="21">
        <f t="shared" si="2"/>
        <v>3.1055062834295811E-2</v>
      </c>
      <c r="G33" s="21">
        <f>[36]XX!C21/1000000</f>
        <v>0.10692</v>
      </c>
      <c r="H33" s="21">
        <f>[36]XX!F21/1000000</f>
        <v>0.13666291999999999</v>
      </c>
      <c r="I33" s="21">
        <f t="shared" si="3"/>
        <v>27.817919940142154</v>
      </c>
      <c r="J33" s="21">
        <f t="shared" si="4"/>
        <v>2.3436310919557966E-2</v>
      </c>
      <c r="K33" s="16"/>
    </row>
    <row r="34" spans="1:13">
      <c r="A34" s="14"/>
      <c r="B34" s="9" t="str">
        <f>+[36]XX!A22</f>
        <v>Chocó</v>
      </c>
      <c r="C34" s="21">
        <f>[36]XX!B22/1000000</f>
        <v>1.3825056199999999</v>
      </c>
      <c r="D34" s="21">
        <f>[36]XX!E22/1000000</f>
        <v>1.3090477199999999</v>
      </c>
      <c r="E34" s="21">
        <f t="shared" si="1"/>
        <v>-5.3133888887916374</v>
      </c>
      <c r="F34" s="21">
        <f t="shared" si="2"/>
        <v>2.5296066024693756E-2</v>
      </c>
      <c r="G34" s="21">
        <f>[36]XX!C22/1000000</f>
        <v>9.6729499999999996E-2</v>
      </c>
      <c r="H34" s="21">
        <f>[36]XX!F22/1000000</f>
        <v>0.10601724</v>
      </c>
      <c r="I34" s="21">
        <f t="shared" si="3"/>
        <v>9.6017657488149943</v>
      </c>
      <c r="J34" s="21">
        <f t="shared" si="4"/>
        <v>1.8180886223369132E-2</v>
      </c>
      <c r="K34" s="16"/>
    </row>
    <row r="35" spans="1:13">
      <c r="A35" s="14"/>
      <c r="B35" s="9" t="str">
        <f>+[36]XX!A23</f>
        <v>Guajira</v>
      </c>
      <c r="C35" s="21">
        <f>[36]XX!B23/1000000</f>
        <v>0.30010777</v>
      </c>
      <c r="D35" s="21">
        <f>[36]XX!E23/1000000</f>
        <v>0.13958703999999997</v>
      </c>
      <c r="E35" s="21">
        <f t="shared" si="1"/>
        <v>-53.487695436875903</v>
      </c>
      <c r="F35" s="21">
        <f t="shared" si="2"/>
        <v>2.6973829342383086E-3</v>
      </c>
      <c r="G35" s="21">
        <f>[36]XX!C23/1000000</f>
        <v>1.8326400000000003E-2</v>
      </c>
      <c r="H35" s="21">
        <f>[36]XX!F23/1000000</f>
        <v>6.8381539999999991E-2</v>
      </c>
      <c r="I35" s="21">
        <f t="shared" si="3"/>
        <v>273.13132966649192</v>
      </c>
      <c r="J35" s="21">
        <f t="shared" si="4"/>
        <v>1.1726743674130407E-2</v>
      </c>
      <c r="K35" s="16"/>
    </row>
    <row r="36" spans="1:13">
      <c r="A36" s="14"/>
      <c r="B36" s="9" t="str">
        <f>+[36]XX!A24</f>
        <v>Huila</v>
      </c>
      <c r="C36" s="21">
        <f>[36]XX!B24/1000000</f>
        <v>5.8813590000000006E-2</v>
      </c>
      <c r="D36" s="21">
        <f>[36]XX!E24/1000000</f>
        <v>0.10807894999999999</v>
      </c>
      <c r="E36" s="21">
        <f t="shared" si="1"/>
        <v>83.765265816965069</v>
      </c>
      <c r="F36" s="21">
        <f t="shared" si="2"/>
        <v>2.0885199319392077E-3</v>
      </c>
      <c r="G36" s="21">
        <f>[36]XX!C24/1000000</f>
        <v>0</v>
      </c>
      <c r="H36" s="21">
        <f>[36]XX!F24/1000000</f>
        <v>3.238655E-2</v>
      </c>
      <c r="I36" s="21" t="str">
        <f t="shared" si="3"/>
        <v/>
      </c>
      <c r="J36" s="21">
        <f t="shared" si="4"/>
        <v>5.5539663239436874E-3</v>
      </c>
      <c r="K36" s="16"/>
    </row>
    <row r="37" spans="1:13">
      <c r="A37" s="14"/>
      <c r="B37" s="9" t="str">
        <f>+[36]XX!A25</f>
        <v>Caquetá</v>
      </c>
      <c r="C37" s="21">
        <f>[36]XX!B25/1000000</f>
        <v>0.33817996</v>
      </c>
      <c r="D37" s="21">
        <f>[36]XX!E25/1000000</f>
        <v>9.0367239999999988E-2</v>
      </c>
      <c r="E37" s="21">
        <f t="shared" si="1"/>
        <v>-73.27835747570613</v>
      </c>
      <c r="F37" s="21">
        <f t="shared" si="2"/>
        <v>1.7462584706303499E-3</v>
      </c>
      <c r="G37" s="21">
        <f>[36]XX!C25/1000000</f>
        <v>4.444671E-2</v>
      </c>
      <c r="H37" s="21">
        <f>[36]XX!F25/1000000</f>
        <v>0</v>
      </c>
      <c r="I37" s="21" t="str">
        <f t="shared" si="3"/>
        <v/>
      </c>
      <c r="J37" s="21">
        <f t="shared" si="4"/>
        <v>0</v>
      </c>
      <c r="K37" s="16"/>
    </row>
    <row r="38" spans="1:13">
      <c r="A38" s="14"/>
      <c r="B38" s="9" t="str">
        <f>+[36]XX!A26</f>
        <v>Quindío</v>
      </c>
      <c r="C38" s="21">
        <f>[36]XX!B26/1000000</f>
        <v>6.379978E-2</v>
      </c>
      <c r="D38" s="21">
        <f>[36]XX!E26/1000000</f>
        <v>8.1041129999999989E-2</v>
      </c>
      <c r="E38" s="21">
        <f t="shared" si="1"/>
        <v>27.024152747862118</v>
      </c>
      <c r="F38" s="21">
        <f t="shared" si="2"/>
        <v>1.566040522339239E-3</v>
      </c>
      <c r="G38" s="21">
        <f>[36]XX!C26/1000000</f>
        <v>4.5577600000000001E-3</v>
      </c>
      <c r="H38" s="21">
        <f>[36]XX!F26/1000000</f>
        <v>0</v>
      </c>
      <c r="I38" s="21" t="str">
        <f t="shared" si="3"/>
        <v/>
      </c>
      <c r="J38" s="21">
        <f t="shared" si="4"/>
        <v>0</v>
      </c>
      <c r="K38" s="16"/>
    </row>
    <row r="39" spans="1:13">
      <c r="A39" s="14"/>
      <c r="B39" s="9" t="str">
        <f>+[36]XX!A27</f>
        <v>San Andrés</v>
      </c>
      <c r="C39" s="21">
        <f>[36]XX!B27/1000000</f>
        <v>0</v>
      </c>
      <c r="D39" s="21">
        <f>[36]XX!E27/1000000</f>
        <v>2.2733740000000002E-2</v>
      </c>
      <c r="E39" s="21" t="str">
        <f t="shared" si="1"/>
        <v/>
      </c>
      <c r="F39" s="21">
        <f t="shared" si="2"/>
        <v>4.3930727600077215E-4</v>
      </c>
      <c r="G39" s="21">
        <f>[36]XX!C27/1000000</f>
        <v>0</v>
      </c>
      <c r="H39" s="21">
        <f>[36]XX!F27/1000000</f>
        <v>1.1203899999999999E-2</v>
      </c>
      <c r="I39" s="21" t="str">
        <f t="shared" si="3"/>
        <v/>
      </c>
      <c r="J39" s="21">
        <f t="shared" si="4"/>
        <v>1.9213557262762683E-3</v>
      </c>
      <c r="K39" s="16"/>
    </row>
    <row r="40" spans="1:13" s="147" customFormat="1">
      <c r="A40" s="104"/>
      <c r="B40" s="128" t="str">
        <f>+[36]XX!A28</f>
        <v>Putumayo</v>
      </c>
      <c r="C40" s="21">
        <f>[36]XX!B28/1000000</f>
        <v>0</v>
      </c>
      <c r="D40" s="21">
        <f>[36]XX!E28/1000000</f>
        <v>1.9469999999999999E-3</v>
      </c>
      <c r="E40" s="21" t="str">
        <f t="shared" ref="E40:E41" si="5">IF(OR(OR(D40=0,C40=0),D40=""),"",(D40/C40-1)*100)</f>
        <v/>
      </c>
      <c r="F40" s="21">
        <f t="shared" ref="F40:F41" si="6">(D40/D$13)*100</f>
        <v>3.7623869472137153E-5</v>
      </c>
      <c r="G40" s="21">
        <f>[36]XX!C28/1000000</f>
        <v>0</v>
      </c>
      <c r="H40" s="21">
        <f>[36]XX!F28/1000000</f>
        <v>0</v>
      </c>
      <c r="I40" s="21" t="str">
        <f t="shared" ref="I40:I41" si="7">IF(OR(OR(H40=0,G40=0),H40=""),"",(H40/G40-1)*100)</f>
        <v/>
      </c>
      <c r="J40" s="21">
        <f t="shared" ref="J40:J41" si="8">(H40/H$13)*100</f>
        <v>0</v>
      </c>
      <c r="K40" s="106"/>
    </row>
    <row r="41" spans="1:13" s="147" customFormat="1">
      <c r="A41" s="104"/>
      <c r="B41" s="128" t="str">
        <f>+[36]XX!A29</f>
        <v>Vaupés</v>
      </c>
      <c r="C41" s="21">
        <f>[36]XX!B29/1000000</f>
        <v>0</v>
      </c>
      <c r="D41" s="21">
        <f>[36]XX!E29/1000000</f>
        <v>1.536E-3</v>
      </c>
      <c r="E41" s="21" t="str">
        <f t="shared" si="5"/>
        <v/>
      </c>
      <c r="F41" s="21">
        <f t="shared" si="6"/>
        <v>2.9681696717618222E-5</v>
      </c>
      <c r="G41" s="21">
        <f>[36]XX!C29/1000000</f>
        <v>0</v>
      </c>
      <c r="H41" s="21">
        <f>[36]XX!F29/1000000</f>
        <v>0</v>
      </c>
      <c r="I41" s="21" t="str">
        <f t="shared" si="7"/>
        <v/>
      </c>
      <c r="J41" s="21">
        <f t="shared" si="8"/>
        <v>0</v>
      </c>
      <c r="K41" s="106"/>
    </row>
    <row r="42" spans="1:13" s="147" customFormat="1">
      <c r="A42" s="104"/>
      <c r="B42" s="128" t="str">
        <f>+[36]XX!A30</f>
        <v>Amazonas</v>
      </c>
      <c r="C42" s="21">
        <f>[36]XX!B30/1000000</f>
        <v>2.0775400000000003E-2</v>
      </c>
      <c r="D42" s="21">
        <f>[36]XX!E30/1000000</f>
        <v>0</v>
      </c>
      <c r="E42" s="21" t="str">
        <f t="shared" ref="E42" si="9">IF(OR(OR(D42=0,C42=0),D42=""),"",(D42/C42-1)*100)</f>
        <v/>
      </c>
      <c r="F42" s="21">
        <f t="shared" ref="F42" si="10">(D42/D$13)*100</f>
        <v>0</v>
      </c>
      <c r="G42" s="21">
        <f>[36]XX!C30/1000000</f>
        <v>0</v>
      </c>
      <c r="H42" s="21">
        <f>[36]XX!F30/1000000</f>
        <v>0</v>
      </c>
      <c r="I42" s="21" t="str">
        <f t="shared" ref="I42" si="11">IF(OR(OR(H42=0,G42=0),H42=""),"",(H42/G42-1)*100)</f>
        <v/>
      </c>
      <c r="J42" s="21">
        <f t="shared" ref="J42" si="12">(H42/H$13)*100</f>
        <v>0</v>
      </c>
      <c r="K42" s="106"/>
    </row>
    <row r="43" spans="1:13" s="147" customFormat="1">
      <c r="A43" s="104"/>
      <c r="B43" s="128" t="str">
        <f>+[36]XX!A31</f>
        <v>Aráuca</v>
      </c>
      <c r="C43" s="21">
        <f>[36]XX!B31/1000000</f>
        <v>3.4289520000000004E-2</v>
      </c>
      <c r="D43" s="21">
        <f>[36]XX!E31/1000000</f>
        <v>0</v>
      </c>
      <c r="E43" s="21" t="str">
        <f t="shared" ref="E43:E44" si="13">IF(OR(OR(D43=0,C43=0),D43=""),"",(D43/C43-1)*100)</f>
        <v/>
      </c>
      <c r="F43" s="21">
        <f t="shared" ref="F43:F44" si="14">(D43/D$13)*100</f>
        <v>0</v>
      </c>
      <c r="G43" s="21">
        <f>[36]XX!C31/1000000</f>
        <v>0</v>
      </c>
      <c r="H43" s="21">
        <f>[36]XX!F31/1000000</f>
        <v>0</v>
      </c>
      <c r="I43" s="21" t="str">
        <f t="shared" ref="I43:I44" si="15">IF(OR(OR(H43=0,G43=0),H43=""),"",(H43/G43-1)*100)</f>
        <v/>
      </c>
      <c r="J43" s="21">
        <f t="shared" ref="J43:J44" si="16">(H43/H$13)*100</f>
        <v>0</v>
      </c>
      <c r="K43" s="106"/>
    </row>
    <row r="44" spans="1:13" s="147" customFormat="1">
      <c r="A44" s="104"/>
      <c r="B44" s="128" t="str">
        <f>+[36]XX!A32</f>
        <v>Meta</v>
      </c>
      <c r="C44" s="21">
        <f>[36]XX!B32/1000000</f>
        <v>0.10998104999999998</v>
      </c>
      <c r="D44" s="21">
        <f>[36]XX!E32/1000000</f>
        <v>0</v>
      </c>
      <c r="E44" s="21" t="str">
        <f t="shared" si="13"/>
        <v/>
      </c>
      <c r="F44" s="21">
        <f t="shared" si="14"/>
        <v>0</v>
      </c>
      <c r="G44" s="21">
        <f>[36]XX!C32/1000000</f>
        <v>0</v>
      </c>
      <c r="H44" s="21">
        <f>[36]XX!F32/1000000</f>
        <v>0</v>
      </c>
      <c r="I44" s="21" t="str">
        <f t="shared" si="15"/>
        <v/>
      </c>
      <c r="J44" s="21">
        <f t="shared" si="16"/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SUM(C14:C44)</f>
        <v>2034.9792297400074</v>
      </c>
      <c r="D13" s="83">
        <f>SUM(D14:D44)</f>
        <v>1835.0286499999945</v>
      </c>
      <c r="E13" s="83">
        <f>IF(OR(OR(D13=0,C13=0),D13=""),"",(D13/C13-1)*100)</f>
        <v>-9.8256815999816833</v>
      </c>
      <c r="F13" s="83">
        <f>(D13/D$13)*100</f>
        <v>100</v>
      </c>
      <c r="G13" s="83">
        <f t="shared" ref="G13:H13" si="0">SUM(G14:G44)</f>
        <v>265.6332166100002</v>
      </c>
      <c r="H13" s="83">
        <f t="shared" si="0"/>
        <v>200.8086745599999</v>
      </c>
      <c r="I13" s="83">
        <f>IF(OR(OR(H13=0,G13=0),H13=""),"",(H13/G13-1)*100)</f>
        <v>-24.403778592635494</v>
      </c>
      <c r="J13" s="83">
        <f>(H13/H$13)*100</f>
        <v>100</v>
      </c>
      <c r="K13" s="16"/>
    </row>
    <row r="14" spans="1:14">
      <c r="A14" s="14"/>
      <c r="B14" s="9" t="str">
        <f>+[37]XX!A2</f>
        <v>Antioquia</v>
      </c>
      <c r="C14" s="21">
        <f>[37]XX!B2/1000000</f>
        <v>700.78326885001047</v>
      </c>
      <c r="D14" s="21">
        <f>[37]XX!E2/1000000</f>
        <v>568.27074709999738</v>
      </c>
      <c r="E14" s="21">
        <f>IF(OR(OR(D14=0,C14=0),D14=""),"",(D14/C14-1)*100)</f>
        <v>-18.909201694764622</v>
      </c>
      <c r="F14" s="21">
        <f>(D14/D$13)*100</f>
        <v>30.967949579424776</v>
      </c>
      <c r="G14" s="21">
        <f>[37]XX!C2/1000000</f>
        <v>89.811701389999968</v>
      </c>
      <c r="H14" s="21">
        <f>[37]XX!F2/1000000</f>
        <v>69.586611509999898</v>
      </c>
      <c r="I14" s="21">
        <f>IF(OR(OR(H14=0,G14=0),H14=""),"",(H14/G14-1)*100)</f>
        <v>-22.519437408466715</v>
      </c>
      <c r="J14" s="21">
        <f>(H14/H$13)*100</f>
        <v>34.653189989164545</v>
      </c>
      <c r="K14" s="16"/>
    </row>
    <row r="15" spans="1:14">
      <c r="A15" s="14"/>
      <c r="B15" s="10" t="str">
        <f>+[37]XX!A3</f>
        <v>Bogotá</v>
      </c>
      <c r="C15" s="24">
        <f>[37]XX!B3/1000000</f>
        <v>493.0993722199953</v>
      </c>
      <c r="D15" s="24">
        <f>[37]XX!E3/1000000</f>
        <v>441.05787411999717</v>
      </c>
      <c r="E15" s="24">
        <f t="shared" ref="E15:E36" si="1">IF(OR(OR(D15=0,C15=0),D15=""),"",(D15/C15-1)*100)</f>
        <v>-10.55395748441147</v>
      </c>
      <c r="F15" s="24">
        <f t="shared" ref="F15:F36" si="2">(D15/D$13)*100</f>
        <v>24.035476182892211</v>
      </c>
      <c r="G15" s="24">
        <f>[37]XX!C3/1000000</f>
        <v>65.476478730000167</v>
      </c>
      <c r="H15" s="24">
        <f>[37]XX!F3/1000000</f>
        <v>51.089905890000061</v>
      </c>
      <c r="I15" s="24">
        <f t="shared" ref="I15:I36" si="3">IF(OR(OR(H15=0,G15=0),H15=""),"",(H15/G15-1)*100)</f>
        <v>-21.972123606898297</v>
      </c>
      <c r="J15" s="24">
        <f t="shared" ref="J15:J36" si="4">(H15/H$13)*100</f>
        <v>25.442081126198978</v>
      </c>
      <c r="K15" s="16"/>
    </row>
    <row r="16" spans="1:14">
      <c r="A16" s="14"/>
      <c r="B16" s="9" t="str">
        <f>+[37]XX!A4</f>
        <v>Valle del Cauca</v>
      </c>
      <c r="C16" s="21">
        <f>[37]XX!B4/1000000</f>
        <v>215.73414511000084</v>
      </c>
      <c r="D16" s="21">
        <f>[37]XX!E4/1000000</f>
        <v>214.83910394000011</v>
      </c>
      <c r="E16" s="21">
        <f t="shared" si="1"/>
        <v>-0.41488155226626633</v>
      </c>
      <c r="F16" s="21">
        <f t="shared" si="2"/>
        <v>11.707670282968103</v>
      </c>
      <c r="G16" s="21">
        <f>[37]XX!C4/1000000</f>
        <v>26.067943590000077</v>
      </c>
      <c r="H16" s="21">
        <f>[37]XX!F4/1000000</f>
        <v>26.766096350000012</v>
      </c>
      <c r="I16" s="21">
        <f t="shared" si="3"/>
        <v>2.6782041996889827</v>
      </c>
      <c r="J16" s="21">
        <f t="shared" si="4"/>
        <v>13.329153438539596</v>
      </c>
      <c r="K16" s="16"/>
    </row>
    <row r="17" spans="1:11">
      <c r="A17" s="14"/>
      <c r="B17" s="9" t="str">
        <f>+[37]XX!A5</f>
        <v>Atlántico</v>
      </c>
      <c r="C17" s="21">
        <f>[37]XX!B5/1000000</f>
        <v>192.10482277999989</v>
      </c>
      <c r="D17" s="21">
        <f>[37]XX!E5/1000000</f>
        <v>174.45311696000027</v>
      </c>
      <c r="E17" s="21">
        <f t="shared" si="1"/>
        <v>-9.1885802576723954</v>
      </c>
      <c r="F17" s="21">
        <f t="shared" si="2"/>
        <v>9.5068334197398379</v>
      </c>
      <c r="G17" s="21">
        <f>[37]XX!C5/1000000</f>
        <v>24.286422359999989</v>
      </c>
      <c r="H17" s="21">
        <f>[37]XX!F5/1000000</f>
        <v>21.676363189999961</v>
      </c>
      <c r="I17" s="21">
        <f t="shared" si="3"/>
        <v>-10.746989125491059</v>
      </c>
      <c r="J17" s="21">
        <f t="shared" si="4"/>
        <v>10.794535264721969</v>
      </c>
      <c r="K17" s="16"/>
    </row>
    <row r="18" spans="1:11">
      <c r="A18" s="14"/>
      <c r="B18" s="9" t="str">
        <f>+[37]XX!A6</f>
        <v>Cundinamarca</v>
      </c>
      <c r="C18" s="21">
        <f>[37]XX!B6/1000000</f>
        <v>158.32100860000099</v>
      </c>
      <c r="D18" s="21">
        <f>[37]XX!E6/1000000</f>
        <v>135.53550948999947</v>
      </c>
      <c r="E18" s="21">
        <f t="shared" si="1"/>
        <v>-14.391961819526578</v>
      </c>
      <c r="F18" s="21">
        <f t="shared" si="2"/>
        <v>7.3860159889056698</v>
      </c>
      <c r="G18" s="21">
        <f>[37]XX!C6/1000000</f>
        <v>19.888876830000022</v>
      </c>
      <c r="H18" s="21">
        <f>[37]XX!F6/1000000</f>
        <v>12.162525900000002</v>
      </c>
      <c r="I18" s="21">
        <f t="shared" si="3"/>
        <v>-38.847598062177809</v>
      </c>
      <c r="J18" s="21">
        <f t="shared" si="4"/>
        <v>6.0567731581565445</v>
      </c>
      <c r="K18" s="16"/>
    </row>
    <row r="19" spans="1:11">
      <c r="A19" s="14"/>
      <c r="B19" s="9" t="str">
        <f>+[37]XX!A7</f>
        <v>Sin definir</v>
      </c>
      <c r="C19" s="21">
        <f>[37]XX!B7/1000000</f>
        <v>0</v>
      </c>
      <c r="D19" s="21">
        <f>[37]XX!E7/1000000</f>
        <v>107.81201</v>
      </c>
      <c r="E19" s="21" t="str">
        <f t="shared" si="1"/>
        <v/>
      </c>
      <c r="F19" s="21">
        <f t="shared" si="2"/>
        <v>5.8752221661498485</v>
      </c>
      <c r="G19" s="21">
        <f>[37]XX!C7/1000000</f>
        <v>0</v>
      </c>
      <c r="H19" s="21">
        <f>[37]XX!F7/1000000</f>
        <v>0</v>
      </c>
      <c r="I19" s="21" t="str">
        <f t="shared" si="3"/>
        <v/>
      </c>
      <c r="J19" s="21">
        <f t="shared" si="4"/>
        <v>0</v>
      </c>
      <c r="K19" s="16"/>
    </row>
    <row r="20" spans="1:11">
      <c r="A20" s="14"/>
      <c r="B20" s="9" t="str">
        <f>+[37]XX!A8</f>
        <v>Bolívar</v>
      </c>
      <c r="C20" s="21">
        <f>[37]XX!B8/1000000</f>
        <v>130.58391987999991</v>
      </c>
      <c r="D20" s="21">
        <f>[37]XX!E8/1000000</f>
        <v>67.602700249999955</v>
      </c>
      <c r="E20" s="21">
        <f t="shared" si="1"/>
        <v>-48.230455700729877</v>
      </c>
      <c r="F20" s="21">
        <f t="shared" si="2"/>
        <v>3.6840133395192578</v>
      </c>
      <c r="G20" s="21">
        <f>[37]XX!C8/1000000</f>
        <v>23.911855599999999</v>
      </c>
      <c r="H20" s="21">
        <f>[37]XX!F8/1000000</f>
        <v>4.4267523800000008</v>
      </c>
      <c r="I20" s="21">
        <f t="shared" si="3"/>
        <v>-81.487206789589337</v>
      </c>
      <c r="J20" s="21">
        <f t="shared" si="4"/>
        <v>2.2044627253775961</v>
      </c>
      <c r="K20" s="16"/>
    </row>
    <row r="21" spans="1:11">
      <c r="A21" s="14"/>
      <c r="B21" s="9" t="str">
        <f>+[37]XX!A9</f>
        <v>Caldas</v>
      </c>
      <c r="C21" s="21">
        <f>[37]XX!B9/1000000</f>
        <v>35.538610420000047</v>
      </c>
      <c r="D21" s="21">
        <f>[37]XX!E9/1000000</f>
        <v>32.219671740000024</v>
      </c>
      <c r="E21" s="21">
        <f t="shared" si="1"/>
        <v>-9.3389658199247609</v>
      </c>
      <c r="F21" s="21">
        <f t="shared" si="2"/>
        <v>1.7558130081511327</v>
      </c>
      <c r="G21" s="21">
        <f>[37]XX!C9/1000000</f>
        <v>4.7767351899999992</v>
      </c>
      <c r="H21" s="21">
        <f>[37]XX!F9/1000000</f>
        <v>5.8159005499999985</v>
      </c>
      <c r="I21" s="21">
        <f t="shared" si="3"/>
        <v>21.754719880127983</v>
      </c>
      <c r="J21" s="21">
        <f t="shared" si="4"/>
        <v>2.8962396981820913</v>
      </c>
      <c r="K21" s="16"/>
    </row>
    <row r="22" spans="1:11">
      <c r="A22" s="14"/>
      <c r="B22" s="9" t="str">
        <f>+[37]XX!A10</f>
        <v>Risaralda</v>
      </c>
      <c r="C22" s="21">
        <f>[37]XX!B10/1000000</f>
        <v>44.908586770000049</v>
      </c>
      <c r="D22" s="21">
        <f>[37]XX!E10/1000000</f>
        <v>31.746484600000063</v>
      </c>
      <c r="E22" s="21">
        <f t="shared" si="1"/>
        <v>-29.308653682223131</v>
      </c>
      <c r="F22" s="21">
        <f t="shared" si="2"/>
        <v>1.7300266456330347</v>
      </c>
      <c r="G22" s="21">
        <f>[37]XX!C10/1000000</f>
        <v>4.6049813100000039</v>
      </c>
      <c r="H22" s="21">
        <f>[37]XX!F10/1000000</f>
        <v>3.3854063200000009</v>
      </c>
      <c r="I22" s="21">
        <f t="shared" si="3"/>
        <v>-26.483820625973443</v>
      </c>
      <c r="J22" s="21">
        <f t="shared" si="4"/>
        <v>1.6858864924126926</v>
      </c>
      <c r="K22" s="16"/>
    </row>
    <row r="23" spans="1:11">
      <c r="A23" s="14"/>
      <c r="B23" s="9" t="str">
        <f>+[37]XX!A11</f>
        <v>Santander</v>
      </c>
      <c r="C23" s="21">
        <f>[37]XX!B11/1000000</f>
        <v>26.316321479999967</v>
      </c>
      <c r="D23" s="21">
        <f>[37]XX!E11/1000000</f>
        <v>22.588946660000023</v>
      </c>
      <c r="E23" s="21">
        <f t="shared" si="1"/>
        <v>-14.163737978473534</v>
      </c>
      <c r="F23" s="21">
        <f t="shared" si="2"/>
        <v>1.2309860480924966</v>
      </c>
      <c r="G23" s="21">
        <f>[37]XX!C11/1000000</f>
        <v>3.2751170200000002</v>
      </c>
      <c r="H23" s="21">
        <f>[37]XX!F11/1000000</f>
        <v>1.8847062100000003</v>
      </c>
      <c r="I23" s="21">
        <f t="shared" si="3"/>
        <v>-42.453774979924219</v>
      </c>
      <c r="J23" s="21">
        <f t="shared" si="4"/>
        <v>0.93855816444665896</v>
      </c>
      <c r="K23" s="16"/>
    </row>
    <row r="24" spans="1:11">
      <c r="A24" s="14"/>
      <c r="B24" s="9" t="str">
        <f>+[37]XX!A12</f>
        <v>Cauca</v>
      </c>
      <c r="C24" s="21">
        <f>[37]XX!B12/1000000</f>
        <v>11.816262049999999</v>
      </c>
      <c r="D24" s="21">
        <f>[37]XX!E12/1000000</f>
        <v>14.36620344</v>
      </c>
      <c r="E24" s="21">
        <f t="shared" si="1"/>
        <v>21.579932631910449</v>
      </c>
      <c r="F24" s="21">
        <f t="shared" si="2"/>
        <v>0.78288714674836501</v>
      </c>
      <c r="G24" s="21">
        <f>[37]XX!C12/1000000</f>
        <v>1.3665407199999999</v>
      </c>
      <c r="H24" s="21">
        <f>[37]XX!F12/1000000</f>
        <v>1.6752310100000001</v>
      </c>
      <c r="I24" s="21">
        <f t="shared" si="3"/>
        <v>22.589176120562303</v>
      </c>
      <c r="J24" s="21">
        <f t="shared" si="4"/>
        <v>0.83424235216464981</v>
      </c>
      <c r="K24" s="16"/>
    </row>
    <row r="25" spans="1:11">
      <c r="A25" s="14"/>
      <c r="B25" s="9" t="str">
        <f>+[37]XX!A13</f>
        <v>Norte de Santander</v>
      </c>
      <c r="C25" s="21">
        <f>[37]XX!B13/1000000</f>
        <v>19.76898443999999</v>
      </c>
      <c r="D25" s="21">
        <f>[37]XX!E13/1000000</f>
        <v>10.750123050000003</v>
      </c>
      <c r="E25" s="21">
        <f t="shared" si="1"/>
        <v>-45.621268089783527</v>
      </c>
      <c r="F25" s="21">
        <f t="shared" si="2"/>
        <v>0.58582862180380857</v>
      </c>
      <c r="G25" s="21">
        <f>[37]XX!C13/1000000</f>
        <v>1.7171853399999999</v>
      </c>
      <c r="H25" s="21">
        <f>[37]XX!F13/1000000</f>
        <v>1.8667429599999998</v>
      </c>
      <c r="I25" s="21">
        <f t="shared" si="3"/>
        <v>8.7094628935045613</v>
      </c>
      <c r="J25" s="21">
        <f t="shared" si="4"/>
        <v>0.92961270925685691</v>
      </c>
      <c r="K25" s="16"/>
    </row>
    <row r="26" spans="1:11">
      <c r="A26" s="14"/>
      <c r="B26" s="9" t="str">
        <f>+[37]XX!A14</f>
        <v>Magdalena</v>
      </c>
      <c r="C26" s="21">
        <f>[37]XX!B14/1000000</f>
        <v>7.3957540000000002E-2</v>
      </c>
      <c r="D26" s="21">
        <f>[37]XX!E14/1000000</f>
        <v>5.7151065800000005</v>
      </c>
      <c r="E26" s="21">
        <f t="shared" si="1"/>
        <v>7627.5509434196974</v>
      </c>
      <c r="F26" s="21">
        <f t="shared" si="2"/>
        <v>0.31144508724700387</v>
      </c>
      <c r="G26" s="21">
        <f>[37]XX!C14/1000000</f>
        <v>2.6138000000000002E-4</v>
      </c>
      <c r="H26" s="21">
        <f>[37]XX!F14/1000000</f>
        <v>9.6968999999999979E-3</v>
      </c>
      <c r="I26" s="21">
        <f t="shared" si="3"/>
        <v>3609.8859897467278</v>
      </c>
      <c r="J26" s="21">
        <f t="shared" si="4"/>
        <v>4.8289248565816555E-3</v>
      </c>
      <c r="K26" s="16"/>
    </row>
    <row r="27" spans="1:11">
      <c r="A27" s="14"/>
      <c r="B27" s="9" t="str">
        <f>+[37]XX!A15</f>
        <v>Meta</v>
      </c>
      <c r="C27" s="21">
        <f>[37]XX!B15/1000000</f>
        <v>0.73875341999999999</v>
      </c>
      <c r="D27" s="21">
        <f>[37]XX!E15/1000000</f>
        <v>1.9175195399999998</v>
      </c>
      <c r="E27" s="21">
        <f t="shared" si="1"/>
        <v>159.56151106549191</v>
      </c>
      <c r="F27" s="21">
        <f t="shared" si="2"/>
        <v>0.10449534616257929</v>
      </c>
      <c r="G27" s="21">
        <f>[37]XX!C15/1000000</f>
        <v>0</v>
      </c>
      <c r="H27" s="21">
        <f>[37]XX!F15/1000000</f>
        <v>0</v>
      </c>
      <c r="I27" s="21" t="str">
        <f t="shared" si="3"/>
        <v/>
      </c>
      <c r="J27" s="21">
        <f t="shared" si="4"/>
        <v>0</v>
      </c>
      <c r="K27" s="16"/>
    </row>
    <row r="28" spans="1:11">
      <c r="A28" s="14"/>
      <c r="B28" s="9" t="str">
        <f>+[37]XX!A16</f>
        <v>Guajira</v>
      </c>
      <c r="C28" s="21">
        <f>[37]XX!B16/1000000</f>
        <v>0.67844338999999998</v>
      </c>
      <c r="D28" s="21">
        <f>[37]XX!E16/1000000</f>
        <v>1.7764396999999998</v>
      </c>
      <c r="E28" s="21">
        <f t="shared" si="1"/>
        <v>161.8405199584891</v>
      </c>
      <c r="F28" s="21">
        <f t="shared" si="2"/>
        <v>9.6807191538944376E-2</v>
      </c>
      <c r="G28" s="21">
        <f>[37]XX!C16/1000000</f>
        <v>1.2E-2</v>
      </c>
      <c r="H28" s="21">
        <f>[37]XX!F16/1000000</f>
        <v>3.1458E-2</v>
      </c>
      <c r="I28" s="21">
        <f t="shared" si="3"/>
        <v>162.14999999999998</v>
      </c>
      <c r="J28" s="21">
        <f t="shared" si="4"/>
        <v>1.5665657904933097E-2</v>
      </c>
      <c r="K28" s="16"/>
    </row>
    <row r="29" spans="1:11">
      <c r="A29" s="14"/>
      <c r="B29" s="9" t="str">
        <f>+[37]XX!A17</f>
        <v>Quindío</v>
      </c>
      <c r="C29" s="21">
        <f>[37]XX!B17/1000000</f>
        <v>2.2340989900000006</v>
      </c>
      <c r="D29" s="21">
        <f>[37]XX!E17/1000000</f>
        <v>1.5089689199999998</v>
      </c>
      <c r="E29" s="21">
        <f t="shared" si="1"/>
        <v>-32.457383188736891</v>
      </c>
      <c r="F29" s="21">
        <f t="shared" si="2"/>
        <v>8.2231354807457871E-2</v>
      </c>
      <c r="G29" s="21">
        <f>[37]XX!C17/1000000</f>
        <v>7.0586499999999996E-2</v>
      </c>
      <c r="H29" s="21">
        <f>[37]XX!F17/1000000</f>
        <v>0.21031037</v>
      </c>
      <c r="I29" s="21">
        <f t="shared" si="3"/>
        <v>197.94701536412771</v>
      </c>
      <c r="J29" s="21">
        <f t="shared" si="4"/>
        <v>0.10473171562972547</v>
      </c>
      <c r="K29" s="16"/>
    </row>
    <row r="30" spans="1:11">
      <c r="A30" s="14"/>
      <c r="B30" s="9" t="str">
        <f>+[37]XX!A18</f>
        <v>Nariño</v>
      </c>
      <c r="C30" s="21">
        <f>[37]XX!B18/1000000</f>
        <v>1.1367728099999994</v>
      </c>
      <c r="D30" s="21">
        <f>[37]XX!E18/1000000</f>
        <v>1.4871631400000001</v>
      </c>
      <c r="E30" s="21">
        <f t="shared" si="1"/>
        <v>30.823250425914118</v>
      </c>
      <c r="F30" s="21">
        <f t="shared" si="2"/>
        <v>8.1043047475035573E-2</v>
      </c>
      <c r="G30" s="21">
        <f>[37]XX!C18/1000000</f>
        <v>0.14371553000000001</v>
      </c>
      <c r="H30" s="21">
        <f>[37]XX!F18/1000000</f>
        <v>9.4647090000000003E-2</v>
      </c>
      <c r="I30" s="21">
        <f t="shared" si="3"/>
        <v>-34.142754092059505</v>
      </c>
      <c r="J30" s="21">
        <f t="shared" si="4"/>
        <v>4.7132968835825996E-2</v>
      </c>
      <c r="K30" s="16"/>
    </row>
    <row r="31" spans="1:11">
      <c r="A31" s="14"/>
      <c r="B31" s="9" t="str">
        <f>+[37]XX!A19</f>
        <v>Boyacá</v>
      </c>
      <c r="C31" s="21">
        <f>[37]XX!B19/1000000</f>
        <v>0.45274214999999995</v>
      </c>
      <c r="D31" s="21">
        <f>[37]XX!E19/1000000</f>
        <v>0.65195070999999993</v>
      </c>
      <c r="E31" s="21">
        <f t="shared" si="1"/>
        <v>44.000444844819512</v>
      </c>
      <c r="F31" s="21">
        <f t="shared" si="2"/>
        <v>3.5528094343377246E-2</v>
      </c>
      <c r="G31" s="21">
        <f>[37]XX!C19/1000000</f>
        <v>5.0720000000000001E-2</v>
      </c>
      <c r="H31" s="21">
        <f>[37]XX!F19/1000000</f>
        <v>6.899102E-2</v>
      </c>
      <c r="I31" s="21">
        <f t="shared" si="3"/>
        <v>36.023304416403775</v>
      </c>
      <c r="J31" s="21">
        <f t="shared" si="4"/>
        <v>3.4356593484404514E-2</v>
      </c>
      <c r="K31" s="16"/>
    </row>
    <row r="32" spans="1:11">
      <c r="A32" s="14"/>
      <c r="B32" s="9" t="str">
        <f>+[37]XX!A20</f>
        <v>Tolima</v>
      </c>
      <c r="C32" s="21">
        <f>[37]XX!B20/1000000</f>
        <v>0.27668034999999996</v>
      </c>
      <c r="D32" s="21">
        <f>[37]XX!E20/1000000</f>
        <v>0.22175949</v>
      </c>
      <c r="E32" s="21">
        <f t="shared" si="1"/>
        <v>-19.849931518447185</v>
      </c>
      <c r="F32" s="21">
        <f t="shared" si="2"/>
        <v>1.2084797150169871E-2</v>
      </c>
      <c r="G32" s="21">
        <f>[37]XX!C20/1000000</f>
        <v>9.6629289999999993E-2</v>
      </c>
      <c r="H32" s="21">
        <f>[37]XX!F20/1000000</f>
        <v>3.8318520000000002E-2</v>
      </c>
      <c r="I32" s="21">
        <f t="shared" si="3"/>
        <v>-60.344818843230662</v>
      </c>
      <c r="J32" s="21">
        <f t="shared" si="4"/>
        <v>1.9082103939962392E-2</v>
      </c>
      <c r="K32" s="16"/>
    </row>
    <row r="33" spans="1:13">
      <c r="A33" s="14"/>
      <c r="B33" s="9" t="str">
        <f>+[37]XX!A21</f>
        <v>Aráuca</v>
      </c>
      <c r="C33" s="21">
        <f>[37]XX!B21/1000000</f>
        <v>6.7460249999999999E-2</v>
      </c>
      <c r="D33" s="21">
        <f>[37]XX!E21/1000000</f>
        <v>0.22170245999999996</v>
      </c>
      <c r="E33" s="21">
        <f t="shared" si="1"/>
        <v>228.64162228868108</v>
      </c>
      <c r="F33" s="21">
        <f t="shared" si="2"/>
        <v>1.2081689296785672E-2</v>
      </c>
      <c r="G33" s="21">
        <f>[37]XX!C21/1000000</f>
        <v>4.0736010000000003E-2</v>
      </c>
      <c r="H33" s="21">
        <f>[37]XX!F21/1000000</f>
        <v>1.8828950000000001E-2</v>
      </c>
      <c r="I33" s="21">
        <f t="shared" si="3"/>
        <v>-53.778119162873338</v>
      </c>
      <c r="J33" s="21">
        <f t="shared" si="4"/>
        <v>9.3765620639929444E-3</v>
      </c>
      <c r="K33" s="16"/>
    </row>
    <row r="34" spans="1:13">
      <c r="A34" s="14"/>
      <c r="B34" s="9" t="str">
        <f>+[37]XX!A22</f>
        <v>Amazonas</v>
      </c>
      <c r="C34" s="21">
        <f>[37]XX!B22/1000000</f>
        <v>0</v>
      </c>
      <c r="D34" s="21">
        <f>[37]XX!E22/1000000</f>
        <v>0.11929651000000001</v>
      </c>
      <c r="E34" s="21" t="str">
        <f t="shared" si="1"/>
        <v/>
      </c>
      <c r="F34" s="21">
        <f t="shared" si="2"/>
        <v>6.5010707053538581E-3</v>
      </c>
      <c r="G34" s="21">
        <f>[37]XX!C22/1000000</f>
        <v>0</v>
      </c>
      <c r="H34" s="21">
        <f>[37]XX!F22/1000000</f>
        <v>0</v>
      </c>
      <c r="I34" s="21" t="str">
        <f t="shared" si="3"/>
        <v/>
      </c>
      <c r="J34" s="21">
        <f t="shared" si="4"/>
        <v>0</v>
      </c>
      <c r="K34" s="16"/>
    </row>
    <row r="35" spans="1:13">
      <c r="A35" s="14"/>
      <c r="B35" s="9" t="str">
        <f>+[37]XX!A23</f>
        <v>Huila</v>
      </c>
      <c r="C35" s="21">
        <f>[37]XX!B23/1000000</f>
        <v>5.6073999999999999E-2</v>
      </c>
      <c r="D35" s="21">
        <f>[37]XX!E23/1000000</f>
        <v>6.8082000000000004E-2</v>
      </c>
      <c r="E35" s="21">
        <f t="shared" si="1"/>
        <v>21.41455933231089</v>
      </c>
      <c r="F35" s="21">
        <f t="shared" si="2"/>
        <v>3.7101328090981146E-3</v>
      </c>
      <c r="G35" s="21">
        <f>[37]XX!C23/1000000</f>
        <v>0</v>
      </c>
      <c r="H35" s="21">
        <f>[37]XX!F23/1000000</f>
        <v>0</v>
      </c>
      <c r="I35" s="21" t="str">
        <f t="shared" si="3"/>
        <v/>
      </c>
      <c r="J35" s="21">
        <f t="shared" si="4"/>
        <v>0</v>
      </c>
      <c r="K35" s="16"/>
    </row>
    <row r="36" spans="1:13">
      <c r="A36" s="14"/>
      <c r="B36" s="9" t="str">
        <f>+[37]XX!A24</f>
        <v>Casanare</v>
      </c>
      <c r="C36" s="21">
        <f>[37]XX!B24/1000000</f>
        <v>0</v>
      </c>
      <c r="D36" s="21">
        <f>[37]XX!E24/1000000</f>
        <v>3.676418E-2</v>
      </c>
      <c r="E36" s="21" t="str">
        <f t="shared" si="1"/>
        <v/>
      </c>
      <c r="F36" s="21">
        <f t="shared" si="2"/>
        <v>2.0034662674067848E-3</v>
      </c>
      <c r="G36" s="21">
        <f>[37]XX!C24/1000000</f>
        <v>0</v>
      </c>
      <c r="H36" s="21">
        <f>[37]XX!F24/1000000</f>
        <v>0</v>
      </c>
      <c r="I36" s="21" t="str">
        <f t="shared" si="3"/>
        <v/>
      </c>
      <c r="J36" s="21">
        <f t="shared" si="4"/>
        <v>0</v>
      </c>
      <c r="K36" s="16"/>
    </row>
    <row r="37" spans="1:13" s="98" customFormat="1">
      <c r="A37" s="104"/>
      <c r="B37" s="128" t="str">
        <f>+[37]XX!A25</f>
        <v>Cesar</v>
      </c>
      <c r="C37" s="21">
        <f>[37]XX!B25/1000000</f>
        <v>1.8140000000000001E-3</v>
      </c>
      <c r="D37" s="21">
        <f>[37]XX!E25/1000000</f>
        <v>3.0195E-2</v>
      </c>
      <c r="E37" s="21">
        <f t="shared" ref="E37" si="5">IF(OR(OR(D37=0,C37=0),D37=""),"",(D37/C37-1)*100)</f>
        <v>1564.5534729878718</v>
      </c>
      <c r="F37" s="21">
        <f t="shared" ref="F37" si="6">(D37/D$13)*100</f>
        <v>1.6454783962092413E-3</v>
      </c>
      <c r="G37" s="21">
        <f>[37]XX!C25/1000000</f>
        <v>0</v>
      </c>
      <c r="H37" s="21">
        <f>[37]XX!F25/1000000</f>
        <v>0</v>
      </c>
      <c r="I37" s="21" t="str">
        <f t="shared" ref="I37" si="7">IF(OR(OR(H37=0,G37=0),H37=""),"",(H37/G37-1)*100)</f>
        <v/>
      </c>
      <c r="J37" s="21">
        <f t="shared" ref="J37" si="8">(H37/H$13)*100</f>
        <v>0</v>
      </c>
      <c r="K37" s="106"/>
    </row>
    <row r="38" spans="1:13" s="147" customFormat="1">
      <c r="A38" s="104"/>
      <c r="B38" s="128" t="str">
        <f>+[37]XX!A26</f>
        <v>Sucre</v>
      </c>
      <c r="C38" s="21">
        <f>[37]XX!B26/1000000</f>
        <v>5.3624900000000003E-2</v>
      </c>
      <c r="D38" s="21">
        <f>[37]XX!E26/1000000</f>
        <v>2.0337999999999998E-2</v>
      </c>
      <c r="E38" s="21">
        <f t="shared" ref="E38:E39" si="9">IF(OR(OR(D38=0,C38=0),D38=""),"",(D38/C38-1)*100)</f>
        <v>-62.073588948417623</v>
      </c>
      <c r="F38" s="21">
        <f t="shared" ref="F38:F39" si="10">(D38/D$13)*100</f>
        <v>1.1083205703627602E-3</v>
      </c>
      <c r="G38" s="21">
        <f>[37]XX!C26/1000000</f>
        <v>3.3824899999999998E-2</v>
      </c>
      <c r="H38" s="21">
        <f>[37]XX!F26/1000000</f>
        <v>0</v>
      </c>
      <c r="I38" s="21" t="str">
        <f t="shared" ref="I38:I39" si="11">IF(OR(OR(H38=0,G38=0),H38=""),"",(H38/G38-1)*100)</f>
        <v/>
      </c>
      <c r="J38" s="21">
        <f t="shared" ref="J38:J39" si="12">(H38/H$13)*100</f>
        <v>0</v>
      </c>
      <c r="K38" s="106"/>
    </row>
    <row r="39" spans="1:13" s="147" customFormat="1">
      <c r="A39" s="104"/>
      <c r="B39" s="128" t="str">
        <f>+[37]XX!A27</f>
        <v>Guainía</v>
      </c>
      <c r="C39" s="21">
        <f>[37]XX!B27/1000000</f>
        <v>0</v>
      </c>
      <c r="D39" s="21">
        <f>[37]XX!E27/1000000</f>
        <v>4.2839999999999996E-3</v>
      </c>
      <c r="E39" s="21" t="str">
        <f t="shared" si="9"/>
        <v/>
      </c>
      <c r="F39" s="21">
        <f t="shared" si="10"/>
        <v>2.3345684548303986E-4</v>
      </c>
      <c r="G39" s="21">
        <f>[37]XX!C27/1000000</f>
        <v>0</v>
      </c>
      <c r="H39" s="21">
        <f>[37]XX!F27/1000000</f>
        <v>0</v>
      </c>
      <c r="I39" s="21" t="str">
        <f t="shared" si="11"/>
        <v/>
      </c>
      <c r="J39" s="21">
        <f t="shared" si="12"/>
        <v>0</v>
      </c>
      <c r="K39" s="106"/>
    </row>
    <row r="40" spans="1:13" s="147" customFormat="1">
      <c r="A40" s="104"/>
      <c r="B40" s="128" t="str">
        <f>+[37]XX!A28</f>
        <v>San Andrés</v>
      </c>
      <c r="C40" s="21">
        <f>[37]XX!B28/1000000</f>
        <v>1.606264E-2</v>
      </c>
      <c r="D40" s="21">
        <f>[37]XX!E28/1000000</f>
        <v>3.1474799999999998E-3</v>
      </c>
      <c r="E40" s="21">
        <f t="shared" ref="E40:E41" si="13">IF(OR(OR(D40=0,C40=0),D40=""),"",(D40/C40-1)*100)</f>
        <v>-80.404964563732989</v>
      </c>
      <c r="F40" s="21">
        <f t="shared" ref="F40:F41" si="14">(D40/D$13)*100</f>
        <v>1.7152211765195105E-4</v>
      </c>
      <c r="G40" s="21">
        <f>[37]XX!C28/1000000</f>
        <v>0</v>
      </c>
      <c r="H40" s="21">
        <f>[37]XX!F28/1000000</f>
        <v>0</v>
      </c>
      <c r="I40" s="21" t="str">
        <f t="shared" ref="I40:I41" si="15">IF(OR(OR(H40=0,G40=0),H40=""),"",(H40/G40-1)*100)</f>
        <v/>
      </c>
      <c r="J40" s="21">
        <f t="shared" ref="J40:J41" si="16">(H40/H$13)*100</f>
        <v>0</v>
      </c>
      <c r="K40" s="106"/>
    </row>
    <row r="41" spans="1:13" s="147" customFormat="1">
      <c r="A41" s="104"/>
      <c r="B41" s="128" t="str">
        <f>+[37]XX!A29</f>
        <v>Córdoba</v>
      </c>
      <c r="C41" s="21">
        <f>[37]XX!B29/1000000</f>
        <v>0.20577866000000003</v>
      </c>
      <c r="D41" s="21">
        <f>[37]XX!E29/1000000</f>
        <v>2.0246400000000003E-3</v>
      </c>
      <c r="E41" s="21">
        <f t="shared" si="13"/>
        <v>-99.016107889904617</v>
      </c>
      <c r="F41" s="21">
        <f t="shared" si="14"/>
        <v>1.1033288226862324E-4</v>
      </c>
      <c r="G41" s="21">
        <f>[37]XX!C29/1000000</f>
        <v>9.0491999999999992E-4</v>
      </c>
      <c r="H41" s="21">
        <f>[37]XX!F29/1000000</f>
        <v>1.8144E-4</v>
      </c>
      <c r="I41" s="21">
        <f t="shared" si="15"/>
        <v>-79.949608805198253</v>
      </c>
      <c r="J41" s="21">
        <f t="shared" si="16"/>
        <v>9.0354662415635483E-5</v>
      </c>
      <c r="K41" s="106"/>
    </row>
    <row r="42" spans="1:13" s="147" customFormat="1">
      <c r="A42" s="104"/>
      <c r="B42" s="128" t="str">
        <f>+[37]XX!A30</f>
        <v>Vaupés</v>
      </c>
      <c r="C42" s="21">
        <f>[37]XX!B30/1000000</f>
        <v>0</v>
      </c>
      <c r="D42" s="21">
        <f>[37]XX!E30/1000000</f>
        <v>1.4162999999999999E-3</v>
      </c>
      <c r="E42" s="21" t="str">
        <f t="shared" ref="E42:E43" si="17">IF(OR(OR(D42=0,C42=0),D42=""),"",(D42/C42-1)*100)</f>
        <v/>
      </c>
      <c r="F42" s="21">
        <f t="shared" ref="F42:F43" si="18">(D42/D$13)*100</f>
        <v>7.7181356269287907E-5</v>
      </c>
      <c r="G42" s="21">
        <f>[37]XX!C30/1000000</f>
        <v>0</v>
      </c>
      <c r="H42" s="21">
        <f>[37]XX!F30/1000000</f>
        <v>0</v>
      </c>
      <c r="I42" s="21" t="str">
        <f t="shared" ref="I42:I43" si="19">IF(OR(OR(H42=0,G42=0),H42=""),"",(H42/G42-1)*100)</f>
        <v/>
      </c>
      <c r="J42" s="21">
        <f t="shared" ref="J42:J43" si="20">(H42/H$13)*100</f>
        <v>0</v>
      </c>
      <c r="K42" s="106"/>
    </row>
    <row r="43" spans="1:13" s="147" customFormat="1">
      <c r="A43" s="104"/>
      <c r="B43" s="128" t="str">
        <f>+[37]XX!A31</f>
        <v>Caquetá</v>
      </c>
      <c r="C43" s="21">
        <f>[37]XX!B31/1000000</f>
        <v>1.1136040000000002E-2</v>
      </c>
      <c r="D43" s="21">
        <f>[37]XX!E31/1000000</f>
        <v>0</v>
      </c>
      <c r="E43" s="21" t="str">
        <f t="shared" si="17"/>
        <v/>
      </c>
      <c r="F43" s="21">
        <f t="shared" si="18"/>
        <v>0</v>
      </c>
      <c r="G43" s="21">
        <f>[37]XX!C31/1000000</f>
        <v>0</v>
      </c>
      <c r="H43" s="21">
        <f>[37]XX!F31/1000000</f>
        <v>0</v>
      </c>
      <c r="I43" s="21" t="str">
        <f t="shared" si="19"/>
        <v/>
      </c>
      <c r="J43" s="21">
        <f t="shared" si="20"/>
        <v>0</v>
      </c>
      <c r="K43" s="106"/>
    </row>
    <row r="44" spans="1:13" s="147" customFormat="1">
      <c r="A44" s="104"/>
      <c r="B44" s="128" t="str">
        <f>+[37]XX!A32</f>
        <v>Vichada</v>
      </c>
      <c r="C44" s="21">
        <f>[37]XX!B32/1000000</f>
        <v>5.2800000000000004E-4</v>
      </c>
      <c r="D44" s="21">
        <f>[37]XX!E32/1000000</f>
        <v>0</v>
      </c>
      <c r="E44" s="21" t="str">
        <f t="shared" ref="E44" si="21">IF(OR(OR(D44=0,C44=0),D44=""),"",(D44/C44-1)*100)</f>
        <v/>
      </c>
      <c r="F44" s="21">
        <f t="shared" ref="F44" si="22">(D44/D$13)*100</f>
        <v>0</v>
      </c>
      <c r="G44" s="21">
        <f>[37]XX!C32/1000000</f>
        <v>0</v>
      </c>
      <c r="H44" s="21">
        <f>[37]XX!F32/1000000</f>
        <v>0</v>
      </c>
      <c r="I44" s="21" t="str">
        <f t="shared" ref="I44" si="23">IF(OR(OR(H44=0,G44=0),H44=""),"",(H44/G44-1)*100)</f>
        <v/>
      </c>
      <c r="J44" s="21">
        <f t="shared" ref="J44" si="24">(H44/H$13)*100</f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SUM(C14:C43)</f>
        <v>3154.6197983899974</v>
      </c>
      <c r="D13" s="83">
        <f>SUM(D14:D43)</f>
        <v>3411.7668143799947</v>
      </c>
      <c r="E13" s="83">
        <f>IF(OR(OR(D13=0,C13=0),D13=""),"",(D13/C13-1)*100)</f>
        <v>8.1514424058720447</v>
      </c>
      <c r="F13" s="83">
        <f>(D13/D$13)*100</f>
        <v>100</v>
      </c>
      <c r="G13" s="83">
        <f t="shared" ref="G13:H13" si="0">SUM(G14:G43)</f>
        <v>449.05058603000066</v>
      </c>
      <c r="H13" s="83">
        <f t="shared" si="0"/>
        <v>381.93313241999999</v>
      </c>
      <c r="I13" s="83">
        <f>IF(OR(OR(H13=0,G13=0),H13=""),"",(H13/G13-1)*100)</f>
        <v>-14.946523999306526</v>
      </c>
      <c r="J13" s="83">
        <f>(H13/H$13)*100</f>
        <v>100</v>
      </c>
      <c r="K13" s="16"/>
    </row>
    <row r="14" spans="1:14">
      <c r="A14" s="14"/>
      <c r="B14" s="9" t="str">
        <f>+[38]XX!A2</f>
        <v>Bolívar</v>
      </c>
      <c r="C14" s="21">
        <f>[38]XX!B2/1000000</f>
        <v>757.86538616999769</v>
      </c>
      <c r="D14" s="21">
        <f>[38]XX!E2/1000000</f>
        <v>751.0137668599973</v>
      </c>
      <c r="E14" s="21">
        <f>IF(OR(OR(D14=0,C14=0),D14=""),"",(D14/C14-1)*100)</f>
        <v>-0.90406811487013794</v>
      </c>
      <c r="F14" s="21">
        <f>(D14/D$13)*100</f>
        <v>22.012458873056826</v>
      </c>
      <c r="G14" s="21">
        <f>[38]XX!C2/1000000</f>
        <v>111.00925242000012</v>
      </c>
      <c r="H14" s="21">
        <f>[38]XX!F2/1000000</f>
        <v>82.991975289999957</v>
      </c>
      <c r="I14" s="21">
        <f>IF(OR(OR(H14=0,G14=0),H14=""),"",(H14/G14-1)*100)</f>
        <v>-25.238686433089065</v>
      </c>
      <c r="J14" s="21">
        <f>(H14/H$13)*100</f>
        <v>21.729451635721475</v>
      </c>
      <c r="K14" s="16"/>
    </row>
    <row r="15" spans="1:14">
      <c r="A15" s="14"/>
      <c r="B15" s="128" t="str">
        <f>+[38]XX!A3</f>
        <v>Antioquia</v>
      </c>
      <c r="C15" s="21">
        <f>[38]XX!B3/1000000</f>
        <v>405.83721609000065</v>
      </c>
      <c r="D15" s="21">
        <f>[38]XX!E3/1000000</f>
        <v>707.51142954000011</v>
      </c>
      <c r="E15" s="21">
        <f t="shared" ref="E15:E35" si="1">IF(OR(OR(D15=0,C15=0),D15=""),"",(D15/C15-1)*100)</f>
        <v>74.333797268878016</v>
      </c>
      <c r="F15" s="21">
        <f t="shared" ref="F15:F35" si="2">(D15/D$13)*100</f>
        <v>20.737391153403696</v>
      </c>
      <c r="G15" s="21">
        <f>[38]XX!C3/1000000</f>
        <v>70.317439600000114</v>
      </c>
      <c r="H15" s="21">
        <f>[38]XX!F3/1000000</f>
        <v>55.690940380000072</v>
      </c>
      <c r="I15" s="21">
        <f t="shared" ref="I15:I35" si="3">IF(OR(OR(H15=0,G15=0),H15=""),"",(H15/G15-1)*100)</f>
        <v>-20.800670933416665</v>
      </c>
      <c r="J15" s="21">
        <f t="shared" ref="J15:J35" si="4">(H15/H$13)*100</f>
        <v>14.581332608441647</v>
      </c>
      <c r="K15" s="16"/>
    </row>
    <row r="16" spans="1:14" s="147" customFormat="1">
      <c r="A16" s="104"/>
      <c r="B16" s="128" t="str">
        <f>+[38]XX!A4</f>
        <v>Córdoba</v>
      </c>
      <c r="C16" s="21">
        <f>[38]XX!B4/1000000</f>
        <v>606.65206724000018</v>
      </c>
      <c r="D16" s="21">
        <f>[38]XX!E4/1000000</f>
        <v>475.07520421999999</v>
      </c>
      <c r="E16" s="21">
        <f t="shared" si="1"/>
        <v>-21.689015850323724</v>
      </c>
      <c r="F16" s="21">
        <f t="shared" si="2"/>
        <v>13.924609449205082</v>
      </c>
      <c r="G16" s="21">
        <f>[38]XX!C4/1000000</f>
        <v>77.886606700000002</v>
      </c>
      <c r="H16" s="21">
        <f>[38]XX!F4/1000000</f>
        <v>60.930920230000005</v>
      </c>
      <c r="I16" s="21">
        <f t="shared" si="3"/>
        <v>-21.769707512498414</v>
      </c>
      <c r="J16" s="21">
        <f t="shared" si="4"/>
        <v>15.953295238862955</v>
      </c>
      <c r="K16" s="106"/>
    </row>
    <row r="17" spans="1:11" s="147" customFormat="1">
      <c r="A17" s="104"/>
      <c r="B17" s="129" t="str">
        <f>+[38]XX!A5</f>
        <v>Bogotá</v>
      </c>
      <c r="C17" s="24">
        <f>[38]XX!B5/1000000</f>
        <v>491.98904479999891</v>
      </c>
      <c r="D17" s="24">
        <f>[38]XX!E5/1000000</f>
        <v>432.57043426999849</v>
      </c>
      <c r="E17" s="24">
        <f t="shared" si="1"/>
        <v>-12.077222279238963</v>
      </c>
      <c r="F17" s="24">
        <f t="shared" si="2"/>
        <v>12.678780755085326</v>
      </c>
      <c r="G17" s="24">
        <f>[38]XX!C5/1000000</f>
        <v>61.538640380000061</v>
      </c>
      <c r="H17" s="24">
        <f>[38]XX!F5/1000000</f>
        <v>49.251789099999989</v>
      </c>
      <c r="I17" s="24">
        <f t="shared" si="3"/>
        <v>-19.966075305091202</v>
      </c>
      <c r="J17" s="24">
        <f t="shared" si="4"/>
        <v>12.895395795575892</v>
      </c>
      <c r="K17" s="106"/>
    </row>
    <row r="18" spans="1:11">
      <c r="A18" s="14"/>
      <c r="B18" s="9" t="str">
        <f>+[38]XX!A6</f>
        <v>Cundinamarca</v>
      </c>
      <c r="C18" s="21">
        <f>[38]XX!B6/1000000</f>
        <v>307.07422952000007</v>
      </c>
      <c r="D18" s="21">
        <f>[38]XX!E6/1000000</f>
        <v>313.06146390000134</v>
      </c>
      <c r="E18" s="21">
        <f t="shared" si="1"/>
        <v>1.949767777439404</v>
      </c>
      <c r="F18" s="21">
        <f t="shared" si="2"/>
        <v>9.1759337883381296</v>
      </c>
      <c r="G18" s="21">
        <f>[38]XX!C6/1000000</f>
        <v>40.698736100000261</v>
      </c>
      <c r="H18" s="21">
        <f>[38]XX!F6/1000000</f>
        <v>37.354149249999978</v>
      </c>
      <c r="I18" s="21">
        <f t="shared" si="3"/>
        <v>-8.2179133076328181</v>
      </c>
      <c r="J18" s="21">
        <f t="shared" si="4"/>
        <v>9.7802851020850365</v>
      </c>
      <c r="K18" s="16"/>
    </row>
    <row r="19" spans="1:11">
      <c r="A19" s="14"/>
      <c r="B19" s="9" t="str">
        <f>+[38]XX!A7</f>
        <v>Valle del Cauca</v>
      </c>
      <c r="C19" s="21">
        <f>[38]XX!B7/1000000</f>
        <v>253.87788607999957</v>
      </c>
      <c r="D19" s="21">
        <f>[38]XX!E7/1000000</f>
        <v>271.56845205999696</v>
      </c>
      <c r="E19" s="21">
        <f t="shared" si="1"/>
        <v>6.9681397829281178</v>
      </c>
      <c r="F19" s="21">
        <f t="shared" si="2"/>
        <v>7.9597600549774938</v>
      </c>
      <c r="G19" s="21">
        <f>[38]XX!C7/1000000</f>
        <v>34.148749840000036</v>
      </c>
      <c r="H19" s="21">
        <f>[38]XX!F7/1000000</f>
        <v>32.121089000000012</v>
      </c>
      <c r="I19" s="21">
        <f t="shared" si="3"/>
        <v>-5.937730808595898</v>
      </c>
      <c r="J19" s="21">
        <f t="shared" si="4"/>
        <v>8.4101342024125429</v>
      </c>
      <c r="K19" s="16"/>
    </row>
    <row r="20" spans="1:11">
      <c r="A20" s="14"/>
      <c r="B20" s="9" t="str">
        <f>+[38]XX!A8</f>
        <v>Atlántico</v>
      </c>
      <c r="C20" s="21">
        <f>[38]XX!B8/1000000</f>
        <v>193.48623057999973</v>
      </c>
      <c r="D20" s="21">
        <f>[38]XX!E8/1000000</f>
        <v>238.04924203000036</v>
      </c>
      <c r="E20" s="21">
        <f t="shared" si="1"/>
        <v>23.031619002766913</v>
      </c>
      <c r="F20" s="21">
        <f t="shared" si="2"/>
        <v>6.9773010578174572</v>
      </c>
      <c r="G20" s="21">
        <f>[38]XX!C8/1000000</f>
        <v>34.947415290000023</v>
      </c>
      <c r="H20" s="21">
        <f>[38]XX!F8/1000000</f>
        <v>42.231759940000025</v>
      </c>
      <c r="I20" s="21">
        <f t="shared" si="3"/>
        <v>20.843729327485839</v>
      </c>
      <c r="J20" s="21">
        <f t="shared" si="4"/>
        <v>11.057370087902997</v>
      </c>
      <c r="K20" s="16"/>
    </row>
    <row r="21" spans="1:11">
      <c r="A21" s="14"/>
      <c r="B21" s="9" t="str">
        <f>+[38]XX!A9</f>
        <v>Sin definir</v>
      </c>
      <c r="C21" s="21">
        <f>[38]XX!B9/1000000</f>
        <v>0</v>
      </c>
      <c r="D21" s="21">
        <f>[38]XX!E9/1000000</f>
        <v>89.176767999999996</v>
      </c>
      <c r="E21" s="21" t="str">
        <f t="shared" si="1"/>
        <v/>
      </c>
      <c r="F21" s="21">
        <f t="shared" si="2"/>
        <v>2.6138002053404019</v>
      </c>
      <c r="G21" s="21">
        <f>[38]XX!C9/1000000</f>
        <v>0</v>
      </c>
      <c r="H21" s="21">
        <f>[38]XX!F9/1000000</f>
        <v>0</v>
      </c>
      <c r="I21" s="21" t="str">
        <f t="shared" si="3"/>
        <v/>
      </c>
      <c r="J21" s="21">
        <f t="shared" si="4"/>
        <v>0</v>
      </c>
      <c r="K21" s="16"/>
    </row>
    <row r="22" spans="1:11">
      <c r="A22" s="14"/>
      <c r="B22" s="9" t="str">
        <f>+[38]XX!A10</f>
        <v>Caldas</v>
      </c>
      <c r="C22" s="21">
        <f>[38]XX!B10/1000000</f>
        <v>64.746894439999906</v>
      </c>
      <c r="D22" s="21">
        <f>[38]XX!E10/1000000</f>
        <v>63.358739820000096</v>
      </c>
      <c r="E22" s="21">
        <f t="shared" si="1"/>
        <v>-2.1439709688102382</v>
      </c>
      <c r="F22" s="21">
        <f t="shared" si="2"/>
        <v>1.8570653642843993</v>
      </c>
      <c r="G22" s="21">
        <f>[38]XX!C10/1000000</f>
        <v>5.7824764000000002</v>
      </c>
      <c r="H22" s="21">
        <f>[38]XX!F10/1000000</f>
        <v>11.833998689999998</v>
      </c>
      <c r="I22" s="21">
        <f t="shared" si="3"/>
        <v>104.65277973291856</v>
      </c>
      <c r="J22" s="21">
        <f t="shared" si="4"/>
        <v>3.0984477871866107</v>
      </c>
      <c r="K22" s="16"/>
    </row>
    <row r="23" spans="1:11">
      <c r="A23" s="14"/>
      <c r="B23" s="9" t="str">
        <f>+[38]XX!A11</f>
        <v>Santander</v>
      </c>
      <c r="C23" s="21">
        <f>[38]XX!B11/1000000</f>
        <v>22.985681139999997</v>
      </c>
      <c r="D23" s="21">
        <f>[38]XX!E11/1000000</f>
        <v>19.508647320000005</v>
      </c>
      <c r="E23" s="21">
        <f t="shared" si="1"/>
        <v>-15.126955772257755</v>
      </c>
      <c r="F23" s="21">
        <f t="shared" si="2"/>
        <v>0.57180482668904864</v>
      </c>
      <c r="G23" s="21">
        <f>[38]XX!C11/1000000</f>
        <v>3.0455779099999996</v>
      </c>
      <c r="H23" s="21">
        <f>[38]XX!F11/1000000</f>
        <v>2.1263837299999997</v>
      </c>
      <c r="I23" s="21">
        <f t="shared" si="3"/>
        <v>-30.181272886891929</v>
      </c>
      <c r="J23" s="21">
        <f t="shared" si="4"/>
        <v>0.55674241104112476</v>
      </c>
      <c r="K23" s="16"/>
    </row>
    <row r="24" spans="1:11">
      <c r="A24" s="14"/>
      <c r="B24" s="9" t="str">
        <f>+[38]XX!A12</f>
        <v>Cauca</v>
      </c>
      <c r="C24" s="21">
        <f>[38]XX!B12/1000000</f>
        <v>24.124586419999961</v>
      </c>
      <c r="D24" s="21">
        <f>[38]XX!E12/1000000</f>
        <v>15.352886309999974</v>
      </c>
      <c r="E24" s="21">
        <f t="shared" si="1"/>
        <v>-36.36000202153933</v>
      </c>
      <c r="F24" s="21">
        <f t="shared" si="2"/>
        <v>0.44999811374242432</v>
      </c>
      <c r="G24" s="21">
        <f>[38]XX!C12/1000000</f>
        <v>2.4611394099999995</v>
      </c>
      <c r="H24" s="21">
        <f>[38]XX!F12/1000000</f>
        <v>2.2032467900000001</v>
      </c>
      <c r="I24" s="21">
        <f t="shared" si="3"/>
        <v>-10.478586420262936</v>
      </c>
      <c r="J24" s="21">
        <f t="shared" si="4"/>
        <v>0.57686715369253649</v>
      </c>
      <c r="K24" s="16"/>
    </row>
    <row r="25" spans="1:11">
      <c r="A25" s="14"/>
      <c r="B25" s="9" t="str">
        <f>+[38]XX!A13</f>
        <v>Risaralda</v>
      </c>
      <c r="C25" s="21">
        <f>[38]XX!B13/1000000</f>
        <v>9.291265450000008</v>
      </c>
      <c r="D25" s="21">
        <f>[38]XX!E13/1000000</f>
        <v>13.830042689999992</v>
      </c>
      <c r="E25" s="21">
        <f t="shared" si="1"/>
        <v>48.849936151592566</v>
      </c>
      <c r="F25" s="21">
        <f t="shared" si="2"/>
        <v>0.40536306970654634</v>
      </c>
      <c r="G25" s="21">
        <f>[38]XX!C13/1000000</f>
        <v>0.64249613999999999</v>
      </c>
      <c r="H25" s="21">
        <f>[38]XX!F13/1000000</f>
        <v>2.6003074499999999</v>
      </c>
      <c r="I25" s="21">
        <f t="shared" si="3"/>
        <v>304.71954430730113</v>
      </c>
      <c r="J25" s="21">
        <f t="shared" si="4"/>
        <v>0.68082793276507958</v>
      </c>
      <c r="K25" s="16"/>
    </row>
    <row r="26" spans="1:11">
      <c r="A26" s="14"/>
      <c r="B26" s="9" t="str">
        <f>+[38]XX!A14</f>
        <v>Magdalena</v>
      </c>
      <c r="C26" s="21">
        <f>[38]XX!B14/1000000</f>
        <v>3.2523805899999996</v>
      </c>
      <c r="D26" s="21">
        <f>[38]XX!E14/1000000</f>
        <v>6.0542060700000002</v>
      </c>
      <c r="E26" s="21">
        <f t="shared" si="1"/>
        <v>86.146913083133398</v>
      </c>
      <c r="F26" s="21">
        <f t="shared" si="2"/>
        <v>0.17745075790299006</v>
      </c>
      <c r="G26" s="21">
        <f>[38]XX!C14/1000000</f>
        <v>0.20255764000000001</v>
      </c>
      <c r="H26" s="21">
        <f>[38]XX!F14/1000000</f>
        <v>0.489014</v>
      </c>
      <c r="I26" s="21">
        <f t="shared" si="3"/>
        <v>141.4196768880206</v>
      </c>
      <c r="J26" s="21">
        <f t="shared" si="4"/>
        <v>0.12803654841398951</v>
      </c>
      <c r="K26" s="16"/>
    </row>
    <row r="27" spans="1:11">
      <c r="A27" s="14"/>
      <c r="B27" s="9" t="str">
        <f>+[38]XX!A15</f>
        <v>Guajira</v>
      </c>
      <c r="C27" s="21">
        <f>[38]XX!B15/1000000</f>
        <v>0.29663323999999991</v>
      </c>
      <c r="D27" s="21">
        <f>[38]XX!E15/1000000</f>
        <v>4.7648041999999995</v>
      </c>
      <c r="E27" s="21">
        <f t="shared" si="1"/>
        <v>1506.2947631897223</v>
      </c>
      <c r="F27" s="21">
        <f t="shared" si="2"/>
        <v>0.13965796782819948</v>
      </c>
      <c r="G27" s="21">
        <f>[38]XX!C15/1000000</f>
        <v>0</v>
      </c>
      <c r="H27" s="21">
        <f>[38]XX!F15/1000000</f>
        <v>0</v>
      </c>
      <c r="I27" s="21" t="str">
        <f t="shared" si="3"/>
        <v/>
      </c>
      <c r="J27" s="21">
        <f t="shared" si="4"/>
        <v>0</v>
      </c>
      <c r="K27" s="16"/>
    </row>
    <row r="28" spans="1:11">
      <c r="A28" s="14"/>
      <c r="B28" s="9" t="str">
        <f>+[38]XX!A16</f>
        <v>Norte de Santander</v>
      </c>
      <c r="C28" s="21">
        <f>[38]XX!B16/1000000</f>
        <v>4.19185915</v>
      </c>
      <c r="D28" s="21">
        <f>[38]XX!E16/1000000</f>
        <v>3.4967166399999994</v>
      </c>
      <c r="E28" s="21">
        <f t="shared" si="1"/>
        <v>-16.583155233161897</v>
      </c>
      <c r="F28" s="21">
        <f t="shared" si="2"/>
        <v>0.1024899071431833</v>
      </c>
      <c r="G28" s="21">
        <f>[38]XX!C16/1000000</f>
        <v>0.62512082000000013</v>
      </c>
      <c r="H28" s="21">
        <f>[38]XX!F16/1000000</f>
        <v>0.56897891000000012</v>
      </c>
      <c r="I28" s="21">
        <f t="shared" si="3"/>
        <v>-8.9809694708296579</v>
      </c>
      <c r="J28" s="21">
        <f t="shared" si="4"/>
        <v>0.14897343584591444</v>
      </c>
      <c r="K28" s="16"/>
    </row>
    <row r="29" spans="1:11">
      <c r="A29" s="14"/>
      <c r="B29" s="9" t="str">
        <f>+[38]XX!A17</f>
        <v>Tolima</v>
      </c>
      <c r="C29" s="21">
        <f>[38]XX!B17/1000000</f>
        <v>1.29570001</v>
      </c>
      <c r="D29" s="21">
        <f>[38]XX!E17/1000000</f>
        <v>2.0145233599999997</v>
      </c>
      <c r="E29" s="21">
        <f t="shared" si="1"/>
        <v>55.477606270914492</v>
      </c>
      <c r="F29" s="21">
        <f t="shared" si="2"/>
        <v>5.9046337853722569E-2</v>
      </c>
      <c r="G29" s="21">
        <f>[38]XX!C17/1000000</f>
        <v>0.1128735</v>
      </c>
      <c r="H29" s="21">
        <f>[38]XX!F17/1000000</f>
        <v>0.21660399999999999</v>
      </c>
      <c r="I29" s="21">
        <f t="shared" si="3"/>
        <v>91.899781613930614</v>
      </c>
      <c r="J29" s="21">
        <f t="shared" si="4"/>
        <v>5.6712545106405519E-2</v>
      </c>
      <c r="K29" s="16"/>
    </row>
    <row r="30" spans="1:11">
      <c r="A30" s="14"/>
      <c r="B30" s="9" t="str">
        <f>+[38]XX!A18</f>
        <v>Nariño</v>
      </c>
      <c r="C30" s="21">
        <f>[38]XX!B18/1000000</f>
        <v>1.2341750599999997</v>
      </c>
      <c r="D30" s="21">
        <f>[38]XX!E18/1000000</f>
        <v>1.541364520000001</v>
      </c>
      <c r="E30" s="21">
        <f t="shared" si="1"/>
        <v>24.890266377607851</v>
      </c>
      <c r="F30" s="21">
        <f t="shared" si="2"/>
        <v>4.5177897665907928E-2</v>
      </c>
      <c r="G30" s="21">
        <f>[38]XX!C18/1000000</f>
        <v>0.30731330000000001</v>
      </c>
      <c r="H30" s="21">
        <f>[38]XX!F18/1000000</f>
        <v>0.34533067000000001</v>
      </c>
      <c r="I30" s="21">
        <f t="shared" si="3"/>
        <v>12.370883394893738</v>
      </c>
      <c r="J30" s="21">
        <f t="shared" si="4"/>
        <v>9.0416526005984363E-2</v>
      </c>
      <c r="K30" s="16"/>
    </row>
    <row r="31" spans="1:11">
      <c r="A31" s="14"/>
      <c r="B31" s="9" t="str">
        <f>+[38]XX!A19</f>
        <v>Huila</v>
      </c>
      <c r="C31" s="21">
        <f>[38]XX!B19/1000000</f>
        <v>9.1049119999999997E-2</v>
      </c>
      <c r="D31" s="21">
        <f>[38]XX!E19/1000000</f>
        <v>1.3485726499999999</v>
      </c>
      <c r="E31" s="21">
        <f t="shared" si="1"/>
        <v>1381.1484723850158</v>
      </c>
      <c r="F31" s="21">
        <f t="shared" si="2"/>
        <v>3.9527104968487423E-2</v>
      </c>
      <c r="G31" s="21">
        <f>[38]XX!C19/1000000</f>
        <v>3.5662520000000003E-2</v>
      </c>
      <c r="H31" s="21">
        <f>[38]XX!F19/1000000</f>
        <v>0.25382732000000002</v>
      </c>
      <c r="I31" s="21">
        <f t="shared" si="3"/>
        <v>611.74813221275451</v>
      </c>
      <c r="J31" s="21">
        <f t="shared" si="4"/>
        <v>6.6458575717613835E-2</v>
      </c>
      <c r="K31" s="16"/>
    </row>
    <row r="32" spans="1:11">
      <c r="A32" s="14"/>
      <c r="B32" s="9" t="str">
        <f>+[38]XX!A20</f>
        <v>Meta</v>
      </c>
      <c r="C32" s="21">
        <f>[38]XX!B20/1000000</f>
        <v>0.18672938</v>
      </c>
      <c r="D32" s="21">
        <f>[38]XX!E20/1000000</f>
        <v>0.95876060000000007</v>
      </c>
      <c r="E32" s="21">
        <f t="shared" si="1"/>
        <v>413.4492493896783</v>
      </c>
      <c r="F32" s="21">
        <f t="shared" si="2"/>
        <v>2.8101586426100209E-2</v>
      </c>
      <c r="G32" s="21">
        <f>[38]XX!C20/1000000</f>
        <v>2.1250000000000002E-2</v>
      </c>
      <c r="H32" s="21">
        <f>[38]XX!F20/1000000</f>
        <v>0.16292999999999999</v>
      </c>
      <c r="I32" s="21">
        <f t="shared" si="3"/>
        <v>666.72941176470579</v>
      </c>
      <c r="J32" s="21">
        <f t="shared" si="4"/>
        <v>4.2659299801419415E-2</v>
      </c>
      <c r="K32" s="16"/>
    </row>
    <row r="33" spans="1:13">
      <c r="A33" s="14"/>
      <c r="B33" s="9" t="str">
        <f>+[38]XX!A21</f>
        <v>Cesar</v>
      </c>
      <c r="C33" s="21">
        <f>[38]XX!B21/1000000</f>
        <v>2.8665673200000001</v>
      </c>
      <c r="D33" s="21">
        <f>[38]XX!E21/1000000</f>
        <v>0.75171184000000013</v>
      </c>
      <c r="E33" s="21">
        <f t="shared" si="1"/>
        <v>-73.776585159702449</v>
      </c>
      <c r="F33" s="21">
        <f t="shared" si="2"/>
        <v>2.2032919624860276E-2</v>
      </c>
      <c r="G33" s="21">
        <f>[38]XX!C21/1000000</f>
        <v>2.5626880000000001</v>
      </c>
      <c r="H33" s="21">
        <f>[38]XX!F21/1000000</f>
        <v>0.30210184000000001</v>
      </c>
      <c r="I33" s="21">
        <f t="shared" si="3"/>
        <v>-88.211524773987321</v>
      </c>
      <c r="J33" s="21">
        <f t="shared" si="4"/>
        <v>7.9098097116064817E-2</v>
      </c>
      <c r="K33" s="16"/>
    </row>
    <row r="34" spans="1:13">
      <c r="A34" s="14"/>
      <c r="B34" s="9" t="str">
        <f>+[38]XX!A22</f>
        <v>Casanare</v>
      </c>
      <c r="C34" s="21">
        <f>[38]XX!B22/1000000</f>
        <v>5.765E-2</v>
      </c>
      <c r="D34" s="21">
        <f>[38]XX!E22/1000000</f>
        <v>0.17753958000000003</v>
      </c>
      <c r="E34" s="21">
        <f t="shared" si="1"/>
        <v>207.9611101474415</v>
      </c>
      <c r="F34" s="21">
        <f t="shared" si="2"/>
        <v>5.2037430943903335E-3</v>
      </c>
      <c r="G34" s="21">
        <f>[38]XX!C22/1000000</f>
        <v>0</v>
      </c>
      <c r="H34" s="21">
        <f>[38]XX!F22/1000000</f>
        <v>2.2700100000000003E-3</v>
      </c>
      <c r="I34" s="21" t="str">
        <f t="shared" si="3"/>
        <v/>
      </c>
      <c r="J34" s="21">
        <f t="shared" si="4"/>
        <v>5.9434749366120475E-4</v>
      </c>
      <c r="K34" s="16"/>
    </row>
    <row r="35" spans="1:13">
      <c r="A35" s="14"/>
      <c r="B35" s="9" t="str">
        <f>+[38]XX!A23</f>
        <v>Vaupés</v>
      </c>
      <c r="C35" s="21">
        <f>[38]XX!B23/1000000</f>
        <v>0</v>
      </c>
      <c r="D35" s="21">
        <f>[38]XX!E23/1000000</f>
        <v>0.15008554000000002</v>
      </c>
      <c r="E35" s="21" t="str">
        <f t="shared" si="1"/>
        <v/>
      </c>
      <c r="F35" s="21">
        <f t="shared" si="2"/>
        <v>4.3990562123828614E-3</v>
      </c>
      <c r="G35" s="21">
        <f>[38]XX!C23/1000000</f>
        <v>0</v>
      </c>
      <c r="H35" s="21">
        <f>[38]XX!F23/1000000</f>
        <v>0.11315654000000001</v>
      </c>
      <c r="I35" s="21" t="str">
        <f t="shared" si="3"/>
        <v/>
      </c>
      <c r="J35" s="21">
        <f t="shared" si="4"/>
        <v>2.9627317034010361E-2</v>
      </c>
      <c r="K35" s="16"/>
    </row>
    <row r="36" spans="1:13">
      <c r="A36" s="14"/>
      <c r="B36" s="9" t="str">
        <f>+[38]XX!A24</f>
        <v>Quindío</v>
      </c>
      <c r="C36" s="21">
        <f>[38]XX!B24/1000000</f>
        <v>4.385464E-2</v>
      </c>
      <c r="D36" s="21">
        <f>[38]XX!E24/1000000</f>
        <v>0.14423027000000002</v>
      </c>
      <c r="E36" s="21">
        <f t="shared" ref="E36:E37" si="5">IF(OR(OR(D36=0,C36=0),D36=""),"",(D36/C36-1)*100)</f>
        <v>228.88257662131082</v>
      </c>
      <c r="F36" s="21">
        <f t="shared" ref="F36:F37" si="6">(D36/D$13)*100</f>
        <v>4.2274363356866861E-3</v>
      </c>
      <c r="G36" s="21">
        <f>[38]XX!C24/1000000</f>
        <v>3.2714239999999999E-2</v>
      </c>
      <c r="H36" s="21">
        <f>[38]XX!F24/1000000</f>
        <v>0.11328433</v>
      </c>
      <c r="I36" s="21">
        <f t="shared" ref="I36:I37" si="7">IF(OR(OR(H36=0,G36=0),H36=""),"",(H36/G36-1)*100)</f>
        <v>246.28446205689025</v>
      </c>
      <c r="J36" s="21">
        <f t="shared" ref="J36:J37" si="8">(H36/H$13)*100</f>
        <v>2.9660775770410184E-2</v>
      </c>
      <c r="K36" s="16"/>
    </row>
    <row r="37" spans="1:13">
      <c r="A37" s="14"/>
      <c r="B37" s="9" t="str">
        <f>+[38]XX!A25</f>
        <v>Boyacá</v>
      </c>
      <c r="C37" s="21">
        <f>[38]XX!B25/1000000</f>
        <v>2.6210672000000002</v>
      </c>
      <c r="D37" s="21">
        <f>[38]XX!E25/1000000</f>
        <v>0.13081799999999999</v>
      </c>
      <c r="E37" s="21">
        <f t="shared" si="5"/>
        <v>-95.008979548483154</v>
      </c>
      <c r="F37" s="21">
        <f t="shared" si="6"/>
        <v>3.834318320016046E-3</v>
      </c>
      <c r="G37" s="21">
        <f>[38]XX!C25/1000000</f>
        <v>2.564667</v>
      </c>
      <c r="H37" s="21">
        <f>[38]XX!F25/1000000</f>
        <v>1.3707749999999999E-2</v>
      </c>
      <c r="I37" s="21">
        <f t="shared" si="7"/>
        <v>-99.465515406093658</v>
      </c>
      <c r="J37" s="21">
        <f t="shared" si="8"/>
        <v>3.5890444783214077E-3</v>
      </c>
      <c r="K37" s="16"/>
    </row>
    <row r="38" spans="1:13" s="98" customFormat="1">
      <c r="A38" s="104"/>
      <c r="B38" s="128" t="str">
        <f>+[38]XX!A26</f>
        <v>Sucre</v>
      </c>
      <c r="C38" s="21">
        <f>[38]XX!B26/1000000</f>
        <v>0.23385502999999996</v>
      </c>
      <c r="D38" s="21">
        <f>[38]XX!E26/1000000</f>
        <v>9.8028139999999986E-2</v>
      </c>
      <c r="E38" s="21">
        <f t="shared" ref="E38:E39" si="9">IF(OR(OR(D38=0,C38=0),D38=""),"",(D38/C38-1)*100)</f>
        <v>-58.081662814778888</v>
      </c>
      <c r="F38" s="21">
        <f t="shared" ref="F38:F39" si="10">(D38/D$13)*100</f>
        <v>2.8732368105237639E-3</v>
      </c>
      <c r="G38" s="21">
        <f>[38]XX!C26/1000000</f>
        <v>1.44E-2</v>
      </c>
      <c r="H38" s="21">
        <f>[38]XX!F26/1000000</f>
        <v>9.6512000000000004E-3</v>
      </c>
      <c r="I38" s="21">
        <f t="shared" ref="I38:I39" si="11">IF(OR(OR(H38=0,G38=0),H38=""),"",(H38/G38-1)*100)</f>
        <v>-32.977777777777774</v>
      </c>
      <c r="J38" s="21">
        <f t="shared" ref="J38:J39" si="12">(H38/H$13)*100</f>
        <v>2.5269344764221389E-3</v>
      </c>
      <c r="K38" s="106"/>
    </row>
    <row r="39" spans="1:13" s="98" customFormat="1">
      <c r="A39" s="104"/>
      <c r="B39" s="128" t="str">
        <f>+[38]XX!A27</f>
        <v>Guainía</v>
      </c>
      <c r="C39" s="21">
        <f>[38]XX!B27/1000000</f>
        <v>0</v>
      </c>
      <c r="D39" s="21">
        <f>[38]XX!E27/1000000</f>
        <v>2.6908499999999998E-2</v>
      </c>
      <c r="E39" s="21" t="str">
        <f t="shared" si="9"/>
        <v/>
      </c>
      <c r="F39" s="21">
        <f t="shared" si="10"/>
        <v>7.8869692637214899E-4</v>
      </c>
      <c r="G39" s="21">
        <f>[38]XX!C27/1000000</f>
        <v>0</v>
      </c>
      <c r="H39" s="21">
        <f>[38]XX!F27/1000000</f>
        <v>5.7159999999999997E-3</v>
      </c>
      <c r="I39" s="21" t="str">
        <f t="shared" si="11"/>
        <v/>
      </c>
      <c r="J39" s="21">
        <f t="shared" si="12"/>
        <v>1.4965970518929193E-3</v>
      </c>
      <c r="K39" s="106"/>
    </row>
    <row r="40" spans="1:13" s="147" customFormat="1">
      <c r="A40" s="104"/>
      <c r="B40" s="128" t="str">
        <f>+[38]XX!A28</f>
        <v>Aráuca</v>
      </c>
      <c r="C40" s="21">
        <f>[38]XX!B28/1000000</f>
        <v>0.16927032</v>
      </c>
      <c r="D40" s="21">
        <f>[38]XX!E28/1000000</f>
        <v>1.62081E-2</v>
      </c>
      <c r="E40" s="21">
        <f t="shared" ref="E40:E41" si="13">IF(OR(OR(D40=0,C40=0),D40=""),"",(D40/C40-1)*100)</f>
        <v>-90.424724192640511</v>
      </c>
      <c r="F40" s="21">
        <f t="shared" ref="F40:F41" si="14">(D40/D$13)*100</f>
        <v>4.7506470640624446E-4</v>
      </c>
      <c r="G40" s="21">
        <f>[38]XX!C28/1000000</f>
        <v>9.2770519999999995E-2</v>
      </c>
      <c r="H40" s="21">
        <f>[38]XX!F28/1000000</f>
        <v>0</v>
      </c>
      <c r="I40" s="21" t="str">
        <f t="shared" ref="I40:I41" si="15">IF(OR(OR(H40=0,G40=0),H40=""),"",(H40/G40-1)*100)</f>
        <v/>
      </c>
      <c r="J40" s="21">
        <f t="shared" ref="J40:J41" si="16">(H40/H$13)*100</f>
        <v>0</v>
      </c>
      <c r="K40" s="106"/>
    </row>
    <row r="41" spans="1:13" s="147" customFormat="1">
      <c r="A41" s="104"/>
      <c r="B41" s="128" t="str">
        <f>+[38]XX!A29</f>
        <v>Amazonas</v>
      </c>
      <c r="C41" s="21">
        <f>[38]XX!B29/1000000</f>
        <v>0</v>
      </c>
      <c r="D41" s="21">
        <f>[38]XX!E29/1000000</f>
        <v>1.0256110000000001E-2</v>
      </c>
      <c r="E41" s="21" t="str">
        <f t="shared" si="13"/>
        <v/>
      </c>
      <c r="F41" s="21">
        <f t="shared" si="14"/>
        <v>3.0060993491033174E-4</v>
      </c>
      <c r="G41" s="21">
        <f>[38]XX!C29/1000000</f>
        <v>0</v>
      </c>
      <c r="H41" s="21">
        <f>[38]XX!F29/1000000</f>
        <v>0</v>
      </c>
      <c r="I41" s="21" t="str">
        <f t="shared" si="15"/>
        <v/>
      </c>
      <c r="J41" s="21">
        <f t="shared" si="16"/>
        <v>0</v>
      </c>
      <c r="K41" s="106"/>
    </row>
    <row r="42" spans="1:13" s="147" customFormat="1">
      <c r="A42" s="104"/>
      <c r="B42" s="128" t="str">
        <f>+[38]XX!A30</f>
        <v>San Andrés</v>
      </c>
      <c r="C42" s="21">
        <f>[38]XX!B30/1000000</f>
        <v>1.3505099999999999E-2</v>
      </c>
      <c r="D42" s="21">
        <f>[38]XX!E30/1000000</f>
        <v>5.0032399999999999E-3</v>
      </c>
      <c r="E42" s="21">
        <f t="shared" ref="E42:E43" si="17">IF(OR(OR(D42=0,C42=0),D42=""),"",(D42/C42-1)*100)</f>
        <v>-62.952958511969548</v>
      </c>
      <c r="F42" s="21">
        <f t="shared" ref="F42:F43" si="18">(D42/D$13)*100</f>
        <v>1.4664659902641138E-4</v>
      </c>
      <c r="G42" s="21">
        <f>[38]XX!C30/1000000</f>
        <v>3.8299999999999996E-5</v>
      </c>
      <c r="H42" s="21">
        <f>[38]XX!F30/1000000</f>
        <v>0</v>
      </c>
      <c r="I42" s="21" t="str">
        <f t="shared" ref="I42:I43" si="19">IF(OR(OR(H42=0,G42=0),H42=""),"",(H42/G42-1)*100)</f>
        <v/>
      </c>
      <c r="J42" s="21">
        <f t="shared" ref="J42:J43" si="20">(H42/H$13)*100</f>
        <v>0</v>
      </c>
      <c r="K42" s="106"/>
    </row>
    <row r="43" spans="1:13" s="147" customFormat="1">
      <c r="A43" s="104"/>
      <c r="B43" s="128" t="str">
        <f>+[38]XX!A31</f>
        <v>Chocó</v>
      </c>
      <c r="C43" s="21">
        <f>[38]XX!B31/1000000</f>
        <v>0.13501429999999998</v>
      </c>
      <c r="D43" s="21">
        <f>[38]XX!E31/1000000</f>
        <v>0</v>
      </c>
      <c r="E43" s="21" t="str">
        <f t="shared" si="17"/>
        <v/>
      </c>
      <c r="F43" s="21">
        <f t="shared" si="18"/>
        <v>0</v>
      </c>
      <c r="G43" s="21">
        <f>[38]XX!C31/1000000</f>
        <v>0</v>
      </c>
      <c r="H43" s="21">
        <f>[38]XX!F31/1000000</f>
        <v>0</v>
      </c>
      <c r="I43" s="21" t="str">
        <f t="shared" si="19"/>
        <v/>
      </c>
      <c r="J43" s="21">
        <f t="shared" si="20"/>
        <v>0</v>
      </c>
      <c r="K43" s="10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tr">
        <f>+'Resumen exportaciones totales'!C10:D10</f>
        <v>Año corrido a agosto</v>
      </c>
      <c r="D10" s="165"/>
      <c r="E10" s="164" t="str">
        <f>+'Resumen exportaciones totales'!E10:E11</f>
        <v>% Cambio   '13/'12</v>
      </c>
      <c r="F10" s="164" t="str">
        <f>+'Resumen exportaciones totales'!F10:F11</f>
        <v>% del total '13</v>
      </c>
      <c r="G10" s="165" t="str">
        <f>+'Resumen exportaciones totales'!G10:H10</f>
        <v>Agosto</v>
      </c>
      <c r="H10" s="165"/>
      <c r="I10" s="164" t="str">
        <f>+E10</f>
        <v>% Cambio   '13/'12</v>
      </c>
      <c r="J10" s="164" t="str">
        <f>+F10</f>
        <v>% del total '13</v>
      </c>
      <c r="K10" s="16"/>
    </row>
    <row r="11" spans="1:14">
      <c r="A11" s="14"/>
      <c r="B11" s="9"/>
      <c r="C11" s="94">
        <f>+'Resumen exportaciones totales'!C11</f>
        <v>2012</v>
      </c>
      <c r="D11" s="94">
        <f>+'Resumen exportaciones totales'!D11</f>
        <v>2013</v>
      </c>
      <c r="E11" s="164"/>
      <c r="F11" s="164"/>
      <c r="G11" s="94">
        <f>+C11</f>
        <v>2012</v>
      </c>
      <c r="H11" s="94">
        <f>+D11</f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f>SUM(C14:C37)</f>
        <v>503.12874501000152</v>
      </c>
      <c r="D13" s="83">
        <f>SUM(D14:D37)</f>
        <v>581.83392806000052</v>
      </c>
      <c r="E13" s="83">
        <f>IF(OR(OR(D13=0,C13=0),D13=""),"",(D13/C13-1)*100)</f>
        <v>15.643149756516973</v>
      </c>
      <c r="F13" s="83">
        <f>(D13/D$13)*100</f>
        <v>100</v>
      </c>
      <c r="G13" s="83">
        <f t="shared" ref="G13:H13" si="0">SUM(G14:G37)</f>
        <v>66.618827840000009</v>
      </c>
      <c r="H13" s="83">
        <f t="shared" si="0"/>
        <v>65.982077450000006</v>
      </c>
      <c r="I13" s="83">
        <f>IF(OR(OR(H13=0,G13=0),H13=""),"",(H13/G13-1)*100)</f>
        <v>-0.95581145848032678</v>
      </c>
      <c r="J13" s="83">
        <f>(H13/H$13)*100</f>
        <v>100</v>
      </c>
      <c r="K13" s="16"/>
    </row>
    <row r="14" spans="1:14">
      <c r="A14" s="14"/>
      <c r="B14" s="10" t="str">
        <f>+[39]XX!A2</f>
        <v>Bogotá</v>
      </c>
      <c r="C14" s="24">
        <f>[39]XX!B2/1000000</f>
        <v>219.19295612000116</v>
      </c>
      <c r="D14" s="24">
        <f>[39]XX!E2/1000000</f>
        <v>271.07486498000048</v>
      </c>
      <c r="E14" s="24">
        <f>IF(OR(OR(D14=0,C14=0),D14=""),"",(D14/C14-1)*100)</f>
        <v>23.669514649729727</v>
      </c>
      <c r="F14" s="24">
        <f>(D14/D$13)*100</f>
        <v>46.589731520786529</v>
      </c>
      <c r="G14" s="24">
        <f>[39]XX!C2/1000000</f>
        <v>29.47666581</v>
      </c>
      <c r="H14" s="24">
        <f>[39]XX!F2/1000000</f>
        <v>32.101884780000006</v>
      </c>
      <c r="I14" s="24">
        <f>IF(OR(OR(H14=0,G14=0),H14=""),"",(H14/G14-1)*100)</f>
        <v>8.9060919810998396</v>
      </c>
      <c r="J14" s="24">
        <f>(H14/H$13)*100</f>
        <v>48.65243111559532</v>
      </c>
      <c r="K14" s="16"/>
    </row>
    <row r="15" spans="1:14">
      <c r="A15" s="14"/>
      <c r="B15" s="9" t="str">
        <f>+[39]XX!A3</f>
        <v>Valle del Cauca</v>
      </c>
      <c r="C15" s="21">
        <f>[39]XX!B3/1000000</f>
        <v>121.72838173000001</v>
      </c>
      <c r="D15" s="21">
        <f>[39]XX!E3/1000000</f>
        <v>124.18592416999994</v>
      </c>
      <c r="E15" s="21">
        <f t="shared" ref="E15:E29" si="1">IF(OR(OR(D15=0,C15=0),D15=""),"",(D15/C15-1)*100)</f>
        <v>2.0188738280041196</v>
      </c>
      <c r="F15" s="21">
        <f t="shared" ref="F15:F29" si="2">(D15/D$13)*100</f>
        <v>21.343878069137538</v>
      </c>
      <c r="G15" s="21">
        <f>[39]XX!C3/1000000</f>
        <v>14.414542540000014</v>
      </c>
      <c r="H15" s="21">
        <f>[39]XX!F3/1000000</f>
        <v>12.206503669999995</v>
      </c>
      <c r="I15" s="21">
        <f t="shared" ref="I15:I29" si="3">IF(OR(OR(H15=0,G15=0),H15=""),"",(H15/G15-1)*100)</f>
        <v>-15.318133502140373</v>
      </c>
      <c r="J15" s="21">
        <f t="shared" ref="J15:J29" si="4">(H15/H$13)*100</f>
        <v>18.499726201027631</v>
      </c>
      <c r="K15" s="16"/>
    </row>
    <row r="16" spans="1:14">
      <c r="A16" s="14"/>
      <c r="B16" s="9" t="str">
        <f>+[39]XX!A4</f>
        <v>Cundinamarca</v>
      </c>
      <c r="C16" s="21">
        <f>[39]XX!B4/1000000</f>
        <v>5.1573074899999991</v>
      </c>
      <c r="D16" s="21">
        <f>[39]XX!E4/1000000</f>
        <v>47.573378530000085</v>
      </c>
      <c r="E16" s="21">
        <f t="shared" si="1"/>
        <v>822.44603646853898</v>
      </c>
      <c r="F16" s="21">
        <f t="shared" si="2"/>
        <v>8.1764531485166625</v>
      </c>
      <c r="G16" s="21">
        <f>[39]XX!C4/1000000</f>
        <v>0.73215042999999991</v>
      </c>
      <c r="H16" s="21">
        <f>[39]XX!F4/1000000</f>
        <v>5.2410137000000008</v>
      </c>
      <c r="I16" s="21">
        <f t="shared" si="3"/>
        <v>615.83836944547056</v>
      </c>
      <c r="J16" s="21">
        <f t="shared" si="4"/>
        <v>7.9430868237993018</v>
      </c>
      <c r="K16" s="16"/>
    </row>
    <row r="17" spans="1:11">
      <c r="A17" s="14"/>
      <c r="B17" s="9" t="str">
        <f>+[39]XX!A5</f>
        <v>Atlántico</v>
      </c>
      <c r="C17" s="21">
        <f>[39]XX!B5/1000000</f>
        <v>65.497379960000089</v>
      </c>
      <c r="D17" s="21">
        <f>[39]XX!E5/1000000</f>
        <v>42.418181840000031</v>
      </c>
      <c r="E17" s="21">
        <f t="shared" si="1"/>
        <v>-35.236826471676821</v>
      </c>
      <c r="F17" s="21">
        <f t="shared" si="2"/>
        <v>7.2904276966855974</v>
      </c>
      <c r="G17" s="21">
        <f>[39]XX!C5/1000000</f>
        <v>9.5345782499999956</v>
      </c>
      <c r="H17" s="21">
        <f>[39]XX!F5/1000000</f>
        <v>4.0240320600000006</v>
      </c>
      <c r="I17" s="21">
        <f t="shared" si="3"/>
        <v>-57.795384814215531</v>
      </c>
      <c r="J17" s="21">
        <f t="shared" si="4"/>
        <v>6.0986743908591503</v>
      </c>
      <c r="K17" s="16"/>
    </row>
    <row r="18" spans="1:11">
      <c r="A18" s="14"/>
      <c r="B18" s="9" t="str">
        <f>+[39]XX!A6</f>
        <v>Cauca</v>
      </c>
      <c r="C18" s="21">
        <f>[39]XX!B6/1000000</f>
        <v>32.754362320000126</v>
      </c>
      <c r="D18" s="21">
        <f>[39]XX!E6/1000000</f>
        <v>28.918088280000092</v>
      </c>
      <c r="E18" s="21">
        <f t="shared" si="1"/>
        <v>-11.712253783239035</v>
      </c>
      <c r="F18" s="21">
        <f t="shared" si="2"/>
        <v>4.970161911393034</v>
      </c>
      <c r="G18" s="21">
        <f>[39]XX!C6/1000000</f>
        <v>5.0717236899999953</v>
      </c>
      <c r="H18" s="21">
        <f>[39]XX!F6/1000000</f>
        <v>1.6524916299999999</v>
      </c>
      <c r="I18" s="21">
        <f t="shared" si="3"/>
        <v>-67.417554050544084</v>
      </c>
      <c r="J18" s="21">
        <f t="shared" si="4"/>
        <v>2.5044552912906197</v>
      </c>
      <c r="K18" s="16"/>
    </row>
    <row r="19" spans="1:11">
      <c r="A19" s="14"/>
      <c r="B19" s="9" t="str">
        <f>+[39]XX!A7</f>
        <v>Antioquia</v>
      </c>
      <c r="C19" s="21">
        <f>[39]XX!B7/1000000</f>
        <v>26.40806104000001</v>
      </c>
      <c r="D19" s="21">
        <f>[39]XX!E7/1000000</f>
        <v>25.930518539999987</v>
      </c>
      <c r="E19" s="21">
        <f t="shared" si="1"/>
        <v>-1.8083209489583307</v>
      </c>
      <c r="F19" s="21">
        <f t="shared" si="2"/>
        <v>4.4566872589330941</v>
      </c>
      <c r="G19" s="21">
        <f>[39]XX!C7/1000000</f>
        <v>3.0329568999999998</v>
      </c>
      <c r="H19" s="21">
        <f>[39]XX!F7/1000000</f>
        <v>3.9255346000000002</v>
      </c>
      <c r="I19" s="21">
        <f t="shared" si="3"/>
        <v>29.429290604162574</v>
      </c>
      <c r="J19" s="21">
        <f t="shared" si="4"/>
        <v>5.9493952777929699</v>
      </c>
      <c r="K19" s="16"/>
    </row>
    <row r="20" spans="1:11">
      <c r="A20" s="14"/>
      <c r="B20" s="9" t="str">
        <f>+[39]XX!A8</f>
        <v>Risaralda</v>
      </c>
      <c r="C20" s="21">
        <f>[39]XX!B8/1000000</f>
        <v>26.808107250000006</v>
      </c>
      <c r="D20" s="21">
        <f>[39]XX!E8/1000000</f>
        <v>24.964359309999999</v>
      </c>
      <c r="E20" s="21">
        <f t="shared" si="1"/>
        <v>-6.8775759616524486</v>
      </c>
      <c r="F20" s="21">
        <f t="shared" si="2"/>
        <v>4.2906331353412579</v>
      </c>
      <c r="G20" s="21">
        <f>[39]XX!C8/1000000</f>
        <v>3.4775828400000002</v>
      </c>
      <c r="H20" s="21">
        <f>[39]XX!F8/1000000</f>
        <v>5.8228480099999995</v>
      </c>
      <c r="I20" s="21">
        <f t="shared" si="3"/>
        <v>67.439519859144454</v>
      </c>
      <c r="J20" s="21">
        <f t="shared" si="4"/>
        <v>8.8248934180837892</v>
      </c>
      <c r="K20" s="16"/>
    </row>
    <row r="21" spans="1:11">
      <c r="A21" s="14"/>
      <c r="B21" s="9" t="str">
        <f>+[39]XX!A9</f>
        <v>Sin definir</v>
      </c>
      <c r="C21" s="21">
        <f>[39]XX!B9/1000000</f>
        <v>0</v>
      </c>
      <c r="D21" s="21">
        <f>[39]XX!E9/1000000</f>
        <v>10.445085000000001</v>
      </c>
      <c r="E21" s="21" t="str">
        <f t="shared" si="1"/>
        <v/>
      </c>
      <c r="F21" s="21">
        <f t="shared" si="2"/>
        <v>1.7952003993350611</v>
      </c>
      <c r="G21" s="21">
        <f>[39]XX!C9/1000000</f>
        <v>0</v>
      </c>
      <c r="H21" s="21">
        <f>[39]XX!F9/1000000</f>
        <v>0</v>
      </c>
      <c r="I21" s="21" t="str">
        <f t="shared" si="3"/>
        <v/>
      </c>
      <c r="J21" s="21">
        <f t="shared" si="4"/>
        <v>0</v>
      </c>
      <c r="K21" s="16"/>
    </row>
    <row r="22" spans="1:11">
      <c r="A22" s="14"/>
      <c r="B22" s="9" t="str">
        <f>+[39]XX!A10</f>
        <v>Bolívar</v>
      </c>
      <c r="C22" s="21">
        <f>[39]XX!B10/1000000</f>
        <v>2.3968021899999994</v>
      </c>
      <c r="D22" s="21">
        <f>[39]XX!E10/1000000</f>
        <v>2.7977114100000011</v>
      </c>
      <c r="E22" s="21">
        <f t="shared" si="1"/>
        <v>16.726838020788094</v>
      </c>
      <c r="F22" s="21">
        <f t="shared" si="2"/>
        <v>0.48084363511223299</v>
      </c>
      <c r="G22" s="21">
        <f>[39]XX!C10/1000000</f>
        <v>0.17373755999999999</v>
      </c>
      <c r="H22" s="21">
        <f>[39]XX!F10/1000000</f>
        <v>0.55873721999999992</v>
      </c>
      <c r="I22" s="21">
        <f t="shared" si="3"/>
        <v>221.59840393752509</v>
      </c>
      <c r="J22" s="21">
        <f t="shared" si="4"/>
        <v>0.84680149760880241</v>
      </c>
      <c r="K22" s="16"/>
    </row>
    <row r="23" spans="1:11">
      <c r="A23" s="14"/>
      <c r="B23" s="9" t="str">
        <f>+[39]XX!A11</f>
        <v>Caldas</v>
      </c>
      <c r="C23" s="21">
        <f>[39]XX!B11/1000000</f>
        <v>1.3739392399999999</v>
      </c>
      <c r="D23" s="21">
        <f>[39]XX!E11/1000000</f>
        <v>1.1024218600000004</v>
      </c>
      <c r="E23" s="21">
        <f t="shared" si="1"/>
        <v>-19.761964146245614</v>
      </c>
      <c r="F23" s="21">
        <f t="shared" si="2"/>
        <v>0.18947362930102546</v>
      </c>
      <c r="G23" s="21">
        <f>[39]XX!C11/1000000</f>
        <v>3.6893400000000002E-3</v>
      </c>
      <c r="H23" s="21">
        <f>[39]XX!F11/1000000</f>
        <v>0.21139132999999996</v>
      </c>
      <c r="I23" s="21">
        <f t="shared" si="3"/>
        <v>5629.7871706050391</v>
      </c>
      <c r="J23" s="21">
        <f t="shared" si="4"/>
        <v>0.32037689349837217</v>
      </c>
      <c r="K23" s="16"/>
    </row>
    <row r="24" spans="1:11">
      <c r="A24" s="14"/>
      <c r="B24" s="9" t="str">
        <f>+[39]XX!A12</f>
        <v>Magdalena</v>
      </c>
      <c r="C24" s="21">
        <f>[39]XX!B12/1000000</f>
        <v>0.55769276000000012</v>
      </c>
      <c r="D24" s="21">
        <f>[39]XX!E12/1000000</f>
        <v>0.8549800000000003</v>
      </c>
      <c r="E24" s="21">
        <f t="shared" si="1"/>
        <v>53.306634283722843</v>
      </c>
      <c r="F24" s="21">
        <f t="shared" si="2"/>
        <v>0.14694571058287137</v>
      </c>
      <c r="G24" s="21">
        <f>[39]XX!C12/1000000</f>
        <v>2.152024E-2</v>
      </c>
      <c r="H24" s="21">
        <f>[39]XX!F12/1000000</f>
        <v>0</v>
      </c>
      <c r="I24" s="21" t="str">
        <f t="shared" si="3"/>
        <v/>
      </c>
      <c r="J24" s="21">
        <f t="shared" si="4"/>
        <v>0</v>
      </c>
      <c r="K24" s="16"/>
    </row>
    <row r="25" spans="1:11">
      <c r="A25" s="14"/>
      <c r="B25" s="9" t="str">
        <f>+[39]XX!A13</f>
        <v>Norte de Santander</v>
      </c>
      <c r="C25" s="21">
        <f>[39]XX!B13/1000000</f>
        <v>0.74609815000000002</v>
      </c>
      <c r="D25" s="21">
        <f>[39]XX!E13/1000000</f>
        <v>0.40908051000000001</v>
      </c>
      <c r="E25" s="21">
        <f t="shared" si="1"/>
        <v>-45.170684312781098</v>
      </c>
      <c r="F25" s="21">
        <f t="shared" si="2"/>
        <v>7.0308809828947341E-2</v>
      </c>
      <c r="G25" s="21">
        <f>[39]XX!C13/1000000</f>
        <v>0.55424666</v>
      </c>
      <c r="H25" s="21">
        <f>[39]XX!F13/1000000</f>
        <v>0.16463423999999999</v>
      </c>
      <c r="I25" s="21">
        <f t="shared" si="3"/>
        <v>-70.295853474335786</v>
      </c>
      <c r="J25" s="21">
        <f t="shared" si="4"/>
        <v>0.24951357453811113</v>
      </c>
      <c r="K25" s="16"/>
    </row>
    <row r="26" spans="1:11">
      <c r="A26" s="14"/>
      <c r="B26" s="9" t="str">
        <f>+[39]XX!A14</f>
        <v>Santander</v>
      </c>
      <c r="C26" s="21">
        <f>[39]XX!B14/1000000</f>
        <v>0.10005753000000001</v>
      </c>
      <c r="D26" s="21">
        <f>[39]XX!E14/1000000</f>
        <v>0.32686940000000003</v>
      </c>
      <c r="E26" s="21">
        <f t="shared" si="1"/>
        <v>226.6814601559723</v>
      </c>
      <c r="F26" s="21">
        <f t="shared" si="2"/>
        <v>5.6179157700527262E-2</v>
      </c>
      <c r="G26" s="21">
        <f>[39]XX!C14/1000000</f>
        <v>1.0110899999999999E-2</v>
      </c>
      <c r="H26" s="21">
        <f>[39]XX!F14/1000000</f>
        <v>4.7200000000000002E-3</v>
      </c>
      <c r="I26" s="21">
        <f t="shared" si="3"/>
        <v>-53.317706633435201</v>
      </c>
      <c r="J26" s="21">
        <f t="shared" si="4"/>
        <v>7.1534577000500303E-3</v>
      </c>
      <c r="K26" s="16"/>
    </row>
    <row r="27" spans="1:11">
      <c r="A27" s="14"/>
      <c r="B27" s="9" t="str">
        <f>+[39]XX!A15</f>
        <v>Meta</v>
      </c>
      <c r="C27" s="21">
        <f>[39]XX!B15/1000000</f>
        <v>0.139491</v>
      </c>
      <c r="D27" s="21">
        <f>[39]XX!E15/1000000</f>
        <v>0.28576477</v>
      </c>
      <c r="E27" s="21">
        <f t="shared" si="1"/>
        <v>104.86251442745412</v>
      </c>
      <c r="F27" s="21">
        <f t="shared" si="2"/>
        <v>4.911449061638961E-2</v>
      </c>
      <c r="G27" s="21">
        <f>[39]XX!C15/1000000</f>
        <v>6.1440000000000002E-3</v>
      </c>
      <c r="H27" s="21">
        <f>[39]XX!F15/1000000</f>
        <v>2.0311200000000001E-2</v>
      </c>
      <c r="I27" s="21">
        <f t="shared" si="3"/>
        <v>230.58593750000003</v>
      </c>
      <c r="J27" s="21">
        <f t="shared" si="4"/>
        <v>3.0782904668910208E-2</v>
      </c>
      <c r="K27" s="16"/>
    </row>
    <row r="28" spans="1:11">
      <c r="A28" s="14"/>
      <c r="B28" s="9" t="str">
        <f>+[39]XX!A16</f>
        <v>Nariño</v>
      </c>
      <c r="C28" s="21">
        <f>[39]XX!B16/1000000</f>
        <v>0.1336427</v>
      </c>
      <c r="D28" s="21">
        <f>[39]XX!E16/1000000</f>
        <v>0.26183540000000005</v>
      </c>
      <c r="E28" s="21">
        <f t="shared" si="1"/>
        <v>95.921962067512894</v>
      </c>
      <c r="F28" s="21">
        <f t="shared" si="2"/>
        <v>4.5001741454478876E-2</v>
      </c>
      <c r="G28" s="21">
        <f>[39]XX!C16/1000000</f>
        <v>4.6259190000000006E-2</v>
      </c>
      <c r="H28" s="21">
        <f>[39]XX!F16/1000000</f>
        <v>2.1678009999999998E-2</v>
      </c>
      <c r="I28" s="21">
        <f t="shared" si="3"/>
        <v>-53.137938645272442</v>
      </c>
      <c r="J28" s="21">
        <f t="shared" si="4"/>
        <v>3.2854391431411348E-2</v>
      </c>
      <c r="K28" s="16"/>
    </row>
    <row r="29" spans="1:11">
      <c r="A29" s="14"/>
      <c r="B29" s="9" t="str">
        <f>+[39]XX!A17</f>
        <v>Huila</v>
      </c>
      <c r="C29" s="21">
        <f>[39]XX!B17/1000000</f>
        <v>0</v>
      </c>
      <c r="D29" s="21">
        <f>[39]XX!E17/1000000</f>
        <v>0.16081157000000001</v>
      </c>
      <c r="E29" s="21" t="str">
        <f t="shared" si="1"/>
        <v/>
      </c>
      <c r="F29" s="21">
        <f t="shared" si="2"/>
        <v>2.7638740582934279E-2</v>
      </c>
      <c r="G29" s="21">
        <f>[39]XX!C17/1000000</f>
        <v>0</v>
      </c>
      <c r="H29" s="21">
        <f>[39]XX!F17/1000000</f>
        <v>0</v>
      </c>
      <c r="I29" s="21" t="str">
        <f t="shared" si="3"/>
        <v/>
      </c>
      <c r="J29" s="21">
        <f t="shared" si="4"/>
        <v>0</v>
      </c>
      <c r="K29" s="16"/>
    </row>
    <row r="30" spans="1:11" s="147" customFormat="1">
      <c r="A30" s="104"/>
      <c r="B30" s="128" t="str">
        <f>+[39]XX!A18</f>
        <v>Quindío</v>
      </c>
      <c r="C30" s="21">
        <f>[39]XX!B18/1000000</f>
        <v>0</v>
      </c>
      <c r="D30" s="21">
        <f>[39]XX!E18/1000000</f>
        <v>9.5565999999999998E-2</v>
      </c>
      <c r="E30" s="21" t="str">
        <f t="shared" ref="E30" si="5">IF(OR(OR(D30=0,C30=0),D30=""),"",(D30/C30-1)*100)</f>
        <v/>
      </c>
      <c r="F30" s="21">
        <f t="shared" ref="F30" si="6">(D30/D$13)*100</f>
        <v>1.6424961727248215E-2</v>
      </c>
      <c r="G30" s="21">
        <f>[39]XX!C18/1000000</f>
        <v>0</v>
      </c>
      <c r="H30" s="21">
        <f>[39]XX!F18/1000000</f>
        <v>2.6030999999999999E-2</v>
      </c>
      <c r="I30" s="21" t="str">
        <f t="shared" ref="I30" si="7">IF(OR(OR(H30=0,G30=0),H30=""),"",(H30/G30-1)*100)</f>
        <v/>
      </c>
      <c r="J30" s="21">
        <f t="shared" ref="J30" si="8">(H30/H$13)*100</f>
        <v>3.9451622328390321E-2</v>
      </c>
      <c r="K30" s="106"/>
    </row>
    <row r="31" spans="1:11" s="147" customFormat="1">
      <c r="A31" s="104"/>
      <c r="B31" s="128" t="str">
        <f>+[39]XX!A19</f>
        <v>Boyacá</v>
      </c>
      <c r="C31" s="21">
        <f>[39]XX!B19/1000000</f>
        <v>6.540849E-2</v>
      </c>
      <c r="D31" s="21">
        <f>[39]XX!E19/1000000</f>
        <v>1.7231880000000002E-2</v>
      </c>
      <c r="E31" s="21">
        <f t="shared" ref="E31:E32" si="9">IF(OR(OR(D31=0,C31=0),D31=""),"",(D31/C31-1)*100)</f>
        <v>-73.654979651724105</v>
      </c>
      <c r="F31" s="21">
        <f t="shared" ref="F31:F32" si="10">(D31/D$13)*100</f>
        <v>2.9616492213604627E-3</v>
      </c>
      <c r="G31" s="21">
        <f>[39]XX!C19/1000000</f>
        <v>6.2919489999999995E-2</v>
      </c>
      <c r="H31" s="21">
        <f>[39]XX!F19/1000000</f>
        <v>2.6600000000000001E-4</v>
      </c>
      <c r="I31" s="21">
        <f t="shared" ref="I31:I32" si="11">IF(OR(OR(H31=0,G31=0),H31=""),"",(H31/G31-1)*100)</f>
        <v>-99.577237514162945</v>
      </c>
      <c r="J31" s="21">
        <f t="shared" ref="J31:J32" si="12">(H31/H$13)*100</f>
        <v>4.0313977716383644E-4</v>
      </c>
      <c r="K31" s="106"/>
    </row>
    <row r="32" spans="1:11" s="147" customFormat="1">
      <c r="A32" s="104"/>
      <c r="B32" s="128" t="str">
        <f>+[39]XX!A20</f>
        <v>Amazonas</v>
      </c>
      <c r="C32" s="21">
        <f>[39]XX!B20/1000000</f>
        <v>0</v>
      </c>
      <c r="D32" s="21">
        <f>[39]XX!E20/1000000</f>
        <v>1.1179610000000001E-2</v>
      </c>
      <c r="E32" s="21" t="str">
        <f t="shared" si="9"/>
        <v/>
      </c>
      <c r="F32" s="21">
        <f t="shared" si="10"/>
        <v>1.9214434670862173E-3</v>
      </c>
      <c r="G32" s="21">
        <f>[39]XX!C20/1000000</f>
        <v>0</v>
      </c>
      <c r="H32" s="21">
        <f>[39]XX!F20/1000000</f>
        <v>0</v>
      </c>
      <c r="I32" s="21" t="str">
        <f t="shared" si="11"/>
        <v/>
      </c>
      <c r="J32" s="21">
        <f t="shared" si="12"/>
        <v>0</v>
      </c>
      <c r="K32" s="106"/>
    </row>
    <row r="33" spans="1:13" s="147" customFormat="1">
      <c r="A33" s="104"/>
      <c r="B33" s="128" t="str">
        <f>+[39]XX!A21</f>
        <v>San Andrés</v>
      </c>
      <c r="C33" s="21">
        <f>[39]XX!B21/1000000</f>
        <v>1.8790559999999998E-2</v>
      </c>
      <c r="D33" s="21">
        <f>[39]XX!E21/1000000</f>
        <v>7.4999999999999993E-5</v>
      </c>
      <c r="E33" s="21">
        <f t="shared" ref="E33:E34" si="13">IF(OR(OR(D33=0,C33=0),D33=""),"",(D33/C33-1)*100)</f>
        <v>-99.600863412266577</v>
      </c>
      <c r="F33" s="21">
        <f t="shared" ref="F33:F34" si="14">(D33/D$13)*100</f>
        <v>1.2890276139459809E-5</v>
      </c>
      <c r="G33" s="21">
        <f>[39]XX!C21/1000000</f>
        <v>0</v>
      </c>
      <c r="H33" s="21">
        <f>[39]XX!F21/1000000</f>
        <v>0</v>
      </c>
      <c r="I33" s="21" t="str">
        <f t="shared" ref="I33:I34" si="15">IF(OR(OR(H33=0,G33=0),H33=""),"",(H33/G33-1)*100)</f>
        <v/>
      </c>
      <c r="J33" s="21">
        <f t="shared" ref="J33:J34" si="16">(H33/H$13)*100</f>
        <v>0</v>
      </c>
      <c r="K33" s="106"/>
    </row>
    <row r="34" spans="1:13" s="147" customFormat="1">
      <c r="A34" s="104"/>
      <c r="B34" s="128" t="str">
        <f>+[39]XX!A22</f>
        <v>Aráuca</v>
      </c>
      <c r="C34" s="21">
        <f>[39]XX!B22/1000000</f>
        <v>2.7699999999999999E-3</v>
      </c>
      <c r="D34" s="21">
        <f>[39]XX!E22/1000000</f>
        <v>0</v>
      </c>
      <c r="E34" s="21" t="str">
        <f t="shared" si="13"/>
        <v/>
      </c>
      <c r="F34" s="21">
        <f t="shared" si="14"/>
        <v>0</v>
      </c>
      <c r="G34" s="21">
        <f>[39]XX!C22/1000000</f>
        <v>0</v>
      </c>
      <c r="H34" s="21">
        <f>[39]XX!F22/1000000</f>
        <v>0</v>
      </c>
      <c r="I34" s="21" t="str">
        <f t="shared" si="15"/>
        <v/>
      </c>
      <c r="J34" s="21">
        <f t="shared" si="16"/>
        <v>0</v>
      </c>
      <c r="K34" s="106"/>
    </row>
    <row r="35" spans="1:13" s="147" customFormat="1">
      <c r="A35" s="104"/>
      <c r="B35" s="128" t="str">
        <f>+[39]XX!A23</f>
        <v>Guajira</v>
      </c>
      <c r="C35" s="21">
        <f>[39]XX!B23/1000000</f>
        <v>4.0476999999999999E-2</v>
      </c>
      <c r="D35" s="21">
        <f>[39]XX!E23/1000000</f>
        <v>0</v>
      </c>
      <c r="E35" s="21" t="str">
        <f t="shared" ref="E35:E36" si="17">IF(OR(OR(D35=0,C35=0),D35=""),"",(D35/C35-1)*100)</f>
        <v/>
      </c>
      <c r="F35" s="21">
        <f t="shared" ref="F35:F36" si="18">(D35/D$13)*100</f>
        <v>0</v>
      </c>
      <c r="G35" s="21">
        <f>[39]XX!C23/1000000</f>
        <v>0</v>
      </c>
      <c r="H35" s="21">
        <f>[39]XX!F23/1000000</f>
        <v>0</v>
      </c>
      <c r="I35" s="21" t="str">
        <f t="shared" ref="I35:I36" si="19">IF(OR(OR(H35=0,G35=0),H35=""),"",(H35/G35-1)*100)</f>
        <v/>
      </c>
      <c r="J35" s="21">
        <f t="shared" ref="J35:J36" si="20">(H35/H$13)*100</f>
        <v>0</v>
      </c>
      <c r="K35" s="106"/>
    </row>
    <row r="36" spans="1:13" s="147" customFormat="1">
      <c r="A36" s="104"/>
      <c r="B36" s="128" t="str">
        <f>+[39]XX!A24</f>
        <v>Tolima</v>
      </c>
      <c r="C36" s="21">
        <f>[39]XX!B24/1000000</f>
        <v>2.6059099999999999E-3</v>
      </c>
      <c r="D36" s="21">
        <f>[39]XX!E24/1000000</f>
        <v>0</v>
      </c>
      <c r="E36" s="21" t="str">
        <f t="shared" si="17"/>
        <v/>
      </c>
      <c r="F36" s="21">
        <f t="shared" si="18"/>
        <v>0</v>
      </c>
      <c r="G36" s="21">
        <f>[39]XX!C24/1000000</f>
        <v>0</v>
      </c>
      <c r="H36" s="21">
        <f>[39]XX!F24/1000000</f>
        <v>0</v>
      </c>
      <c r="I36" s="21" t="str">
        <f t="shared" si="19"/>
        <v/>
      </c>
      <c r="J36" s="21">
        <f t="shared" si="20"/>
        <v>0</v>
      </c>
      <c r="K36" s="106"/>
    </row>
    <row r="37" spans="1:13" s="147" customFormat="1">
      <c r="A37" s="104"/>
      <c r="B37" s="128" t="str">
        <f>+[39]XX!A25</f>
        <v>Vaupés</v>
      </c>
      <c r="C37" s="21">
        <f>[39]XX!B25/1000000</f>
        <v>4.4135699999999995E-3</v>
      </c>
      <c r="D37" s="21">
        <f>[39]XX!E25/1000000</f>
        <v>0</v>
      </c>
      <c r="E37" s="21" t="str">
        <f t="shared" ref="E37" si="21">IF(OR(OR(D37=0,C37=0),D37=""),"",(D37/C37-1)*100)</f>
        <v/>
      </c>
      <c r="F37" s="21">
        <f t="shared" ref="F37" si="22">(D37/D$13)*100</f>
        <v>0</v>
      </c>
      <c r="G37" s="21">
        <f>[39]XX!C25/1000000</f>
        <v>0</v>
      </c>
      <c r="H37" s="21">
        <f>[39]XX!F25/1000000</f>
        <v>0</v>
      </c>
      <c r="I37" s="21" t="str">
        <f t="shared" ref="I37" si="23">IF(OR(OR(H37=0,G37=0),H37=""),"",(H37/G37-1)*100)</f>
        <v/>
      </c>
      <c r="J37" s="21">
        <f t="shared" ref="J37" si="24">(H37/H$13)*100</f>
        <v>0</v>
      </c>
      <c r="K37" s="10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tr">
        <f>IF(F38="","",1)</f>
        <v/>
      </c>
    </row>
    <row r="39" spans="1:1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2013-10-04T22:29:40Z</cp:lastPrinted>
  <dcterms:created xsi:type="dcterms:W3CDTF">2009-04-02T15:53:30Z</dcterms:created>
  <dcterms:modified xsi:type="dcterms:W3CDTF">2013-11-07T21:26:31Z</dcterms:modified>
</cp:coreProperties>
</file>