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4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tek'!$A$1:$K$46</definedName>
    <definedName name="_xlnm.Print_Area" localSheetId="33">'% impo baja tek'!$A$1:$K$47</definedName>
    <definedName name="_xlnm.Print_Area" localSheetId="30">'% impo bienes primarios'!$A$1:$K$41</definedName>
    <definedName name="_xlnm.Print_Area" localSheetId="31">'% impo manufacturas'!$A$1:$K$47</definedName>
    <definedName name="_xlnm.Print_Area" localSheetId="34">'% impo media tek'!$A$1:$K$47</definedName>
    <definedName name="_xlnm.Print_Area" localSheetId="32">'% impo rec naturales'!$A$1:$K$45</definedName>
    <definedName name="_xlnm.Print_Area" localSheetId="29">'% importaciones totales'!$A$1:$K$47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tek'!$A$1:$K$45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C10" i="155"/>
  <c r="E10"/>
  <c r="F10"/>
  <c r="G10"/>
  <c r="I10"/>
  <c r="J10"/>
  <c r="C11"/>
  <c r="D11"/>
  <c r="G11"/>
  <c r="H11"/>
  <c r="B14"/>
  <c r="C14"/>
  <c r="C13" s="1"/>
  <c r="D14"/>
  <c r="D13" s="1"/>
  <c r="G14"/>
  <c r="G13" s="1"/>
  <c r="H14"/>
  <c r="H13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M45"/>
  <c r="C10" i="154"/>
  <c r="E10"/>
  <c r="F10"/>
  <c r="J10" s="1"/>
  <c r="G10"/>
  <c r="I10"/>
  <c r="C11"/>
  <c r="D11"/>
  <c r="G11"/>
  <c r="H11"/>
  <c r="B1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M46"/>
  <c r="C10" i="153"/>
  <c r="E10"/>
  <c r="I10" s="1"/>
  <c r="F10"/>
  <c r="G10"/>
  <c r="J10"/>
  <c r="C11"/>
  <c r="D11"/>
  <c r="G11"/>
  <c r="H11"/>
  <c r="B14"/>
  <c r="C14"/>
  <c r="D14"/>
  <c r="E14"/>
  <c r="G14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M46"/>
  <c r="C10" i="152"/>
  <c r="E10"/>
  <c r="F10"/>
  <c r="J10" s="1"/>
  <c r="G10"/>
  <c r="I10"/>
  <c r="C11"/>
  <c r="D11"/>
  <c r="G11"/>
  <c r="H11"/>
  <c r="B14"/>
  <c r="C14"/>
  <c r="D14"/>
  <c r="G14"/>
  <c r="H14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M44"/>
  <c r="C10" i="151"/>
  <c r="E10"/>
  <c r="I10" s="1"/>
  <c r="F10"/>
  <c r="G10"/>
  <c r="J10"/>
  <c r="C11"/>
  <c r="D11"/>
  <c r="G11"/>
  <c r="H11"/>
  <c r="B14"/>
  <c r="C14"/>
  <c r="C13" s="1"/>
  <c r="D14"/>
  <c r="E14"/>
  <c r="G14"/>
  <c r="G13" s="1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M46"/>
  <c r="C10" i="150"/>
  <c r="E10"/>
  <c r="F10"/>
  <c r="J10" s="1"/>
  <c r="G10"/>
  <c r="I10"/>
  <c r="C11"/>
  <c r="D11"/>
  <c r="G11"/>
  <c r="H11"/>
  <c r="B14"/>
  <c r="C14"/>
  <c r="D14"/>
  <c r="D13" s="1"/>
  <c r="G14"/>
  <c r="H14"/>
  <c r="H13" s="1"/>
  <c r="B15"/>
  <c r="C15"/>
  <c r="C13" s="1"/>
  <c r="D15"/>
  <c r="E15"/>
  <c r="G15"/>
  <c r="G13" s="1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M40"/>
  <c r="C10" i="70"/>
  <c r="E10"/>
  <c r="I10" s="1"/>
  <c r="F10"/>
  <c r="G10"/>
  <c r="J10"/>
  <c r="C11"/>
  <c r="D11"/>
  <c r="G11"/>
  <c r="H11"/>
  <c r="B14"/>
  <c r="C14"/>
  <c r="C13" s="1"/>
  <c r="D14"/>
  <c r="E14"/>
  <c r="G14"/>
  <c r="G13" s="1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M46"/>
  <c r="I10" i="144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I10" i="143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I10" i="142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I10" i="141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I10" i="140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I10" i="139"/>
  <c r="J10"/>
  <c r="C11"/>
  <c r="D11"/>
  <c r="E11"/>
  <c r="F11"/>
  <c r="G11"/>
  <c r="C13"/>
  <c r="D13"/>
  <c r="E13"/>
  <c r="F13"/>
  <c r="I13" s="1"/>
  <c r="G13"/>
  <c r="H13"/>
  <c r="J13"/>
  <c r="M13"/>
  <c r="C14"/>
  <c r="C25" s="1"/>
  <c r="D26" s="1"/>
  <c r="D14"/>
  <c r="E14"/>
  <c r="E25" s="1"/>
  <c r="F14"/>
  <c r="G14"/>
  <c r="H14" s="1"/>
  <c r="I14"/>
  <c r="M14"/>
  <c r="C15"/>
  <c r="D15"/>
  <c r="E15"/>
  <c r="F15"/>
  <c r="I15" s="1"/>
  <c r="G15"/>
  <c r="H15"/>
  <c r="J15"/>
  <c r="M15"/>
  <c r="C16"/>
  <c r="D16"/>
  <c r="E16"/>
  <c r="F16"/>
  <c r="G16"/>
  <c r="H16" s="1"/>
  <c r="I16"/>
  <c r="M16"/>
  <c r="C17"/>
  <c r="D17"/>
  <c r="E17"/>
  <c r="F17"/>
  <c r="H17" s="1"/>
  <c r="I17"/>
  <c r="M17"/>
  <c r="C18"/>
  <c r="D18"/>
  <c r="E18"/>
  <c r="F18"/>
  <c r="H18" s="1"/>
  <c r="I18"/>
  <c r="M18"/>
  <c r="C19"/>
  <c r="D19"/>
  <c r="E19"/>
  <c r="F19"/>
  <c r="H19" s="1"/>
  <c r="I19"/>
  <c r="M19"/>
  <c r="C20"/>
  <c r="D20"/>
  <c r="E20"/>
  <c r="F20"/>
  <c r="H20" s="1"/>
  <c r="I20"/>
  <c r="M20"/>
  <c r="C21"/>
  <c r="D21"/>
  <c r="E21"/>
  <c r="F21"/>
  <c r="H21" s="1"/>
  <c r="I21"/>
  <c r="M21"/>
  <c r="C22"/>
  <c r="D22"/>
  <c r="E22"/>
  <c r="F22"/>
  <c r="H22" s="1"/>
  <c r="I22"/>
  <c r="M22"/>
  <c r="C23"/>
  <c r="D23"/>
  <c r="E23"/>
  <c r="F23"/>
  <c r="H23" s="1"/>
  <c r="I23"/>
  <c r="M23"/>
  <c r="C24"/>
  <c r="D24"/>
  <c r="E24"/>
  <c r="F24"/>
  <c r="H24" s="1"/>
  <c r="I24"/>
  <c r="M24"/>
  <c r="D25"/>
  <c r="F25"/>
  <c r="D28"/>
  <c r="F28"/>
  <c r="M32"/>
  <c r="M33"/>
  <c r="M34"/>
  <c r="M35"/>
  <c r="M36"/>
  <c r="M38"/>
  <c r="M39"/>
  <c r="M40"/>
  <c r="M41"/>
  <c r="H10" i="64"/>
  <c r="C13"/>
  <c r="D13"/>
  <c r="D25" s="1"/>
  <c r="E13"/>
  <c r="F13"/>
  <c r="I13" s="1"/>
  <c r="G13"/>
  <c r="H13"/>
  <c r="M13"/>
  <c r="C14"/>
  <c r="D14"/>
  <c r="E14"/>
  <c r="F14"/>
  <c r="G14"/>
  <c r="I14"/>
  <c r="M14"/>
  <c r="C15"/>
  <c r="D15"/>
  <c r="E15"/>
  <c r="F15"/>
  <c r="I15" s="1"/>
  <c r="G15"/>
  <c r="H15"/>
  <c r="J15"/>
  <c r="M15"/>
  <c r="C16"/>
  <c r="D16"/>
  <c r="E16"/>
  <c r="F16"/>
  <c r="G16"/>
  <c r="M16"/>
  <c r="C17"/>
  <c r="D17"/>
  <c r="E17"/>
  <c r="F17"/>
  <c r="M17"/>
  <c r="C18"/>
  <c r="D18"/>
  <c r="E18"/>
  <c r="F18"/>
  <c r="M18"/>
  <c r="C19"/>
  <c r="D19"/>
  <c r="E19"/>
  <c r="F19"/>
  <c r="M19"/>
  <c r="C20"/>
  <c r="D20"/>
  <c r="E20"/>
  <c r="F20"/>
  <c r="M20"/>
  <c r="C21"/>
  <c r="D21"/>
  <c r="E21"/>
  <c r="F21"/>
  <c r="M21"/>
  <c r="C22"/>
  <c r="D22"/>
  <c r="E22"/>
  <c r="F22"/>
  <c r="M22"/>
  <c r="C23"/>
  <c r="D23"/>
  <c r="E23"/>
  <c r="F23"/>
  <c r="M23"/>
  <c r="C24"/>
  <c r="D24"/>
  <c r="E24"/>
  <c r="F24"/>
  <c r="M24"/>
  <c r="F25"/>
  <c r="F28"/>
  <c r="M32"/>
  <c r="M33"/>
  <c r="M34"/>
  <c r="M35"/>
  <c r="M36"/>
  <c r="M38"/>
  <c r="M39"/>
  <c r="M40"/>
  <c r="M41"/>
  <c r="C10" i="156"/>
  <c r="E10"/>
  <c r="F10"/>
  <c r="J10" s="1"/>
  <c r="G10"/>
  <c r="I10"/>
  <c r="C11"/>
  <c r="D11"/>
  <c r="G11"/>
  <c r="H11"/>
  <c r="C15"/>
  <c r="C14" s="1"/>
  <c r="D15"/>
  <c r="D14" s="1"/>
  <c r="E15"/>
  <c r="G15"/>
  <c r="G14" s="1"/>
  <c r="I14" s="1"/>
  <c r="H15"/>
  <c r="H14" s="1"/>
  <c r="I15"/>
  <c r="C16"/>
  <c r="D16"/>
  <c r="E16"/>
  <c r="G16"/>
  <c r="H16"/>
  <c r="I16"/>
  <c r="C17"/>
  <c r="D17"/>
  <c r="E17"/>
  <c r="G17"/>
  <c r="H17"/>
  <c r="I17"/>
  <c r="C18"/>
  <c r="D18"/>
  <c r="E18"/>
  <c r="G18"/>
  <c r="H18"/>
  <c r="I18"/>
  <c r="C19"/>
  <c r="D19"/>
  <c r="E19"/>
  <c r="G19"/>
  <c r="H19"/>
  <c r="I19"/>
  <c r="C20"/>
  <c r="D20"/>
  <c r="E20"/>
  <c r="G20"/>
  <c r="H20"/>
  <c r="I20"/>
  <c r="C21"/>
  <c r="D21"/>
  <c r="E21"/>
  <c r="G21"/>
  <c r="H21"/>
  <c r="I21"/>
  <c r="C22"/>
  <c r="D22"/>
  <c r="E22"/>
  <c r="G22"/>
  <c r="H22"/>
  <c r="I22"/>
  <c r="C23"/>
  <c r="D23"/>
  <c r="E23"/>
  <c r="G23"/>
  <c r="H23"/>
  <c r="I23"/>
  <c r="C24"/>
  <c r="D24"/>
  <c r="E24"/>
  <c r="G24"/>
  <c r="H24"/>
  <c r="I24"/>
  <c r="C25"/>
  <c r="D25"/>
  <c r="E25"/>
  <c r="G25"/>
  <c r="H25"/>
  <c r="I25"/>
  <c r="C26"/>
  <c r="D26"/>
  <c r="E26"/>
  <c r="G26"/>
  <c r="H26"/>
  <c r="I26"/>
  <c r="C28"/>
  <c r="C27" s="1"/>
  <c r="D28"/>
  <c r="D27" s="1"/>
  <c r="E28"/>
  <c r="G28"/>
  <c r="G27" s="1"/>
  <c r="I27" s="1"/>
  <c r="H28"/>
  <c r="H27" s="1"/>
  <c r="I28"/>
  <c r="C29"/>
  <c r="D29"/>
  <c r="E29"/>
  <c r="G29"/>
  <c r="H29"/>
  <c r="I29"/>
  <c r="C30"/>
  <c r="D30"/>
  <c r="E30"/>
  <c r="G30"/>
  <c r="H30"/>
  <c r="I30"/>
  <c r="C31"/>
  <c r="D31"/>
  <c r="E31"/>
  <c r="G31"/>
  <c r="H31"/>
  <c r="I31"/>
  <c r="C32"/>
  <c r="D32"/>
  <c r="E32"/>
  <c r="G32"/>
  <c r="H32"/>
  <c r="I32"/>
  <c r="C33"/>
  <c r="D33"/>
  <c r="E33"/>
  <c r="G33"/>
  <c r="H33"/>
  <c r="I33"/>
  <c r="C34"/>
  <c r="D34"/>
  <c r="E34"/>
  <c r="G34"/>
  <c r="H34"/>
  <c r="I34"/>
  <c r="C35"/>
  <c r="D35"/>
  <c r="E35"/>
  <c r="G35"/>
  <c r="H35"/>
  <c r="I35"/>
  <c r="C37"/>
  <c r="C36" s="1"/>
  <c r="D37"/>
  <c r="D36" s="1"/>
  <c r="E37"/>
  <c r="G37"/>
  <c r="G36" s="1"/>
  <c r="H37"/>
  <c r="I37"/>
  <c r="C38"/>
  <c r="D38"/>
  <c r="E38"/>
  <c r="G38"/>
  <c r="H38"/>
  <c r="I38"/>
  <c r="C39"/>
  <c r="D39"/>
  <c r="E39"/>
  <c r="G39"/>
  <c r="H39"/>
  <c r="I39"/>
  <c r="C40"/>
  <c r="D40"/>
  <c r="E40"/>
  <c r="G40"/>
  <c r="H40"/>
  <c r="I40"/>
  <c r="C41"/>
  <c r="D41"/>
  <c r="E41"/>
  <c r="G41"/>
  <c r="H41"/>
  <c r="I41"/>
  <c r="C42"/>
  <c r="D42"/>
  <c r="E42"/>
  <c r="G42"/>
  <c r="H42"/>
  <c r="I42"/>
  <c r="C43"/>
  <c r="D43"/>
  <c r="E43"/>
  <c r="G43"/>
  <c r="H43"/>
  <c r="I43"/>
  <c r="C44"/>
  <c r="D44"/>
  <c r="E44"/>
  <c r="G44"/>
  <c r="H44"/>
  <c r="I44"/>
  <c r="C45"/>
  <c r="D45"/>
  <c r="E45"/>
  <c r="G45"/>
  <c r="H45"/>
  <c r="I45"/>
  <c r="C46"/>
  <c r="D46"/>
  <c r="E46"/>
  <c r="G46"/>
  <c r="H46"/>
  <c r="I46"/>
  <c r="C47"/>
  <c r="D47"/>
  <c r="E47"/>
  <c r="G47"/>
  <c r="H47"/>
  <c r="I47"/>
  <c r="C48"/>
  <c r="D48"/>
  <c r="E48"/>
  <c r="G48"/>
  <c r="H48"/>
  <c r="I48"/>
  <c r="C49"/>
  <c r="D49"/>
  <c r="E49"/>
  <c r="G49"/>
  <c r="H49"/>
  <c r="I49"/>
  <c r="C10" i="132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C10" i="138"/>
  <c r="E10"/>
  <c r="I10" s="1"/>
  <c r="F10"/>
  <c r="G10"/>
  <c r="J10"/>
  <c r="C11"/>
  <c r="D11"/>
  <c r="G11"/>
  <c r="H11"/>
  <c r="B14"/>
  <c r="C14"/>
  <c r="D14"/>
  <c r="E14"/>
  <c r="G14"/>
  <c r="H14"/>
  <c r="I14"/>
  <c r="B15"/>
  <c r="C15"/>
  <c r="D15"/>
  <c r="E15" s="1"/>
  <c r="G15"/>
  <c r="H15"/>
  <c r="I15" s="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B45"/>
  <c r="C45"/>
  <c r="D45"/>
  <c r="E45" s="1"/>
  <c r="G45"/>
  <c r="H45"/>
  <c r="I45" s="1"/>
  <c r="B46"/>
  <c r="C46"/>
  <c r="D46"/>
  <c r="E46"/>
  <c r="G46"/>
  <c r="H46"/>
  <c r="I46"/>
  <c r="C10" i="107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B45"/>
  <c r="C45"/>
  <c r="D45"/>
  <c r="E45"/>
  <c r="G45"/>
  <c r="H45"/>
  <c r="I45"/>
  <c r="B46"/>
  <c r="C46"/>
  <c r="D46"/>
  <c r="E46" s="1"/>
  <c r="G46"/>
  <c r="H46"/>
  <c r="I46" s="1"/>
  <c r="B47"/>
  <c r="C47"/>
  <c r="D47"/>
  <c r="E47"/>
  <c r="G47"/>
  <c r="H47"/>
  <c r="I47"/>
  <c r="C10" i="161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C10" i="162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C10" i="160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C10" i="159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C10" i="158"/>
  <c r="E10"/>
  <c r="F10"/>
  <c r="J10" s="1"/>
  <c r="G10"/>
  <c r="I10"/>
  <c r="C11"/>
  <c r="D11"/>
  <c r="G11"/>
  <c r="H11"/>
  <c r="B14"/>
  <c r="C14"/>
  <c r="D14"/>
  <c r="E14" s="1"/>
  <c r="G14"/>
  <c r="H14"/>
  <c r="I14" s="1"/>
  <c r="B15"/>
  <c r="C15"/>
  <c r="D15"/>
  <c r="E15"/>
  <c r="G15"/>
  <c r="H15"/>
  <c r="I15"/>
  <c r="B16"/>
  <c r="C16"/>
  <c r="D16"/>
  <c r="E16" s="1"/>
  <c r="G16"/>
  <c r="H16"/>
  <c r="I16" s="1"/>
  <c r="B17"/>
  <c r="C17"/>
  <c r="D17"/>
  <c r="E17"/>
  <c r="G17"/>
  <c r="H17"/>
  <c r="I17"/>
  <c r="B18"/>
  <c r="C18"/>
  <c r="D18"/>
  <c r="E18" s="1"/>
  <c r="G18"/>
  <c r="H18"/>
  <c r="I18" s="1"/>
  <c r="B19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C10" i="130"/>
  <c r="E10"/>
  <c r="F10"/>
  <c r="J10" s="1"/>
  <c r="G10"/>
  <c r="I10"/>
  <c r="C11"/>
  <c r="D11"/>
  <c r="G11"/>
  <c r="H11"/>
  <c r="B16"/>
  <c r="C16"/>
  <c r="D16"/>
  <c r="G16"/>
  <c r="H16"/>
  <c r="B17"/>
  <c r="C17"/>
  <c r="C15" s="1"/>
  <c r="D17"/>
  <c r="E17"/>
  <c r="G17"/>
  <c r="G15" s="1"/>
  <c r="H17"/>
  <c r="I17"/>
  <c r="B19"/>
  <c r="C19"/>
  <c r="D19"/>
  <c r="G19"/>
  <c r="H19"/>
  <c r="B20"/>
  <c r="C20"/>
  <c r="C18" s="1"/>
  <c r="D20"/>
  <c r="E20"/>
  <c r="G20"/>
  <c r="H20"/>
  <c r="I20"/>
  <c r="B21"/>
  <c r="C21"/>
  <c r="D21"/>
  <c r="E21" s="1"/>
  <c r="G21"/>
  <c r="H21"/>
  <c r="I21" s="1"/>
  <c r="B22"/>
  <c r="C22"/>
  <c r="D22"/>
  <c r="E22"/>
  <c r="G22"/>
  <c r="G18" s="1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C10" i="129"/>
  <c r="E10"/>
  <c r="I10" s="1"/>
  <c r="F10"/>
  <c r="G10"/>
  <c r="J10"/>
  <c r="C11"/>
  <c r="D11"/>
  <c r="G11"/>
  <c r="H11"/>
  <c r="B16"/>
  <c r="C16"/>
  <c r="C15" s="1"/>
  <c r="D16"/>
  <c r="E16"/>
  <c r="G16"/>
  <c r="G15" s="1"/>
  <c r="H16"/>
  <c r="I16"/>
  <c r="B17"/>
  <c r="C17"/>
  <c r="D17"/>
  <c r="D15" s="1"/>
  <c r="G17"/>
  <c r="H17"/>
  <c r="H15" s="1"/>
  <c r="B18"/>
  <c r="C18"/>
  <c r="D18"/>
  <c r="E18"/>
  <c r="G18"/>
  <c r="H18"/>
  <c r="I18"/>
  <c r="B20"/>
  <c r="C20"/>
  <c r="D20"/>
  <c r="D19" s="1"/>
  <c r="G20"/>
  <c r="H20"/>
  <c r="H19" s="1"/>
  <c r="B21"/>
  <c r="C21"/>
  <c r="C19" s="1"/>
  <c r="D21"/>
  <c r="E21"/>
  <c r="G21"/>
  <c r="G19" s="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1"/>
  <c r="C31"/>
  <c r="D31"/>
  <c r="D30" s="1"/>
  <c r="G31"/>
  <c r="H31"/>
  <c r="H30" s="1"/>
  <c r="B32"/>
  <c r="C32"/>
  <c r="C30" s="1"/>
  <c r="D32"/>
  <c r="E32"/>
  <c r="G32"/>
  <c r="G30" s="1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C10" i="128"/>
  <c r="E10"/>
  <c r="F10"/>
  <c r="J10" s="1"/>
  <c r="G10"/>
  <c r="I10"/>
  <c r="C11"/>
  <c r="D11"/>
  <c r="G11"/>
  <c r="H11"/>
  <c r="B16"/>
  <c r="C16"/>
  <c r="D16"/>
  <c r="D15" s="1"/>
  <c r="G16"/>
  <c r="H16"/>
  <c r="H15" s="1"/>
  <c r="B17"/>
  <c r="C17"/>
  <c r="C15" s="1"/>
  <c r="D17"/>
  <c r="E17"/>
  <c r="G17"/>
  <c r="G15" s="1"/>
  <c r="H17"/>
  <c r="I17"/>
  <c r="B18"/>
  <c r="C18"/>
  <c r="D18"/>
  <c r="E18" s="1"/>
  <c r="G18"/>
  <c r="H18"/>
  <c r="I18" s="1"/>
  <c r="B20"/>
  <c r="C20"/>
  <c r="C19" s="1"/>
  <c r="D20"/>
  <c r="E20"/>
  <c r="G20"/>
  <c r="G19" s="1"/>
  <c r="H20"/>
  <c r="I20"/>
  <c r="B21"/>
  <c r="C21"/>
  <c r="D21"/>
  <c r="D19" s="1"/>
  <c r="G21"/>
  <c r="H21"/>
  <c r="H19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1"/>
  <c r="C31"/>
  <c r="C30" s="1"/>
  <c r="D31"/>
  <c r="E31"/>
  <c r="G31"/>
  <c r="G30" s="1"/>
  <c r="H31"/>
  <c r="I31"/>
  <c r="B32"/>
  <c r="C32"/>
  <c r="D32"/>
  <c r="D30" s="1"/>
  <c r="G32"/>
  <c r="H32"/>
  <c r="H30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C10" i="125"/>
  <c r="E10"/>
  <c r="I10" s="1"/>
  <c r="F10"/>
  <c r="G10"/>
  <c r="J10"/>
  <c r="C11"/>
  <c r="D11"/>
  <c r="G11"/>
  <c r="H11"/>
  <c r="B16"/>
  <c r="C16"/>
  <c r="C15" s="1"/>
  <c r="D16"/>
  <c r="E16"/>
  <c r="G16"/>
  <c r="G15" s="1"/>
  <c r="H16"/>
  <c r="I16"/>
  <c r="B17"/>
  <c r="C17"/>
  <c r="D17"/>
  <c r="D15" s="1"/>
  <c r="G17"/>
  <c r="H17"/>
  <c r="H15" s="1"/>
  <c r="B18"/>
  <c r="C18"/>
  <c r="D18"/>
  <c r="E18"/>
  <c r="G18"/>
  <c r="H18"/>
  <c r="I18"/>
  <c r="B20"/>
  <c r="C20"/>
  <c r="D20"/>
  <c r="D19" s="1"/>
  <c r="G20"/>
  <c r="H20"/>
  <c r="H19" s="1"/>
  <c r="B21"/>
  <c r="C21"/>
  <c r="C19" s="1"/>
  <c r="D21"/>
  <c r="E21"/>
  <c r="G21"/>
  <c r="G19" s="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1"/>
  <c r="C31"/>
  <c r="D31"/>
  <c r="D30" s="1"/>
  <c r="G31"/>
  <c r="H31"/>
  <c r="H30" s="1"/>
  <c r="B32"/>
  <c r="C32"/>
  <c r="C30" s="1"/>
  <c r="D32"/>
  <c r="E32"/>
  <c r="G32"/>
  <c r="G30" s="1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C10" i="126"/>
  <c r="E10"/>
  <c r="F10"/>
  <c r="J10" s="1"/>
  <c r="G10"/>
  <c r="I10"/>
  <c r="C11"/>
  <c r="D11"/>
  <c r="G11"/>
  <c r="H11"/>
  <c r="B16"/>
  <c r="C16"/>
  <c r="D16"/>
  <c r="D15" s="1"/>
  <c r="G16"/>
  <c r="H16"/>
  <c r="H15" s="1"/>
  <c r="B17"/>
  <c r="C17"/>
  <c r="C15" s="1"/>
  <c r="D17"/>
  <c r="E17"/>
  <c r="G17"/>
  <c r="G15" s="1"/>
  <c r="H17"/>
  <c r="I17"/>
  <c r="B18"/>
  <c r="C18"/>
  <c r="D18"/>
  <c r="E18" s="1"/>
  <c r="G18"/>
  <c r="H18"/>
  <c r="I18" s="1"/>
  <c r="B20"/>
  <c r="C20"/>
  <c r="C19" s="1"/>
  <c r="D20"/>
  <c r="E20"/>
  <c r="G20"/>
  <c r="G19" s="1"/>
  <c r="H20"/>
  <c r="I20"/>
  <c r="B21"/>
  <c r="C21"/>
  <c r="D21"/>
  <c r="D19" s="1"/>
  <c r="G21"/>
  <c r="H21"/>
  <c r="H19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1"/>
  <c r="C31"/>
  <c r="C30" s="1"/>
  <c r="D31"/>
  <c r="E31"/>
  <c r="G31"/>
  <c r="G30" s="1"/>
  <c r="H31"/>
  <c r="I31"/>
  <c r="B32"/>
  <c r="C32"/>
  <c r="D32"/>
  <c r="D30" s="1"/>
  <c r="G32"/>
  <c r="H32"/>
  <c r="H30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C10" i="124"/>
  <c r="E10"/>
  <c r="I10" s="1"/>
  <c r="F10"/>
  <c r="G10"/>
  <c r="J10"/>
  <c r="C11"/>
  <c r="D11"/>
  <c r="G11"/>
  <c r="H11"/>
  <c r="B16"/>
  <c r="C16"/>
  <c r="C15" s="1"/>
  <c r="D16"/>
  <c r="E16"/>
  <c r="G16"/>
  <c r="G15" s="1"/>
  <c r="H16"/>
  <c r="I16"/>
  <c r="B17"/>
  <c r="C17"/>
  <c r="D17"/>
  <c r="D15" s="1"/>
  <c r="G17"/>
  <c r="H17"/>
  <c r="H15" s="1"/>
  <c r="B18"/>
  <c r="C18"/>
  <c r="D18"/>
  <c r="E18"/>
  <c r="G18"/>
  <c r="H18"/>
  <c r="I18"/>
  <c r="B20"/>
  <c r="C20"/>
  <c r="D20"/>
  <c r="G20"/>
  <c r="H20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1"/>
  <c r="C31"/>
  <c r="D31"/>
  <c r="F31" s="1"/>
  <c r="G31"/>
  <c r="H31"/>
  <c r="B32"/>
  <c r="C32"/>
  <c r="C30" s="1"/>
  <c r="D32"/>
  <c r="E32"/>
  <c r="G32"/>
  <c r="H32"/>
  <c r="I32"/>
  <c r="B33"/>
  <c r="C33"/>
  <c r="D33"/>
  <c r="E33" s="1"/>
  <c r="G33"/>
  <c r="H33"/>
  <c r="I33" s="1"/>
  <c r="B34"/>
  <c r="C34"/>
  <c r="D34"/>
  <c r="E34"/>
  <c r="G34"/>
  <c r="G30" s="1"/>
  <c r="H34"/>
  <c r="I34"/>
  <c r="B35"/>
  <c r="C35"/>
  <c r="D35"/>
  <c r="E35" s="1"/>
  <c r="G35"/>
  <c r="H35"/>
  <c r="I35" s="1"/>
  <c r="B36"/>
  <c r="C36"/>
  <c r="D36"/>
  <c r="E36"/>
  <c r="G36"/>
  <c r="H36"/>
  <c r="I36"/>
  <c r="B37"/>
  <c r="C37"/>
  <c r="D37"/>
  <c r="E37" s="1"/>
  <c r="G37"/>
  <c r="H37"/>
  <c r="I37" s="1"/>
  <c r="B38"/>
  <c r="C38"/>
  <c r="D38"/>
  <c r="E38"/>
  <c r="G38"/>
  <c r="H38"/>
  <c r="I38"/>
  <c r="B39"/>
  <c r="C39"/>
  <c r="D39"/>
  <c r="E39" s="1"/>
  <c r="G39"/>
  <c r="H39"/>
  <c r="I39" s="1"/>
  <c r="B40"/>
  <c r="C40"/>
  <c r="D40"/>
  <c r="E40"/>
  <c r="G40"/>
  <c r="H40"/>
  <c r="I40"/>
  <c r="B41"/>
  <c r="C41"/>
  <c r="D41"/>
  <c r="E41" s="1"/>
  <c r="G41"/>
  <c r="H41"/>
  <c r="I41" s="1"/>
  <c r="B42"/>
  <c r="C42"/>
  <c r="D42"/>
  <c r="E42"/>
  <c r="G42"/>
  <c r="H42"/>
  <c r="I42"/>
  <c r="B43"/>
  <c r="C43"/>
  <c r="D43"/>
  <c r="E43" s="1"/>
  <c r="G43"/>
  <c r="H43"/>
  <c r="I43" s="1"/>
  <c r="B44"/>
  <c r="C44"/>
  <c r="D44"/>
  <c r="E44"/>
  <c r="G44"/>
  <c r="H44"/>
  <c r="I44"/>
  <c r="C10" i="120"/>
  <c r="E10"/>
  <c r="F10"/>
  <c r="J10" s="1"/>
  <c r="G10"/>
  <c r="I10"/>
  <c r="C11"/>
  <c r="D11"/>
  <c r="G11"/>
  <c r="H11"/>
  <c r="B16"/>
  <c r="C16"/>
  <c r="D16"/>
  <c r="G16"/>
  <c r="H16"/>
  <c r="B17"/>
  <c r="C17"/>
  <c r="C15" s="1"/>
  <c r="D17"/>
  <c r="E17"/>
  <c r="G17"/>
  <c r="G15" s="1"/>
  <c r="H17"/>
  <c r="I17"/>
  <c r="B18"/>
  <c r="C18"/>
  <c r="D18"/>
  <c r="E18" s="1"/>
  <c r="G18"/>
  <c r="H18"/>
  <c r="I18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1"/>
  <c r="C31"/>
  <c r="C30" s="1"/>
  <c r="D31"/>
  <c r="D30" s="1"/>
  <c r="E31"/>
  <c r="G31"/>
  <c r="G30" s="1"/>
  <c r="H31"/>
  <c r="H30" s="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B44"/>
  <c r="C44"/>
  <c r="D44"/>
  <c r="E44" s="1"/>
  <c r="G44"/>
  <c r="H44"/>
  <c r="I44" s="1"/>
  <c r="C10" i="119"/>
  <c r="E10"/>
  <c r="I10" s="1"/>
  <c r="F10"/>
  <c r="G10"/>
  <c r="J10"/>
  <c r="C11"/>
  <c r="D11"/>
  <c r="G11"/>
  <c r="H1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D24"/>
  <c r="E24"/>
  <c r="G24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B36"/>
  <c r="C36"/>
  <c r="D36"/>
  <c r="E36"/>
  <c r="G36"/>
  <c r="H36"/>
  <c r="I36"/>
  <c r="C37"/>
  <c r="D37"/>
  <c r="E37"/>
  <c r="G37"/>
  <c r="H37"/>
  <c r="I37"/>
  <c r="C38"/>
  <c r="G38"/>
  <c r="M39"/>
  <c r="C10" i="67"/>
  <c r="E10"/>
  <c r="I10" s="1"/>
  <c r="F10"/>
  <c r="G10"/>
  <c r="J10"/>
  <c r="C11"/>
  <c r="D11"/>
  <c r="G11"/>
  <c r="H11"/>
  <c r="B16"/>
  <c r="C16"/>
  <c r="D16"/>
  <c r="E16"/>
  <c r="G16"/>
  <c r="H16"/>
  <c r="I16"/>
  <c r="B17"/>
  <c r="C17"/>
  <c r="D17"/>
  <c r="E17" s="1"/>
  <c r="G17"/>
  <c r="H17"/>
  <c r="I17" s="1"/>
  <c r="B18"/>
  <c r="C18"/>
  <c r="D18"/>
  <c r="E18"/>
  <c r="G18"/>
  <c r="H18"/>
  <c r="I18"/>
  <c r="B19"/>
  <c r="C19"/>
  <c r="D19"/>
  <c r="E19" s="1"/>
  <c r="G19"/>
  <c r="H19"/>
  <c r="I19" s="1"/>
  <c r="B20"/>
  <c r="C20"/>
  <c r="D20"/>
  <c r="E20"/>
  <c r="G20"/>
  <c r="H20"/>
  <c r="I20"/>
  <c r="B21"/>
  <c r="C21"/>
  <c r="D21"/>
  <c r="E21" s="1"/>
  <c r="G21"/>
  <c r="H21"/>
  <c r="I21" s="1"/>
  <c r="B22"/>
  <c r="C22"/>
  <c r="D22"/>
  <c r="E22"/>
  <c r="G22"/>
  <c r="H22"/>
  <c r="I22"/>
  <c r="B23"/>
  <c r="C23"/>
  <c r="D23"/>
  <c r="E23" s="1"/>
  <c r="G23"/>
  <c r="H23"/>
  <c r="I23" s="1"/>
  <c r="B24"/>
  <c r="C24"/>
  <c r="C37" s="1"/>
  <c r="D24"/>
  <c r="E24"/>
  <c r="G24"/>
  <c r="G37" s="1"/>
  <c r="H24"/>
  <c r="I24"/>
  <c r="B25"/>
  <c r="C25"/>
  <c r="D25"/>
  <c r="E25" s="1"/>
  <c r="G25"/>
  <c r="H25"/>
  <c r="I25" s="1"/>
  <c r="B26"/>
  <c r="C26"/>
  <c r="D26"/>
  <c r="E26"/>
  <c r="G26"/>
  <c r="H26"/>
  <c r="I26"/>
  <c r="B27"/>
  <c r="C27"/>
  <c r="D27"/>
  <c r="E27" s="1"/>
  <c r="G27"/>
  <c r="H27"/>
  <c r="I27" s="1"/>
  <c r="B28"/>
  <c r="C28"/>
  <c r="D28"/>
  <c r="E28"/>
  <c r="G28"/>
  <c r="H28"/>
  <c r="I28"/>
  <c r="B29"/>
  <c r="C29"/>
  <c r="D29"/>
  <c r="E29" s="1"/>
  <c r="G29"/>
  <c r="H29"/>
  <c r="I29" s="1"/>
  <c r="B30"/>
  <c r="C30"/>
  <c r="D30"/>
  <c r="E30"/>
  <c r="G30"/>
  <c r="H30"/>
  <c r="I30"/>
  <c r="B31"/>
  <c r="C31"/>
  <c r="D31"/>
  <c r="E31" s="1"/>
  <c r="G31"/>
  <c r="H31"/>
  <c r="I31" s="1"/>
  <c r="B32"/>
  <c r="C32"/>
  <c r="D32"/>
  <c r="E32"/>
  <c r="G32"/>
  <c r="H32"/>
  <c r="I32"/>
  <c r="B33"/>
  <c r="C33"/>
  <c r="D33"/>
  <c r="E33" s="1"/>
  <c r="G33"/>
  <c r="H33"/>
  <c r="I33" s="1"/>
  <c r="B34"/>
  <c r="C34"/>
  <c r="D34"/>
  <c r="E34"/>
  <c r="G34"/>
  <c r="H34"/>
  <c r="I34"/>
  <c r="B35"/>
  <c r="C35"/>
  <c r="D35"/>
  <c r="E35" s="1"/>
  <c r="G35"/>
  <c r="H35"/>
  <c r="I35" s="1"/>
  <c r="C36"/>
  <c r="D36"/>
  <c r="E36" s="1"/>
  <c r="G36"/>
  <c r="H36"/>
  <c r="I36" s="1"/>
  <c r="D37"/>
  <c r="H37"/>
  <c r="I37" s="1"/>
  <c r="M38"/>
  <c r="C10" i="157"/>
  <c r="E10"/>
  <c r="F10"/>
  <c r="J10" s="1"/>
  <c r="G10"/>
  <c r="I10"/>
  <c r="C11"/>
  <c r="D11"/>
  <c r="G11"/>
  <c r="H11"/>
  <c r="B14"/>
  <c r="C14"/>
  <c r="C13" i="158" s="1"/>
  <c r="C44" s="1"/>
  <c r="D14" i="157"/>
  <c r="D13" i="158" s="1"/>
  <c r="G14" i="157"/>
  <c r="G13" i="158" s="1"/>
  <c r="G44" s="1"/>
  <c r="H14" i="157"/>
  <c r="H13" i="158" s="1"/>
  <c r="B15" i="157"/>
  <c r="C15"/>
  <c r="C13" i="159" s="1"/>
  <c r="C44" s="1"/>
  <c r="D15" i="157"/>
  <c r="D13" i="159" s="1"/>
  <c r="E15" i="157"/>
  <c r="G15"/>
  <c r="G13" i="159" s="1"/>
  <c r="G44" s="1"/>
  <c r="H15" i="157"/>
  <c r="H13" i="159" s="1"/>
  <c r="I15" i="157"/>
  <c r="B16"/>
  <c r="C16"/>
  <c r="C13" i="160" s="1"/>
  <c r="C44" s="1"/>
  <c r="D16" i="157"/>
  <c r="D13" i="160" s="1"/>
  <c r="G16" i="157"/>
  <c r="G13" i="160" s="1"/>
  <c r="G44" s="1"/>
  <c r="H16" i="157"/>
  <c r="H13" i="160" s="1"/>
  <c r="B17" i="157"/>
  <c r="C17"/>
  <c r="C13" i="161" s="1"/>
  <c r="C44" s="1"/>
  <c r="D17" i="157"/>
  <c r="D13" i="161" s="1"/>
  <c r="E17" i="157"/>
  <c r="G17"/>
  <c r="G13" i="161" s="1"/>
  <c r="G44" s="1"/>
  <c r="H17" i="157"/>
  <c r="H13" i="161" s="1"/>
  <c r="I17" i="157"/>
  <c r="B18"/>
  <c r="C18"/>
  <c r="C13" i="162" s="1"/>
  <c r="C44" s="1"/>
  <c r="D18" i="157"/>
  <c r="D13" i="162" s="1"/>
  <c r="G18" i="157"/>
  <c r="G13" i="162" s="1"/>
  <c r="G44" s="1"/>
  <c r="H18" i="157"/>
  <c r="H13" i="162" s="1"/>
  <c r="B19" i="157"/>
  <c r="C19"/>
  <c r="D19"/>
  <c r="E19"/>
  <c r="G19"/>
  <c r="H19"/>
  <c r="I19"/>
  <c r="B20"/>
  <c r="C20"/>
  <c r="D20"/>
  <c r="E20" s="1"/>
  <c r="G20"/>
  <c r="H20"/>
  <c r="I20" s="1"/>
  <c r="B21"/>
  <c r="C21"/>
  <c r="D21"/>
  <c r="E21"/>
  <c r="G21"/>
  <c r="H21"/>
  <c r="I21"/>
  <c r="B22"/>
  <c r="C22"/>
  <c r="D22"/>
  <c r="E22" s="1"/>
  <c r="G22"/>
  <c r="H22"/>
  <c r="I22" s="1"/>
  <c r="B23"/>
  <c r="C23"/>
  <c r="D23"/>
  <c r="E23"/>
  <c r="G23"/>
  <c r="H23"/>
  <c r="I23"/>
  <c r="B24"/>
  <c r="C24"/>
  <c r="D24"/>
  <c r="E24" s="1"/>
  <c r="G24"/>
  <c r="H24"/>
  <c r="I24" s="1"/>
  <c r="B25"/>
  <c r="C25"/>
  <c r="D25"/>
  <c r="E25"/>
  <c r="G25"/>
  <c r="H25"/>
  <c r="I25"/>
  <c r="B26"/>
  <c r="C26"/>
  <c r="D26"/>
  <c r="E26" s="1"/>
  <c r="G26"/>
  <c r="H26"/>
  <c r="I26" s="1"/>
  <c r="B27"/>
  <c r="C27"/>
  <c r="D27"/>
  <c r="E27"/>
  <c r="G27"/>
  <c r="H27"/>
  <c r="I27"/>
  <c r="B28"/>
  <c r="C28"/>
  <c r="D28"/>
  <c r="E28" s="1"/>
  <c r="G28"/>
  <c r="H28"/>
  <c r="I28" s="1"/>
  <c r="B29"/>
  <c r="C29"/>
  <c r="D29"/>
  <c r="E29"/>
  <c r="G29"/>
  <c r="H29"/>
  <c r="I29"/>
  <c r="B30"/>
  <c r="C30"/>
  <c r="D30"/>
  <c r="E30" s="1"/>
  <c r="G30"/>
  <c r="H30"/>
  <c r="I30" s="1"/>
  <c r="B31"/>
  <c r="C31"/>
  <c r="D31"/>
  <c r="E31"/>
  <c r="G31"/>
  <c r="H31"/>
  <c r="I31"/>
  <c r="B32"/>
  <c r="C32"/>
  <c r="D32"/>
  <c r="E32" s="1"/>
  <c r="G32"/>
  <c r="H32"/>
  <c r="I32" s="1"/>
  <c r="B33"/>
  <c r="C33"/>
  <c r="D33"/>
  <c r="E33"/>
  <c r="G33"/>
  <c r="H33"/>
  <c r="I33"/>
  <c r="B34"/>
  <c r="C34"/>
  <c r="D34"/>
  <c r="E34" s="1"/>
  <c r="G34"/>
  <c r="H34"/>
  <c r="I34" s="1"/>
  <c r="B35"/>
  <c r="C35"/>
  <c r="D35"/>
  <c r="E35"/>
  <c r="G35"/>
  <c r="H35"/>
  <c r="I35"/>
  <c r="B36"/>
  <c r="C36"/>
  <c r="D36"/>
  <c r="E36" s="1"/>
  <c r="G36"/>
  <c r="H36"/>
  <c r="I36" s="1"/>
  <c r="B37"/>
  <c r="C37"/>
  <c r="D37"/>
  <c r="E37"/>
  <c r="G37"/>
  <c r="H37"/>
  <c r="I37"/>
  <c r="B38"/>
  <c r="C38"/>
  <c r="D38"/>
  <c r="E38" s="1"/>
  <c r="G38"/>
  <c r="H38"/>
  <c r="I38" s="1"/>
  <c r="B39"/>
  <c r="C39"/>
  <c r="D39"/>
  <c r="E39"/>
  <c r="G39"/>
  <c r="H39"/>
  <c r="I39"/>
  <c r="B40"/>
  <c r="C40"/>
  <c r="D40"/>
  <c r="E40" s="1"/>
  <c r="G40"/>
  <c r="H40"/>
  <c r="I40" s="1"/>
  <c r="B41"/>
  <c r="C41"/>
  <c r="D41"/>
  <c r="E41"/>
  <c r="G41"/>
  <c r="H41"/>
  <c r="I41"/>
  <c r="B42"/>
  <c r="C42"/>
  <c r="D42"/>
  <c r="E42" s="1"/>
  <c r="G42"/>
  <c r="H42"/>
  <c r="I42" s="1"/>
  <c r="B43"/>
  <c r="C43"/>
  <c r="D43"/>
  <c r="E43"/>
  <c r="G43"/>
  <c r="H43"/>
  <c r="I43"/>
  <c r="I10" i="19"/>
  <c r="J10"/>
  <c r="C13"/>
  <c r="C13" i="120" s="1"/>
  <c r="D13" i="19"/>
  <c r="D13" i="119" s="1"/>
  <c r="E13" i="19"/>
  <c r="F13"/>
  <c r="G13"/>
  <c r="H13"/>
  <c r="H13" i="119" s="1"/>
  <c r="I13" i="19"/>
  <c r="J13"/>
  <c r="B14"/>
  <c r="C14"/>
  <c r="D14"/>
  <c r="E14" s="1"/>
  <c r="F14"/>
  <c r="G14"/>
  <c r="H14"/>
  <c r="I14" s="1"/>
  <c r="J14"/>
  <c r="B15"/>
  <c r="C15"/>
  <c r="D15"/>
  <c r="E15"/>
  <c r="F15"/>
  <c r="G15"/>
  <c r="H15"/>
  <c r="I15"/>
  <c r="J15"/>
  <c r="B16"/>
  <c r="C16"/>
  <c r="D16"/>
  <c r="E16" s="1"/>
  <c r="F16"/>
  <c r="G16"/>
  <c r="H16"/>
  <c r="I16" s="1"/>
  <c r="J16"/>
  <c r="B17"/>
  <c r="C17"/>
  <c r="D17"/>
  <c r="E17"/>
  <c r="F17"/>
  <c r="G17"/>
  <c r="H17"/>
  <c r="I17"/>
  <c r="J17"/>
  <c r="B18"/>
  <c r="C18"/>
  <c r="D18"/>
  <c r="E18" s="1"/>
  <c r="F18"/>
  <c r="G18"/>
  <c r="H18"/>
  <c r="I18" s="1"/>
  <c r="J18"/>
  <c r="D19"/>
  <c r="F19"/>
  <c r="H19"/>
  <c r="J19"/>
  <c r="M20"/>
  <c r="C21"/>
  <c r="D21"/>
  <c r="E21"/>
  <c r="F21"/>
  <c r="G21"/>
  <c r="H21"/>
  <c r="I21"/>
  <c r="J21"/>
  <c r="C22"/>
  <c r="C13" i="124" s="1"/>
  <c r="D22" i="19"/>
  <c r="D13" i="124" s="1"/>
  <c r="E22" i="19"/>
  <c r="F22"/>
  <c r="G22"/>
  <c r="G13" i="124" s="1"/>
  <c r="H22" i="19"/>
  <c r="H13" i="124" s="1"/>
  <c r="I22" i="19"/>
  <c r="J22"/>
  <c r="C24"/>
  <c r="C13" i="125" s="1"/>
  <c r="D24" i="19"/>
  <c r="D13" i="125" s="1"/>
  <c r="E24" i="19"/>
  <c r="F24"/>
  <c r="G24"/>
  <c r="G13" i="125" s="1"/>
  <c r="H24" i="19"/>
  <c r="H13" i="125" s="1"/>
  <c r="I24" i="19"/>
  <c r="J24"/>
  <c r="C25"/>
  <c r="C13" i="128" s="1"/>
  <c r="D25" i="19"/>
  <c r="D13" i="128" s="1"/>
  <c r="E25" i="19"/>
  <c r="F25"/>
  <c r="G25"/>
  <c r="G13" i="128" s="1"/>
  <c r="H25" i="19"/>
  <c r="H13" i="128" s="1"/>
  <c r="I25" i="19"/>
  <c r="J25"/>
  <c r="C26"/>
  <c r="C13" i="129" s="1"/>
  <c r="D26" i="19"/>
  <c r="D13" i="129" s="1"/>
  <c r="E26" i="19"/>
  <c r="F26"/>
  <c r="G26"/>
  <c r="G13" i="129" s="1"/>
  <c r="H26" i="19"/>
  <c r="H13" i="129" s="1"/>
  <c r="I26" i="19"/>
  <c r="J26"/>
  <c r="C27"/>
  <c r="C13" i="130" s="1"/>
  <c r="D27" i="19"/>
  <c r="D13" i="130" s="1"/>
  <c r="E27" i="19"/>
  <c r="F27"/>
  <c r="G27"/>
  <c r="G13" i="130" s="1"/>
  <c r="H27" i="19"/>
  <c r="H13" i="130" s="1"/>
  <c r="I27" i="19"/>
  <c r="J27"/>
  <c r="C28"/>
  <c r="D28"/>
  <c r="E28"/>
  <c r="F28"/>
  <c r="G28"/>
  <c r="H28"/>
  <c r="I28"/>
  <c r="J28"/>
  <c r="C29"/>
  <c r="D29"/>
  <c r="E29"/>
  <c r="F29"/>
  <c r="G29"/>
  <c r="H29"/>
  <c r="I29"/>
  <c r="J29"/>
  <c r="M30"/>
  <c r="D43"/>
  <c r="D45"/>
  <c r="J16" i="119" l="1"/>
  <c r="J18"/>
  <c r="J20"/>
  <c r="J22"/>
  <c r="J24"/>
  <c r="J26"/>
  <c r="J28"/>
  <c r="J30"/>
  <c r="J32"/>
  <c r="J34"/>
  <c r="J36"/>
  <c r="J37"/>
  <c r="J13"/>
  <c r="J17"/>
  <c r="J19"/>
  <c r="J21"/>
  <c r="J23"/>
  <c r="J25"/>
  <c r="J27"/>
  <c r="J29"/>
  <c r="J31"/>
  <c r="J33"/>
  <c r="J35"/>
  <c r="F16"/>
  <c r="F18"/>
  <c r="F20"/>
  <c r="F22"/>
  <c r="F24"/>
  <c r="F26"/>
  <c r="F28"/>
  <c r="F30"/>
  <c r="F32"/>
  <c r="F34"/>
  <c r="F36"/>
  <c r="F37"/>
  <c r="F13"/>
  <c r="F17"/>
  <c r="F19"/>
  <c r="F21"/>
  <c r="F23"/>
  <c r="F25"/>
  <c r="F27"/>
  <c r="F29"/>
  <c r="F31"/>
  <c r="F33"/>
  <c r="F35"/>
  <c r="I30" i="120"/>
  <c r="E30"/>
  <c r="E37" i="67"/>
  <c r="G13" i="156"/>
  <c r="G13" i="138"/>
  <c r="G13" i="132"/>
  <c r="G33" s="1"/>
  <c r="G13" i="107"/>
  <c r="J13" i="162"/>
  <c r="J15"/>
  <c r="J17"/>
  <c r="J19"/>
  <c r="J21"/>
  <c r="J23"/>
  <c r="J25"/>
  <c r="J27"/>
  <c r="J29"/>
  <c r="J31"/>
  <c r="J33"/>
  <c r="J35"/>
  <c r="J37"/>
  <c r="J39"/>
  <c r="J41"/>
  <c r="J43"/>
  <c r="H44"/>
  <c r="I13"/>
  <c r="J14"/>
  <c r="J16"/>
  <c r="J18"/>
  <c r="J20"/>
  <c r="J22"/>
  <c r="J24"/>
  <c r="J26"/>
  <c r="J28"/>
  <c r="J30"/>
  <c r="J32"/>
  <c r="J34"/>
  <c r="J36"/>
  <c r="J38"/>
  <c r="J40"/>
  <c r="J42"/>
  <c r="F13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F28"/>
  <c r="F30"/>
  <c r="F32"/>
  <c r="F34"/>
  <c r="F36"/>
  <c r="F38"/>
  <c r="F40"/>
  <c r="F42"/>
  <c r="J13" i="160"/>
  <c r="J15"/>
  <c r="J17"/>
  <c r="J19"/>
  <c r="J21"/>
  <c r="J23"/>
  <c r="J25"/>
  <c r="J27"/>
  <c r="J29"/>
  <c r="J31"/>
  <c r="J33"/>
  <c r="J35"/>
  <c r="J37"/>
  <c r="J39"/>
  <c r="J41"/>
  <c r="J43"/>
  <c r="H44"/>
  <c r="I13"/>
  <c r="J14"/>
  <c r="J16"/>
  <c r="J18"/>
  <c r="J20"/>
  <c r="J22"/>
  <c r="J24"/>
  <c r="J26"/>
  <c r="J28"/>
  <c r="J30"/>
  <c r="J32"/>
  <c r="J34"/>
  <c r="J36"/>
  <c r="J38"/>
  <c r="J40"/>
  <c r="J42"/>
  <c r="F13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F28"/>
  <c r="F30"/>
  <c r="F32"/>
  <c r="F34"/>
  <c r="F36"/>
  <c r="F38"/>
  <c r="F40"/>
  <c r="F42"/>
  <c r="J13" i="158"/>
  <c r="J15"/>
  <c r="J17"/>
  <c r="J19"/>
  <c r="J21"/>
  <c r="J23"/>
  <c r="J25"/>
  <c r="J27"/>
  <c r="J29"/>
  <c r="J31"/>
  <c r="J33"/>
  <c r="J35"/>
  <c r="J37"/>
  <c r="J39"/>
  <c r="J41"/>
  <c r="J43"/>
  <c r="H44"/>
  <c r="I13"/>
  <c r="F13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F28"/>
  <c r="F30"/>
  <c r="F32"/>
  <c r="F34"/>
  <c r="F36"/>
  <c r="F38"/>
  <c r="F40"/>
  <c r="F42"/>
  <c r="D15" i="120"/>
  <c r="E16"/>
  <c r="H30" i="124"/>
  <c r="I31"/>
  <c r="I30" i="126"/>
  <c r="E30"/>
  <c r="I19"/>
  <c r="E19"/>
  <c r="I15"/>
  <c r="H14"/>
  <c r="E15"/>
  <c r="D14"/>
  <c r="J30" i="128"/>
  <c r="I30"/>
  <c r="F30"/>
  <c r="E30"/>
  <c r="J19"/>
  <c r="I19"/>
  <c r="F19"/>
  <c r="E19"/>
  <c r="I15"/>
  <c r="H14"/>
  <c r="J15"/>
  <c r="E15"/>
  <c r="D14"/>
  <c r="F15"/>
  <c r="G23" i="19"/>
  <c r="G13" i="126" s="1"/>
  <c r="C23" i="19"/>
  <c r="C13" i="126" s="1"/>
  <c r="G13" i="157"/>
  <c r="G44" s="1"/>
  <c r="C13"/>
  <c r="C44" s="1"/>
  <c r="H13" i="67"/>
  <c r="D13"/>
  <c r="C19" i="120"/>
  <c r="C14" s="1"/>
  <c r="C45" s="1"/>
  <c r="G13"/>
  <c r="F43" i="124"/>
  <c r="F41"/>
  <c r="F39"/>
  <c r="F37"/>
  <c r="F35"/>
  <c r="F33"/>
  <c r="F28"/>
  <c r="F26"/>
  <c r="F24"/>
  <c r="G19"/>
  <c r="G14" s="1"/>
  <c r="G45" s="1"/>
  <c r="C14" i="126"/>
  <c r="G14" i="125"/>
  <c r="G45" s="1"/>
  <c r="C14" i="128"/>
  <c r="C45" s="1"/>
  <c r="G14" i="129"/>
  <c r="G45" s="1"/>
  <c r="F19" i="130"/>
  <c r="C14"/>
  <c r="C43" s="1"/>
  <c r="F16"/>
  <c r="C13" i="156"/>
  <c r="C13" i="138"/>
  <c r="C13" i="132"/>
  <c r="C33" s="1"/>
  <c r="C13" i="107"/>
  <c r="J13" i="130"/>
  <c r="J17"/>
  <c r="J20"/>
  <c r="J22"/>
  <c r="J24"/>
  <c r="J26"/>
  <c r="J29"/>
  <c r="J16"/>
  <c r="J19"/>
  <c r="J21"/>
  <c r="J23"/>
  <c r="J25"/>
  <c r="J27"/>
  <c r="J30"/>
  <c r="J32"/>
  <c r="J34"/>
  <c r="J36"/>
  <c r="J38"/>
  <c r="J40"/>
  <c r="J42"/>
  <c r="I13"/>
  <c r="J31"/>
  <c r="J33"/>
  <c r="J35"/>
  <c r="J37"/>
  <c r="J39"/>
  <c r="J41"/>
  <c r="F13"/>
  <c r="F17"/>
  <c r="F20"/>
  <c r="F22"/>
  <c r="F24"/>
  <c r="F26"/>
  <c r="F29"/>
  <c r="F32"/>
  <c r="F34"/>
  <c r="F36"/>
  <c r="F38"/>
  <c r="F40"/>
  <c r="F42"/>
  <c r="E13"/>
  <c r="F31"/>
  <c r="F33"/>
  <c r="F35"/>
  <c r="F37"/>
  <c r="F39"/>
  <c r="F41"/>
  <c r="J13" i="129"/>
  <c r="J17"/>
  <c r="J20"/>
  <c r="J22"/>
  <c r="J24"/>
  <c r="J26"/>
  <c r="J28"/>
  <c r="J31"/>
  <c r="J33"/>
  <c r="J35"/>
  <c r="J37"/>
  <c r="J39"/>
  <c r="J41"/>
  <c r="J43"/>
  <c r="I13"/>
  <c r="J16"/>
  <c r="J18"/>
  <c r="J21"/>
  <c r="J23"/>
  <c r="J25"/>
  <c r="J27"/>
  <c r="J29"/>
  <c r="J32"/>
  <c r="J34"/>
  <c r="J36"/>
  <c r="J38"/>
  <c r="J40"/>
  <c r="J42"/>
  <c r="J44"/>
  <c r="F13"/>
  <c r="F17"/>
  <c r="F20"/>
  <c r="F22"/>
  <c r="F24"/>
  <c r="F26"/>
  <c r="F28"/>
  <c r="F31"/>
  <c r="F33"/>
  <c r="F35"/>
  <c r="F37"/>
  <c r="F39"/>
  <c r="F41"/>
  <c r="F43"/>
  <c r="E13"/>
  <c r="F16"/>
  <c r="F18"/>
  <c r="F21"/>
  <c r="F23"/>
  <c r="F25"/>
  <c r="F27"/>
  <c r="F29"/>
  <c r="F32"/>
  <c r="F34"/>
  <c r="F36"/>
  <c r="F38"/>
  <c r="F40"/>
  <c r="F42"/>
  <c r="F44"/>
  <c r="I13" i="128"/>
  <c r="J16"/>
  <c r="J18"/>
  <c r="J21"/>
  <c r="J23"/>
  <c r="J25"/>
  <c r="J27"/>
  <c r="J29"/>
  <c r="J32"/>
  <c r="J34"/>
  <c r="J36"/>
  <c r="J38"/>
  <c r="J40"/>
  <c r="J42"/>
  <c r="J44"/>
  <c r="H45"/>
  <c r="J13"/>
  <c r="J17"/>
  <c r="J20"/>
  <c r="J22"/>
  <c r="J24"/>
  <c r="J26"/>
  <c r="J28"/>
  <c r="J31"/>
  <c r="J33"/>
  <c r="J35"/>
  <c r="J37"/>
  <c r="J39"/>
  <c r="J41"/>
  <c r="J43"/>
  <c r="E13"/>
  <c r="F16"/>
  <c r="F18"/>
  <c r="F21"/>
  <c r="F23"/>
  <c r="F25"/>
  <c r="F27"/>
  <c r="F29"/>
  <c r="F32"/>
  <c r="F34"/>
  <c r="F36"/>
  <c r="F38"/>
  <c r="F40"/>
  <c r="F42"/>
  <c r="F44"/>
  <c r="D45"/>
  <c r="F13"/>
  <c r="F17"/>
  <c r="F20"/>
  <c r="F22"/>
  <c r="F24"/>
  <c r="F26"/>
  <c r="F28"/>
  <c r="F31"/>
  <c r="F33"/>
  <c r="F35"/>
  <c r="F37"/>
  <c r="F39"/>
  <c r="F41"/>
  <c r="F43"/>
  <c r="J13" i="125"/>
  <c r="J17"/>
  <c r="J20"/>
  <c r="J22"/>
  <c r="J24"/>
  <c r="J26"/>
  <c r="J28"/>
  <c r="J31"/>
  <c r="J33"/>
  <c r="J35"/>
  <c r="J37"/>
  <c r="J39"/>
  <c r="J41"/>
  <c r="J43"/>
  <c r="I13"/>
  <c r="J16"/>
  <c r="J18"/>
  <c r="J21"/>
  <c r="J23"/>
  <c r="J25"/>
  <c r="J27"/>
  <c r="J29"/>
  <c r="J32"/>
  <c r="J34"/>
  <c r="J36"/>
  <c r="J38"/>
  <c r="J40"/>
  <c r="J42"/>
  <c r="J44"/>
  <c r="F13"/>
  <c r="F17"/>
  <c r="F20"/>
  <c r="F22"/>
  <c r="F24"/>
  <c r="F26"/>
  <c r="F28"/>
  <c r="F31"/>
  <c r="F33"/>
  <c r="F35"/>
  <c r="F37"/>
  <c r="F39"/>
  <c r="F41"/>
  <c r="F43"/>
  <c r="E13"/>
  <c r="F16"/>
  <c r="F18"/>
  <c r="F21"/>
  <c r="F23"/>
  <c r="F25"/>
  <c r="F27"/>
  <c r="F29"/>
  <c r="F32"/>
  <c r="F34"/>
  <c r="F36"/>
  <c r="F38"/>
  <c r="F40"/>
  <c r="F42"/>
  <c r="F44"/>
  <c r="J13" i="124"/>
  <c r="J17"/>
  <c r="J20"/>
  <c r="J22"/>
  <c r="I13"/>
  <c r="J16"/>
  <c r="J18"/>
  <c r="J21"/>
  <c r="J23"/>
  <c r="J25"/>
  <c r="J27"/>
  <c r="J29"/>
  <c r="J32"/>
  <c r="J34"/>
  <c r="J36"/>
  <c r="J38"/>
  <c r="J40"/>
  <c r="J42"/>
  <c r="J44"/>
  <c r="F13"/>
  <c r="F17"/>
  <c r="F20"/>
  <c r="F22"/>
  <c r="E13"/>
  <c r="F16"/>
  <c r="F18"/>
  <c r="F21"/>
  <c r="F23"/>
  <c r="F25"/>
  <c r="F27"/>
  <c r="F29"/>
  <c r="F32"/>
  <c r="F34"/>
  <c r="F36"/>
  <c r="F38"/>
  <c r="F40"/>
  <c r="F42"/>
  <c r="F44"/>
  <c r="H13" i="156"/>
  <c r="H13" i="132"/>
  <c r="H13" i="107"/>
  <c r="H13" i="138"/>
  <c r="H13" i="120"/>
  <c r="J25" s="1"/>
  <c r="D13" i="156"/>
  <c r="D13" i="132"/>
  <c r="D13" i="107"/>
  <c r="D13" i="138"/>
  <c r="D13" i="120"/>
  <c r="J13" i="161"/>
  <c r="J15"/>
  <c r="J17"/>
  <c r="J19"/>
  <c r="J21"/>
  <c r="J23"/>
  <c r="J25"/>
  <c r="J27"/>
  <c r="J29"/>
  <c r="J31"/>
  <c r="J33"/>
  <c r="J35"/>
  <c r="J37"/>
  <c r="J39"/>
  <c r="J41"/>
  <c r="J43"/>
  <c r="H44"/>
  <c r="I13"/>
  <c r="J14"/>
  <c r="J16"/>
  <c r="J18"/>
  <c r="J20"/>
  <c r="J22"/>
  <c r="J24"/>
  <c r="J26"/>
  <c r="J28"/>
  <c r="J30"/>
  <c r="J32"/>
  <c r="J34"/>
  <c r="J36"/>
  <c r="J38"/>
  <c r="J40"/>
  <c r="J42"/>
  <c r="F13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F28"/>
  <c r="F30"/>
  <c r="F32"/>
  <c r="F34"/>
  <c r="F36"/>
  <c r="F38"/>
  <c r="F40"/>
  <c r="F42"/>
  <c r="J13" i="159"/>
  <c r="J15"/>
  <c r="J17"/>
  <c r="J19"/>
  <c r="J21"/>
  <c r="J23"/>
  <c r="J25"/>
  <c r="J27"/>
  <c r="J29"/>
  <c r="J31"/>
  <c r="J33"/>
  <c r="J35"/>
  <c r="J37"/>
  <c r="J39"/>
  <c r="J41"/>
  <c r="J43"/>
  <c r="H44"/>
  <c r="I13"/>
  <c r="J14"/>
  <c r="J16"/>
  <c r="J18"/>
  <c r="J20"/>
  <c r="J22"/>
  <c r="J24"/>
  <c r="J26"/>
  <c r="J28"/>
  <c r="J30"/>
  <c r="J32"/>
  <c r="J34"/>
  <c r="J36"/>
  <c r="J38"/>
  <c r="J40"/>
  <c r="J42"/>
  <c r="F13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H15" i="120"/>
  <c r="I16"/>
  <c r="D30" i="124"/>
  <c r="E31"/>
  <c r="J15"/>
  <c r="I15"/>
  <c r="F15"/>
  <c r="E15"/>
  <c r="I30" i="125"/>
  <c r="J30"/>
  <c r="E30"/>
  <c r="F30"/>
  <c r="I19"/>
  <c r="J19"/>
  <c r="E19"/>
  <c r="F19"/>
  <c r="H14"/>
  <c r="H45" s="1"/>
  <c r="J15"/>
  <c r="I15"/>
  <c r="D14"/>
  <c r="F15"/>
  <c r="E15"/>
  <c r="I30" i="129"/>
  <c r="J30"/>
  <c r="E30"/>
  <c r="F30"/>
  <c r="I19"/>
  <c r="J19"/>
  <c r="E19"/>
  <c r="F19"/>
  <c r="H14"/>
  <c r="H45" s="1"/>
  <c r="J15"/>
  <c r="I15"/>
  <c r="D14"/>
  <c r="F15"/>
  <c r="E15"/>
  <c r="H23" i="19"/>
  <c r="D23"/>
  <c r="G19"/>
  <c r="I19" s="1"/>
  <c r="C19"/>
  <c r="E19" s="1"/>
  <c r="I18" i="157"/>
  <c r="E18"/>
  <c r="I16"/>
  <c r="E16"/>
  <c r="I14"/>
  <c r="E14"/>
  <c r="H13"/>
  <c r="D13"/>
  <c r="G13" i="67"/>
  <c r="C13"/>
  <c r="H38" i="119"/>
  <c r="D38"/>
  <c r="G13"/>
  <c r="I13" s="1"/>
  <c r="C13"/>
  <c r="E13" s="1"/>
  <c r="F27" i="120"/>
  <c r="G19"/>
  <c r="G14" s="1"/>
  <c r="H19"/>
  <c r="D19"/>
  <c r="J43" i="124"/>
  <c r="J41"/>
  <c r="J39"/>
  <c r="J37"/>
  <c r="J35"/>
  <c r="J33"/>
  <c r="J31"/>
  <c r="J28"/>
  <c r="J26"/>
  <c r="J24"/>
  <c r="C19"/>
  <c r="C14" s="1"/>
  <c r="C45" s="1"/>
  <c r="H19"/>
  <c r="D19"/>
  <c r="D14" s="1"/>
  <c r="G14" i="126"/>
  <c r="C14" i="125"/>
  <c r="C45" s="1"/>
  <c r="G14" i="128"/>
  <c r="G45" s="1"/>
  <c r="C14" i="129"/>
  <c r="C45" s="1"/>
  <c r="G14" i="130"/>
  <c r="G43" s="1"/>
  <c r="H18"/>
  <c r="I19"/>
  <c r="H15"/>
  <c r="I16"/>
  <c r="I20" i="124"/>
  <c r="E20"/>
  <c r="I17"/>
  <c r="E17"/>
  <c r="I32" i="126"/>
  <c r="E32"/>
  <c r="I21"/>
  <c r="E21"/>
  <c r="I16"/>
  <c r="E16"/>
  <c r="I31" i="125"/>
  <c r="E31"/>
  <c r="I20"/>
  <c r="E20"/>
  <c r="I17"/>
  <c r="E17"/>
  <c r="I32" i="128"/>
  <c r="E32"/>
  <c r="I21"/>
  <c r="E21"/>
  <c r="I16"/>
  <c r="E16"/>
  <c r="I31" i="129"/>
  <c r="E31"/>
  <c r="I20"/>
  <c r="E20"/>
  <c r="I17"/>
  <c r="E17"/>
  <c r="F30" i="130"/>
  <c r="G28"/>
  <c r="H28"/>
  <c r="D28"/>
  <c r="F27"/>
  <c r="F25"/>
  <c r="F23"/>
  <c r="F21"/>
  <c r="J42" i="158"/>
  <c r="J40"/>
  <c r="J38"/>
  <c r="J36"/>
  <c r="J34"/>
  <c r="J32"/>
  <c r="J30"/>
  <c r="J28"/>
  <c r="J26"/>
  <c r="J24"/>
  <c r="J22"/>
  <c r="J20"/>
  <c r="J18"/>
  <c r="J16"/>
  <c r="J14"/>
  <c r="F42" i="159"/>
  <c r="F40"/>
  <c r="F38"/>
  <c r="F36"/>
  <c r="F34"/>
  <c r="F32"/>
  <c r="F30"/>
  <c r="F28"/>
  <c r="D18" i="130"/>
  <c r="E19"/>
  <c r="D15"/>
  <c r="E16"/>
  <c r="C28"/>
  <c r="H24" i="64"/>
  <c r="J24"/>
  <c r="H23"/>
  <c r="J23"/>
  <c r="H22"/>
  <c r="J22"/>
  <c r="H21"/>
  <c r="J21"/>
  <c r="H20"/>
  <c r="J20"/>
  <c r="H19"/>
  <c r="J19"/>
  <c r="H18"/>
  <c r="J18"/>
  <c r="H17"/>
  <c r="J17"/>
  <c r="H16"/>
  <c r="J16"/>
  <c r="F36" i="156"/>
  <c r="E36"/>
  <c r="F27"/>
  <c r="E27"/>
  <c r="F14"/>
  <c r="E14"/>
  <c r="H14" i="64"/>
  <c r="J14"/>
  <c r="G25"/>
  <c r="G28"/>
  <c r="E25"/>
  <c r="E28"/>
  <c r="C25"/>
  <c r="D26" s="1"/>
  <c r="C28"/>
  <c r="E26" i="139"/>
  <c r="F26"/>
  <c r="E26" i="140"/>
  <c r="F26"/>
  <c r="E26" i="141"/>
  <c r="F26"/>
  <c r="E26" i="142"/>
  <c r="F26"/>
  <c r="E26" i="143"/>
  <c r="F26"/>
  <c r="E26" i="144"/>
  <c r="F26"/>
  <c r="J13" i="150"/>
  <c r="J15"/>
  <c r="J17"/>
  <c r="J19"/>
  <c r="J21"/>
  <c r="J23"/>
  <c r="J25"/>
  <c r="J27"/>
  <c r="J29"/>
  <c r="J31"/>
  <c r="J33"/>
  <c r="J35"/>
  <c r="J37"/>
  <c r="J39"/>
  <c r="I13"/>
  <c r="J14"/>
  <c r="J16"/>
  <c r="J18"/>
  <c r="J20"/>
  <c r="J22"/>
  <c r="J24"/>
  <c r="J26"/>
  <c r="J28"/>
  <c r="J30"/>
  <c r="J32"/>
  <c r="J34"/>
  <c r="J36"/>
  <c r="J38"/>
  <c r="F13"/>
  <c r="F15"/>
  <c r="F17"/>
  <c r="F19"/>
  <c r="F21"/>
  <c r="F23"/>
  <c r="F25"/>
  <c r="F27"/>
  <c r="F29"/>
  <c r="F31"/>
  <c r="F33"/>
  <c r="F35"/>
  <c r="F37"/>
  <c r="F39"/>
  <c r="E13"/>
  <c r="F14"/>
  <c r="F16"/>
  <c r="F18"/>
  <c r="F20"/>
  <c r="F22"/>
  <c r="F24"/>
  <c r="F26"/>
  <c r="F28"/>
  <c r="F30"/>
  <c r="F32"/>
  <c r="F34"/>
  <c r="F36"/>
  <c r="F38"/>
  <c r="H36" i="156"/>
  <c r="J27"/>
  <c r="J14"/>
  <c r="D28" i="64"/>
  <c r="D29" s="1"/>
  <c r="I24"/>
  <c r="I23"/>
  <c r="I22"/>
  <c r="I21"/>
  <c r="I20"/>
  <c r="I19"/>
  <c r="I18"/>
  <c r="I17"/>
  <c r="I16"/>
  <c r="J13"/>
  <c r="H13" i="152"/>
  <c r="I14"/>
  <c r="J13" i="155"/>
  <c r="J15"/>
  <c r="J17"/>
  <c r="J19"/>
  <c r="J21"/>
  <c r="J23"/>
  <c r="J25"/>
  <c r="J27"/>
  <c r="J29"/>
  <c r="J31"/>
  <c r="J33"/>
  <c r="J35"/>
  <c r="J37"/>
  <c r="J39"/>
  <c r="J41"/>
  <c r="J43"/>
  <c r="I13"/>
  <c r="J14"/>
  <c r="J16"/>
  <c r="J18"/>
  <c r="J20"/>
  <c r="J22"/>
  <c r="J24"/>
  <c r="J26"/>
  <c r="J28"/>
  <c r="J30"/>
  <c r="J32"/>
  <c r="J34"/>
  <c r="J36"/>
  <c r="J38"/>
  <c r="J40"/>
  <c r="J42"/>
  <c r="J44"/>
  <c r="F13"/>
  <c r="F15"/>
  <c r="F17"/>
  <c r="F19"/>
  <c r="F21"/>
  <c r="F23"/>
  <c r="F25"/>
  <c r="F27"/>
  <c r="F29"/>
  <c r="F31"/>
  <c r="F33"/>
  <c r="F35"/>
  <c r="F37"/>
  <c r="F39"/>
  <c r="F41"/>
  <c r="F43"/>
  <c r="E13"/>
  <c r="F14"/>
  <c r="F16"/>
  <c r="F18"/>
  <c r="F20"/>
  <c r="F22"/>
  <c r="F24"/>
  <c r="F26"/>
  <c r="F28"/>
  <c r="F30"/>
  <c r="F32"/>
  <c r="F34"/>
  <c r="F36"/>
  <c r="F38"/>
  <c r="F40"/>
  <c r="F42"/>
  <c r="F44"/>
  <c r="H13" i="70"/>
  <c r="D13"/>
  <c r="H13" i="151"/>
  <c r="D13"/>
  <c r="C13" i="153"/>
  <c r="D13" i="152"/>
  <c r="E14"/>
  <c r="J13" i="154"/>
  <c r="J15"/>
  <c r="J17"/>
  <c r="J19"/>
  <c r="J21"/>
  <c r="J23"/>
  <c r="J25"/>
  <c r="J27"/>
  <c r="J29"/>
  <c r="J31"/>
  <c r="J33"/>
  <c r="J35"/>
  <c r="J37"/>
  <c r="J39"/>
  <c r="J41"/>
  <c r="J43"/>
  <c r="J45"/>
  <c r="I13"/>
  <c r="J14"/>
  <c r="J16"/>
  <c r="J18"/>
  <c r="J20"/>
  <c r="J22"/>
  <c r="J24"/>
  <c r="J26"/>
  <c r="J28"/>
  <c r="J30"/>
  <c r="J32"/>
  <c r="J34"/>
  <c r="J36"/>
  <c r="J38"/>
  <c r="J40"/>
  <c r="J42"/>
  <c r="J44"/>
  <c r="F13"/>
  <c r="F15"/>
  <c r="F17"/>
  <c r="F19"/>
  <c r="F21"/>
  <c r="F23"/>
  <c r="F25"/>
  <c r="F27"/>
  <c r="F29"/>
  <c r="F31"/>
  <c r="F33"/>
  <c r="F35"/>
  <c r="F37"/>
  <c r="F39"/>
  <c r="F41"/>
  <c r="F43"/>
  <c r="F45"/>
  <c r="E13"/>
  <c r="F14"/>
  <c r="F16"/>
  <c r="F18"/>
  <c r="F20"/>
  <c r="F22"/>
  <c r="F24"/>
  <c r="F26"/>
  <c r="F28"/>
  <c r="F30"/>
  <c r="F32"/>
  <c r="F34"/>
  <c r="F36"/>
  <c r="F38"/>
  <c r="F40"/>
  <c r="F42"/>
  <c r="F44"/>
  <c r="G28" i="139"/>
  <c r="E28"/>
  <c r="E29" s="1"/>
  <c r="C28"/>
  <c r="D29" s="1"/>
  <c r="G25"/>
  <c r="J24"/>
  <c r="J23"/>
  <c r="J22"/>
  <c r="J21"/>
  <c r="J20"/>
  <c r="J19"/>
  <c r="J18"/>
  <c r="J17"/>
  <c r="J16"/>
  <c r="J14"/>
  <c r="G28" i="140"/>
  <c r="E28"/>
  <c r="E29" s="1"/>
  <c r="C28"/>
  <c r="D29" s="1"/>
  <c r="G25"/>
  <c r="J24"/>
  <c r="J23"/>
  <c r="J22"/>
  <c r="J21"/>
  <c r="J20"/>
  <c r="J19"/>
  <c r="J18"/>
  <c r="J17"/>
  <c r="J16"/>
  <c r="J14"/>
  <c r="G28" i="141"/>
  <c r="E28"/>
  <c r="E29" s="1"/>
  <c r="C28"/>
  <c r="D29" s="1"/>
  <c r="G25"/>
  <c r="J24"/>
  <c r="J23"/>
  <c r="J22"/>
  <c r="J21"/>
  <c r="J20"/>
  <c r="J19"/>
  <c r="J18"/>
  <c r="J17"/>
  <c r="J16"/>
  <c r="J14"/>
  <c r="G28" i="142"/>
  <c r="E28"/>
  <c r="E29" s="1"/>
  <c r="C28"/>
  <c r="D29" s="1"/>
  <c r="G25"/>
  <c r="J24"/>
  <c r="J23"/>
  <c r="J22"/>
  <c r="J21"/>
  <c r="J20"/>
  <c r="J19"/>
  <c r="J18"/>
  <c r="J17"/>
  <c r="J16"/>
  <c r="J14"/>
  <c r="G28" i="143"/>
  <c r="E28"/>
  <c r="E29" s="1"/>
  <c r="C28"/>
  <c r="D29" s="1"/>
  <c r="G25"/>
  <c r="J24"/>
  <c r="J23"/>
  <c r="J22"/>
  <c r="J21"/>
  <c r="J20"/>
  <c r="J19"/>
  <c r="J18"/>
  <c r="J17"/>
  <c r="J16"/>
  <c r="J14"/>
  <c r="G28" i="144"/>
  <c r="E28"/>
  <c r="E29" s="1"/>
  <c r="C28"/>
  <c r="D29" s="1"/>
  <c r="G25"/>
  <c r="J24"/>
  <c r="J23"/>
  <c r="J22"/>
  <c r="J21"/>
  <c r="J20"/>
  <c r="J19"/>
  <c r="J18"/>
  <c r="J17"/>
  <c r="J16"/>
  <c r="J14"/>
  <c r="I14" i="150"/>
  <c r="E14"/>
  <c r="J36" i="152"/>
  <c r="J34"/>
  <c r="J32"/>
  <c r="J30"/>
  <c r="J28"/>
  <c r="J26"/>
  <c r="J24"/>
  <c r="J22"/>
  <c r="J20"/>
  <c r="J18"/>
  <c r="J16"/>
  <c r="J14"/>
  <c r="F45" i="153"/>
  <c r="F41"/>
  <c r="G13"/>
  <c r="H13"/>
  <c r="D13"/>
  <c r="I14" i="154"/>
  <c r="E14"/>
  <c r="I14" i="155"/>
  <c r="E14"/>
  <c r="F14" i="124" l="1"/>
  <c r="E14"/>
  <c r="D45"/>
  <c r="I45" i="129"/>
  <c r="J45"/>
  <c r="I45" i="125"/>
  <c r="J45"/>
  <c r="E13" i="153"/>
  <c r="F14"/>
  <c r="F16"/>
  <c r="F18"/>
  <c r="F20"/>
  <c r="F22"/>
  <c r="F24"/>
  <c r="F26"/>
  <c r="F28"/>
  <c r="F30"/>
  <c r="F32"/>
  <c r="F34"/>
  <c r="F36"/>
  <c r="F38"/>
  <c r="F40"/>
  <c r="F42"/>
  <c r="F44"/>
  <c r="F13"/>
  <c r="F15"/>
  <c r="F17"/>
  <c r="F19"/>
  <c r="F21"/>
  <c r="F23"/>
  <c r="F25"/>
  <c r="F27"/>
  <c r="F29"/>
  <c r="F31"/>
  <c r="F33"/>
  <c r="F35"/>
  <c r="F37"/>
  <c r="F39"/>
  <c r="I13" i="151"/>
  <c r="J14"/>
  <c r="J16"/>
  <c r="J18"/>
  <c r="J20"/>
  <c r="J22"/>
  <c r="J24"/>
  <c r="J26"/>
  <c r="J28"/>
  <c r="J30"/>
  <c r="J32"/>
  <c r="J34"/>
  <c r="J36"/>
  <c r="J38"/>
  <c r="J40"/>
  <c r="J42"/>
  <c r="J44"/>
  <c r="J13"/>
  <c r="J15"/>
  <c r="J17"/>
  <c r="J19"/>
  <c r="J21"/>
  <c r="J23"/>
  <c r="J25"/>
  <c r="J27"/>
  <c r="J29"/>
  <c r="J31"/>
  <c r="J33"/>
  <c r="J35"/>
  <c r="J37"/>
  <c r="J39"/>
  <c r="J41"/>
  <c r="J43"/>
  <c r="J45"/>
  <c r="I13" i="70"/>
  <c r="J14"/>
  <c r="J16"/>
  <c r="J18"/>
  <c r="J20"/>
  <c r="J22"/>
  <c r="J24"/>
  <c r="J26"/>
  <c r="J28"/>
  <c r="J30"/>
  <c r="J32"/>
  <c r="J34"/>
  <c r="J36"/>
  <c r="J38"/>
  <c r="J40"/>
  <c r="J42"/>
  <c r="J44"/>
  <c r="J13"/>
  <c r="J15"/>
  <c r="J17"/>
  <c r="J19"/>
  <c r="J21"/>
  <c r="J23"/>
  <c r="J25"/>
  <c r="J27"/>
  <c r="J29"/>
  <c r="J31"/>
  <c r="J33"/>
  <c r="J35"/>
  <c r="J37"/>
  <c r="J39"/>
  <c r="J41"/>
  <c r="J43"/>
  <c r="J45"/>
  <c r="J13" i="152"/>
  <c r="J15"/>
  <c r="J17"/>
  <c r="J19"/>
  <c r="J21"/>
  <c r="J23"/>
  <c r="J25"/>
  <c r="J27"/>
  <c r="J29"/>
  <c r="J31"/>
  <c r="J33"/>
  <c r="J35"/>
  <c r="J37"/>
  <c r="J39"/>
  <c r="J41"/>
  <c r="J43"/>
  <c r="I13"/>
  <c r="J38"/>
  <c r="J40"/>
  <c r="J42"/>
  <c r="J36" i="156"/>
  <c r="I36"/>
  <c r="E26" i="64"/>
  <c r="F26"/>
  <c r="D14" i="130"/>
  <c r="F15"/>
  <c r="E15"/>
  <c r="F18"/>
  <c r="E18"/>
  <c r="I28"/>
  <c r="J28"/>
  <c r="H14"/>
  <c r="J15"/>
  <c r="I15"/>
  <c r="J18"/>
  <c r="I18"/>
  <c r="I19" i="124"/>
  <c r="J19"/>
  <c r="E19" i="120"/>
  <c r="F19"/>
  <c r="F38" i="119"/>
  <c r="E38"/>
  <c r="F13" i="157"/>
  <c r="F15"/>
  <c r="F17"/>
  <c r="F19"/>
  <c r="F21"/>
  <c r="F23"/>
  <c r="F25"/>
  <c r="F27"/>
  <c r="F29"/>
  <c r="F31"/>
  <c r="F33"/>
  <c r="F35"/>
  <c r="F37"/>
  <c r="F39"/>
  <c r="F41"/>
  <c r="F43"/>
  <c r="D44"/>
  <c r="E13"/>
  <c r="F14"/>
  <c r="F16"/>
  <c r="F18"/>
  <c r="F20"/>
  <c r="F22"/>
  <c r="F24"/>
  <c r="F26"/>
  <c r="F28"/>
  <c r="F30"/>
  <c r="F32"/>
  <c r="F34"/>
  <c r="F36"/>
  <c r="F38"/>
  <c r="F40"/>
  <c r="F42"/>
  <c r="D13" i="126"/>
  <c r="F23" i="19"/>
  <c r="E23"/>
  <c r="D44"/>
  <c r="F14" i="129"/>
  <c r="E14"/>
  <c r="F14" i="125"/>
  <c r="E14"/>
  <c r="F44" i="159"/>
  <c r="E44"/>
  <c r="F44" i="161"/>
  <c r="E44"/>
  <c r="F13" i="120"/>
  <c r="F17"/>
  <c r="F20"/>
  <c r="F22"/>
  <c r="F24"/>
  <c r="F26"/>
  <c r="F28"/>
  <c r="E13"/>
  <c r="F16"/>
  <c r="F18"/>
  <c r="F21"/>
  <c r="F23"/>
  <c r="F25"/>
  <c r="F31"/>
  <c r="F33"/>
  <c r="F35"/>
  <c r="F37"/>
  <c r="F39"/>
  <c r="F41"/>
  <c r="F43"/>
  <c r="F29"/>
  <c r="F32"/>
  <c r="F34"/>
  <c r="F36"/>
  <c r="F38"/>
  <c r="F40"/>
  <c r="F42"/>
  <c r="F44"/>
  <c r="F13" i="107"/>
  <c r="F15"/>
  <c r="F17"/>
  <c r="F19"/>
  <c r="F21"/>
  <c r="F23"/>
  <c r="F25"/>
  <c r="F27"/>
  <c r="F29"/>
  <c r="F31"/>
  <c r="F33"/>
  <c r="F35"/>
  <c r="F37"/>
  <c r="F39"/>
  <c r="F41"/>
  <c r="F43"/>
  <c r="F45"/>
  <c r="F47"/>
  <c r="E13"/>
  <c r="F14"/>
  <c r="F16"/>
  <c r="F18"/>
  <c r="F20"/>
  <c r="F22"/>
  <c r="F24"/>
  <c r="F26"/>
  <c r="F28"/>
  <c r="F30"/>
  <c r="F32"/>
  <c r="F34"/>
  <c r="F36"/>
  <c r="F38"/>
  <c r="F40"/>
  <c r="F42"/>
  <c r="F44"/>
  <c r="F46"/>
  <c r="F13" i="156"/>
  <c r="F15"/>
  <c r="F16"/>
  <c r="F17"/>
  <c r="F18"/>
  <c r="F19"/>
  <c r="F20"/>
  <c r="F21"/>
  <c r="F22"/>
  <c r="F23"/>
  <c r="F24"/>
  <c r="F25"/>
  <c r="F26"/>
  <c r="F28"/>
  <c r="F29"/>
  <c r="F30"/>
  <c r="F31"/>
  <c r="F32"/>
  <c r="F33"/>
  <c r="F34"/>
  <c r="F35"/>
  <c r="F37"/>
  <c r="F38"/>
  <c r="F39"/>
  <c r="F40"/>
  <c r="F41"/>
  <c r="F42"/>
  <c r="F43"/>
  <c r="F44"/>
  <c r="F45"/>
  <c r="F46"/>
  <c r="F47"/>
  <c r="F48"/>
  <c r="F49"/>
  <c r="E13"/>
  <c r="I13" i="138"/>
  <c r="J14"/>
  <c r="J16"/>
  <c r="J18"/>
  <c r="J20"/>
  <c r="J22"/>
  <c r="J24"/>
  <c r="J26"/>
  <c r="J28"/>
  <c r="J30"/>
  <c r="J32"/>
  <c r="J34"/>
  <c r="J36"/>
  <c r="J38"/>
  <c r="J40"/>
  <c r="J42"/>
  <c r="J44"/>
  <c r="J46"/>
  <c r="J13"/>
  <c r="J15"/>
  <c r="J17"/>
  <c r="J19"/>
  <c r="J21"/>
  <c r="J23"/>
  <c r="J25"/>
  <c r="J27"/>
  <c r="J29"/>
  <c r="J31"/>
  <c r="J33"/>
  <c r="J35"/>
  <c r="J37"/>
  <c r="J39"/>
  <c r="J41"/>
  <c r="J43"/>
  <c r="J45"/>
  <c r="J13" i="132"/>
  <c r="J15"/>
  <c r="J17"/>
  <c r="J19"/>
  <c r="J21"/>
  <c r="J23"/>
  <c r="J25"/>
  <c r="J27"/>
  <c r="J29"/>
  <c r="J31"/>
  <c r="I13"/>
  <c r="J14"/>
  <c r="J16"/>
  <c r="J18"/>
  <c r="J20"/>
  <c r="J22"/>
  <c r="J24"/>
  <c r="J26"/>
  <c r="J28"/>
  <c r="J30"/>
  <c r="J32"/>
  <c r="H33"/>
  <c r="F45" i="128"/>
  <c r="E45"/>
  <c r="J45"/>
  <c r="I45"/>
  <c r="I13" i="67"/>
  <c r="J16"/>
  <c r="J18"/>
  <c r="J20"/>
  <c r="J22"/>
  <c r="J24"/>
  <c r="J26"/>
  <c r="J28"/>
  <c r="J30"/>
  <c r="J32"/>
  <c r="J34"/>
  <c r="J13"/>
  <c r="J17"/>
  <c r="J19"/>
  <c r="J21"/>
  <c r="J23"/>
  <c r="J25"/>
  <c r="J27"/>
  <c r="J29"/>
  <c r="J31"/>
  <c r="J33"/>
  <c r="J35"/>
  <c r="J36"/>
  <c r="J37"/>
  <c r="E14" i="128"/>
  <c r="F14"/>
  <c r="E14" i="126"/>
  <c r="F14"/>
  <c r="J30" i="124"/>
  <c r="I30"/>
  <c r="D14" i="120"/>
  <c r="F15"/>
  <c r="E15"/>
  <c r="F44" i="160"/>
  <c r="E44"/>
  <c r="F44" i="162"/>
  <c r="E44"/>
  <c r="F43" i="153"/>
  <c r="F29" i="143"/>
  <c r="F29" i="141"/>
  <c r="F29" i="139"/>
  <c r="D45" i="125"/>
  <c r="D45" i="129"/>
  <c r="J18" i="120"/>
  <c r="J21"/>
  <c r="G45" i="126"/>
  <c r="I13" i="153"/>
  <c r="J14"/>
  <c r="J16"/>
  <c r="J18"/>
  <c r="J20"/>
  <c r="J22"/>
  <c r="J24"/>
  <c r="J26"/>
  <c r="J28"/>
  <c r="J30"/>
  <c r="J32"/>
  <c r="J34"/>
  <c r="J36"/>
  <c r="J38"/>
  <c r="J40"/>
  <c r="J42"/>
  <c r="J44"/>
  <c r="J13"/>
  <c r="J15"/>
  <c r="J17"/>
  <c r="J19"/>
  <c r="J21"/>
  <c r="J23"/>
  <c r="J25"/>
  <c r="J27"/>
  <c r="J29"/>
  <c r="J31"/>
  <c r="J33"/>
  <c r="J35"/>
  <c r="J37"/>
  <c r="J39"/>
  <c r="J41"/>
  <c r="J43"/>
  <c r="J45"/>
  <c r="I28" i="144"/>
  <c r="H28"/>
  <c r="J28"/>
  <c r="G29"/>
  <c r="I28" i="143"/>
  <c r="H28"/>
  <c r="J28"/>
  <c r="G29"/>
  <c r="I28" i="142"/>
  <c r="H28"/>
  <c r="J28"/>
  <c r="G29"/>
  <c r="I28" i="141"/>
  <c r="H28"/>
  <c r="J28"/>
  <c r="G29"/>
  <c r="I28" i="140"/>
  <c r="H28"/>
  <c r="J28"/>
  <c r="G29"/>
  <c r="I28" i="139"/>
  <c r="H28"/>
  <c r="J28"/>
  <c r="G29"/>
  <c r="F13" i="152"/>
  <c r="F15"/>
  <c r="F17"/>
  <c r="F19"/>
  <c r="F21"/>
  <c r="F23"/>
  <c r="F25"/>
  <c r="F27"/>
  <c r="F29"/>
  <c r="F31"/>
  <c r="F33"/>
  <c r="F35"/>
  <c r="F37"/>
  <c r="F39"/>
  <c r="F41"/>
  <c r="F43"/>
  <c r="E13"/>
  <c r="F14"/>
  <c r="F16"/>
  <c r="F18"/>
  <c r="F20"/>
  <c r="F22"/>
  <c r="F24"/>
  <c r="F26"/>
  <c r="F28"/>
  <c r="F30"/>
  <c r="F32"/>
  <c r="F34"/>
  <c r="F36"/>
  <c r="F38"/>
  <c r="F40"/>
  <c r="F42"/>
  <c r="E13" i="151"/>
  <c r="F14"/>
  <c r="F16"/>
  <c r="F18"/>
  <c r="F20"/>
  <c r="F22"/>
  <c r="F24"/>
  <c r="F26"/>
  <c r="F28"/>
  <c r="F30"/>
  <c r="F32"/>
  <c r="F34"/>
  <c r="F36"/>
  <c r="F38"/>
  <c r="F40"/>
  <c r="F42"/>
  <c r="F44"/>
  <c r="F13"/>
  <c r="F15"/>
  <c r="F17"/>
  <c r="F19"/>
  <c r="F21"/>
  <c r="F23"/>
  <c r="F25"/>
  <c r="F27"/>
  <c r="F29"/>
  <c r="F31"/>
  <c r="F33"/>
  <c r="F35"/>
  <c r="F37"/>
  <c r="F39"/>
  <c r="F41"/>
  <c r="F43"/>
  <c r="F45"/>
  <c r="E13" i="70"/>
  <c r="F14"/>
  <c r="F16"/>
  <c r="F18"/>
  <c r="F20"/>
  <c r="F22"/>
  <c r="F24"/>
  <c r="F26"/>
  <c r="F28"/>
  <c r="F30"/>
  <c r="F32"/>
  <c r="F34"/>
  <c r="F36"/>
  <c r="F38"/>
  <c r="F40"/>
  <c r="F42"/>
  <c r="F44"/>
  <c r="F13"/>
  <c r="F15"/>
  <c r="F17"/>
  <c r="F19"/>
  <c r="F21"/>
  <c r="F23"/>
  <c r="F25"/>
  <c r="F27"/>
  <c r="F29"/>
  <c r="F31"/>
  <c r="F33"/>
  <c r="F35"/>
  <c r="F37"/>
  <c r="F39"/>
  <c r="F41"/>
  <c r="F43"/>
  <c r="F45"/>
  <c r="I28" i="64"/>
  <c r="H28"/>
  <c r="J28"/>
  <c r="G29"/>
  <c r="E28" i="130"/>
  <c r="F28"/>
  <c r="E19" i="124"/>
  <c r="F19"/>
  <c r="I19" i="120"/>
  <c r="J19"/>
  <c r="J38" i="119"/>
  <c r="I38"/>
  <c r="J13" i="157"/>
  <c r="J15"/>
  <c r="J17"/>
  <c r="J19"/>
  <c r="J21"/>
  <c r="J23"/>
  <c r="J25"/>
  <c r="J27"/>
  <c r="J29"/>
  <c r="J31"/>
  <c r="J33"/>
  <c r="J35"/>
  <c r="J37"/>
  <c r="J39"/>
  <c r="J41"/>
  <c r="J43"/>
  <c r="H44"/>
  <c r="I13"/>
  <c r="J14"/>
  <c r="J16"/>
  <c r="J18"/>
  <c r="J20"/>
  <c r="J22"/>
  <c r="J24"/>
  <c r="J26"/>
  <c r="J28"/>
  <c r="J30"/>
  <c r="J32"/>
  <c r="J34"/>
  <c r="J36"/>
  <c r="J38"/>
  <c r="J40"/>
  <c r="J42"/>
  <c r="H13" i="126"/>
  <c r="J23" i="19"/>
  <c r="I23"/>
  <c r="J14" i="129"/>
  <c r="I14"/>
  <c r="J14" i="125"/>
  <c r="I14"/>
  <c r="F30" i="124"/>
  <c r="E30"/>
  <c r="H14" i="120"/>
  <c r="J15"/>
  <c r="I15"/>
  <c r="J44" i="159"/>
  <c r="I44"/>
  <c r="J44" i="161"/>
  <c r="I44"/>
  <c r="E13" i="138"/>
  <c r="F14"/>
  <c r="F16"/>
  <c r="F18"/>
  <c r="F20"/>
  <c r="F22"/>
  <c r="F24"/>
  <c r="F26"/>
  <c r="F28"/>
  <c r="F30"/>
  <c r="F32"/>
  <c r="F34"/>
  <c r="F36"/>
  <c r="F38"/>
  <c r="F40"/>
  <c r="F42"/>
  <c r="F44"/>
  <c r="F46"/>
  <c r="F13"/>
  <c r="F15"/>
  <c r="F17"/>
  <c r="F19"/>
  <c r="F21"/>
  <c r="F23"/>
  <c r="F25"/>
  <c r="F27"/>
  <c r="F29"/>
  <c r="F31"/>
  <c r="F33"/>
  <c r="F35"/>
  <c r="F37"/>
  <c r="F39"/>
  <c r="F41"/>
  <c r="F43"/>
  <c r="F45"/>
  <c r="F13" i="132"/>
  <c r="F15"/>
  <c r="F17"/>
  <c r="F19"/>
  <c r="F21"/>
  <c r="F23"/>
  <c r="F25"/>
  <c r="F27"/>
  <c r="F29"/>
  <c r="F31"/>
  <c r="E13"/>
  <c r="F14"/>
  <c r="F16"/>
  <c r="F18"/>
  <c r="F20"/>
  <c r="F22"/>
  <c r="F24"/>
  <c r="F26"/>
  <c r="F28"/>
  <c r="F30"/>
  <c r="F32"/>
  <c r="D33"/>
  <c r="J13" i="120"/>
  <c r="J17"/>
  <c r="J20"/>
  <c r="J22"/>
  <c r="J24"/>
  <c r="J26"/>
  <c r="J28"/>
  <c r="I13"/>
  <c r="J31"/>
  <c r="J33"/>
  <c r="J35"/>
  <c r="J37"/>
  <c r="J39"/>
  <c r="J41"/>
  <c r="J43"/>
  <c r="J27"/>
  <c r="J29"/>
  <c r="J32"/>
  <c r="J34"/>
  <c r="J36"/>
  <c r="J38"/>
  <c r="J40"/>
  <c r="J42"/>
  <c r="J44"/>
  <c r="H45"/>
  <c r="J13" i="107"/>
  <c r="J15"/>
  <c r="J17"/>
  <c r="J19"/>
  <c r="J21"/>
  <c r="J23"/>
  <c r="J25"/>
  <c r="J27"/>
  <c r="J29"/>
  <c r="J31"/>
  <c r="J33"/>
  <c r="J35"/>
  <c r="J37"/>
  <c r="J39"/>
  <c r="J41"/>
  <c r="J43"/>
  <c r="J45"/>
  <c r="J47"/>
  <c r="I13"/>
  <c r="J14"/>
  <c r="J16"/>
  <c r="J18"/>
  <c r="J20"/>
  <c r="J22"/>
  <c r="J24"/>
  <c r="J26"/>
  <c r="J28"/>
  <c r="J30"/>
  <c r="J32"/>
  <c r="J34"/>
  <c r="J36"/>
  <c r="J38"/>
  <c r="J40"/>
  <c r="J42"/>
  <c r="J44"/>
  <c r="J46"/>
  <c r="J13" i="156"/>
  <c r="J15"/>
  <c r="J16"/>
  <c r="J17"/>
  <c r="J18"/>
  <c r="J19"/>
  <c r="J20"/>
  <c r="J21"/>
  <c r="J22"/>
  <c r="J23"/>
  <c r="J24"/>
  <c r="J25"/>
  <c r="J26"/>
  <c r="J28"/>
  <c r="J29"/>
  <c r="J30"/>
  <c r="J31"/>
  <c r="J32"/>
  <c r="J33"/>
  <c r="J34"/>
  <c r="J35"/>
  <c r="J37"/>
  <c r="J38"/>
  <c r="J39"/>
  <c r="J40"/>
  <c r="J41"/>
  <c r="J42"/>
  <c r="J43"/>
  <c r="J44"/>
  <c r="J45"/>
  <c r="J46"/>
  <c r="J47"/>
  <c r="J48"/>
  <c r="J49"/>
  <c r="I13"/>
  <c r="E13" i="67"/>
  <c r="F16"/>
  <c r="F18"/>
  <c r="F20"/>
  <c r="F22"/>
  <c r="F24"/>
  <c r="F26"/>
  <c r="F28"/>
  <c r="F30"/>
  <c r="F32"/>
  <c r="F34"/>
  <c r="F13"/>
  <c r="F17"/>
  <c r="F19"/>
  <c r="F21"/>
  <c r="F23"/>
  <c r="F25"/>
  <c r="F27"/>
  <c r="F29"/>
  <c r="F31"/>
  <c r="F33"/>
  <c r="F35"/>
  <c r="F36"/>
  <c r="F37"/>
  <c r="I14" i="128"/>
  <c r="J14"/>
  <c r="I14" i="126"/>
  <c r="J14"/>
  <c r="F44" i="158"/>
  <c r="E44"/>
  <c r="J44"/>
  <c r="I44"/>
  <c r="J44" i="160"/>
  <c r="I44"/>
  <c r="J44" i="162"/>
  <c r="I44"/>
  <c r="E29" i="64"/>
  <c r="F29" i="144"/>
  <c r="F29" i="142"/>
  <c r="F29" i="140"/>
  <c r="F29" i="64"/>
  <c r="H14" i="124"/>
  <c r="G45" i="120"/>
  <c r="J23"/>
  <c r="C45" i="126"/>
  <c r="F30" i="120"/>
  <c r="J16"/>
  <c r="J30"/>
  <c r="I45" l="1"/>
  <c r="J45"/>
  <c r="J14"/>
  <c r="I14"/>
  <c r="J44" i="157"/>
  <c r="I44"/>
  <c r="E45" i="129"/>
  <c r="F45"/>
  <c r="F14" i="120"/>
  <c r="E14"/>
  <c r="F44" i="157"/>
  <c r="E44"/>
  <c r="F14" i="130"/>
  <c r="E14"/>
  <c r="D43"/>
  <c r="F45" i="124"/>
  <c r="E45"/>
  <c r="J14"/>
  <c r="I14"/>
  <c r="H45"/>
  <c r="E33" i="132"/>
  <c r="F33"/>
  <c r="I13" i="126"/>
  <c r="J16"/>
  <c r="J18"/>
  <c r="J21"/>
  <c r="J23"/>
  <c r="J25"/>
  <c r="J27"/>
  <c r="J29"/>
  <c r="J32"/>
  <c r="J34"/>
  <c r="J36"/>
  <c r="J38"/>
  <c r="J40"/>
  <c r="J42"/>
  <c r="J44"/>
  <c r="H45"/>
  <c r="J13"/>
  <c r="J17"/>
  <c r="J20"/>
  <c r="J22"/>
  <c r="J24"/>
  <c r="J26"/>
  <c r="J28"/>
  <c r="J31"/>
  <c r="J33"/>
  <c r="J35"/>
  <c r="J37"/>
  <c r="J39"/>
  <c r="J41"/>
  <c r="J43"/>
  <c r="J30"/>
  <c r="J19"/>
  <c r="J15"/>
  <c r="E45" i="125"/>
  <c r="F45"/>
  <c r="I33" i="132"/>
  <c r="J33"/>
  <c r="E13" i="126"/>
  <c r="F16"/>
  <c r="F18"/>
  <c r="F21"/>
  <c r="F23"/>
  <c r="F25"/>
  <c r="F27"/>
  <c r="F29"/>
  <c r="F32"/>
  <c r="F34"/>
  <c r="F36"/>
  <c r="F38"/>
  <c r="F40"/>
  <c r="F42"/>
  <c r="F44"/>
  <c r="D45"/>
  <c r="F13"/>
  <c r="F17"/>
  <c r="F20"/>
  <c r="F22"/>
  <c r="F24"/>
  <c r="F26"/>
  <c r="F28"/>
  <c r="F31"/>
  <c r="F33"/>
  <c r="F35"/>
  <c r="F37"/>
  <c r="F39"/>
  <c r="F41"/>
  <c r="F43"/>
  <c r="F15"/>
  <c r="F30"/>
  <c r="F19"/>
  <c r="J14" i="130"/>
  <c r="I14"/>
  <c r="H43"/>
  <c r="D45" i="120"/>
  <c r="J45" i="126" l="1"/>
  <c r="I45"/>
  <c r="J43" i="130"/>
  <c r="I43"/>
  <c r="F45" i="126"/>
  <c r="E45"/>
  <c r="F43" i="130"/>
  <c r="E43"/>
  <c r="E45" i="120"/>
  <c r="F45"/>
  <c r="J45" i="124"/>
  <c r="I45"/>
</calcChain>
</file>

<file path=xl/sharedStrings.xml><?xml version="1.0" encoding="utf-8"?>
<sst xmlns="http://schemas.openxmlformats.org/spreadsheetml/2006/main" count="583" uniqueCount="144">
  <si>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</si>
  <si>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</si>
  <si>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</si>
  <si>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</si>
  <si>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</si>
  <si>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</si>
  <si>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</si>
  <si>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</si>
  <si>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</si>
  <si>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</si>
  <si>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</si>
  <si>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</si>
  <si>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</si>
  <si>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</si>
  <si>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</si>
  <si>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</si>
  <si>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</si>
  <si>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</si>
  <si>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</si>
  <si>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</si>
  <si>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</si>
  <si>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</si>
  <si>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</si>
  <si>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</si>
  <si>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</si>
  <si>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</si>
  <si>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</si>
  <si>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</si>
  <si>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</si>
  <si>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</si>
  <si>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</si>
  <si>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</si>
  <si>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</si>
  <si>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</si>
  <si>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</si>
  <si>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</si>
  <si>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</si>
  <si>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</si>
  <si>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</si>
  <si>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</si>
  <si>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</si>
  <si>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</si>
  <si>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</si>
  <si>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</si>
  <si>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</si>
  <si>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</si>
  <si>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</si>
  <si>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</si>
  <si>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</si>
  <si>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</si>
  <si>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</si>
  <si>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</si>
  <si>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</si>
  <si>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</si>
  <si>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</si>
  <si>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</si>
  <si>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</si>
  <si>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</si>
  <si>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</si>
  <si>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</si>
  <si>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</si>
  <si>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</si>
  <si>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</si>
  <si>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</si>
  <si>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</si>
  <si>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</si>
  <si>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</si>
  <si>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</si>
  <si>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</si>
  <si>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</si>
  <si>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</si>
  <si>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</si>
  <si>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</si>
  <si>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</si>
  <si>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</si>
  <si>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</si>
  <si>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</si>
  <si>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</si>
  <si>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</si>
  <si>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</si>
  <si>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</si>
  <si>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</si>
  <si>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</si>
  <si>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</si>
  <si>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</si>
  <si>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</si>
  <si>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</si>
  <si>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</si>
  <si>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</si>
  <si>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</si>
  <si>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</si>
  <si>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</si>
  <si>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</si>
  <si>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</si>
  <si>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</si>
  <si>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</si>
  <si>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</si>
  <si>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</si>
  <si>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</si>
  <si>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</si>
  <si>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</si>
  <si>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</si>
  <si>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</si>
  <si>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</si>
  <si>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</si>
  <si>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</si>
  <si>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</si>
  <si>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</si>
  <si>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</si>
  <si>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</si>
  <si>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</si>
  <si>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</si>
  <si>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</si>
  <si>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</si>
  <si>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</si>
  <si>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</si>
  <si>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</si>
  <si>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</si>
  <si>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</si>
  <si>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</si>
  <si>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</si>
  <si>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</si>
  <si>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</si>
  <si>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</si>
  <si>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</si>
  <si>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</si>
  <si>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</si>
  <si>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</si>
  <si>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</si>
  <si>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</si>
  <si>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</si>
  <si>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</si>
  <si>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Sin información</t>
  </si>
  <si>
    <t/>
  </si>
  <si>
    <t>% Cambio   '13/'12</t>
  </si>
  <si>
    <t>% del total '13</t>
  </si>
  <si>
    <t xml:space="preserve"> '13 como % de '12</t>
  </si>
  <si>
    <t>Fuente: The Economist. Edición impresa 04 de mayo de 2013.</t>
  </si>
  <si>
    <t>Cuarto trimestre de 2012: Argentina, Canadá, Chile, Colombia, Estados Unidos, Gran Bretaña, México, Perú y Venezuela.</t>
  </si>
  <si>
    <t>Febrero de 2013: Zona Euro y Japón.</t>
  </si>
  <si>
    <t>Primer trimestre de 2013: China.</t>
  </si>
  <si>
    <t>Marzo de 2013: Brasil.</t>
  </si>
  <si>
    <t>Año corrido a abril</t>
  </si>
  <si>
    <t>Abril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</si>
</sst>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1" fontId="12" fillId="2" borderId="1" xfId="2" applyNumberFormat="1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externalLink" Target="externalLinks/externalLink11.xml"/><Relationship Id="rId50" Type="http://schemas.openxmlformats.org/officeDocument/2006/relationships/externalLink" Target="externalLinks/externalLink14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externalLink" Target="externalLinks/externalLink9.xml"/><Relationship Id="rId53" Type="http://schemas.openxmlformats.org/officeDocument/2006/relationships/externalLink" Target="externalLinks/externalLink1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3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52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Relationship Id="rId48" Type="http://schemas.openxmlformats.org/officeDocument/2006/relationships/externalLink" Target="externalLinks/externalLink12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5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506E-2"/>
                  <c:y val="0.1201025899159880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361.7771869099987</c:v>
                </c:pt>
                <c:pt idx="1">
                  <c:v>9109.3393336200861</c:v>
                </c:pt>
                <c:pt idx="2">
                  <c:v>36.243516200000229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0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[16]Total!$E$41:$E$89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[16]Total!$F$41:$F$89</c:f>
              <c:numCache>
                <c:formatCode>General</c:formatCode>
                <c:ptCount val="49"/>
                <c:pt idx="0">
                  <c:v>1223.4315620333364</c:v>
                </c:pt>
                <c:pt idx="1">
                  <c:v>1207.9435425225051</c:v>
                </c:pt>
                <c:pt idx="2">
                  <c:v>1192.3156023775061</c:v>
                </c:pt>
                <c:pt idx="3">
                  <c:v>1198.3028991725052</c:v>
                </c:pt>
                <c:pt idx="4">
                  <c:v>1195.9863133375045</c:v>
                </c:pt>
                <c:pt idx="5">
                  <c:v>1190.8347042625041</c:v>
                </c:pt>
                <c:pt idx="6">
                  <c:v>1183.8303715883355</c:v>
                </c:pt>
                <c:pt idx="7">
                  <c:v>1158.6841218266688</c:v>
                </c:pt>
                <c:pt idx="8">
                  <c:v>1164.3470357383364</c:v>
                </c:pt>
                <c:pt idx="9">
                  <c:v>1148.5453219616695</c:v>
                </c:pt>
                <c:pt idx="10">
                  <c:v>1155.3038296425023</c:v>
                </c:pt>
                <c:pt idx="11">
                  <c:v>1196.3089286683346</c:v>
                </c:pt>
                <c:pt idx="12">
                  <c:v>1209.6937527841649</c:v>
                </c:pt>
                <c:pt idx="13">
                  <c:v>1244.5338117974968</c:v>
                </c:pt>
                <c:pt idx="14">
                  <c:v>1274.8309969716627</c:v>
                </c:pt>
                <c:pt idx="15">
                  <c:v>1287.2568402033289</c:v>
                </c:pt>
                <c:pt idx="16">
                  <c:v>1325.1180212066643</c:v>
                </c:pt>
                <c:pt idx="17">
                  <c:v>1377.3994433024984</c:v>
                </c:pt>
                <c:pt idx="18">
                  <c:v>1406.8429118358347</c:v>
                </c:pt>
                <c:pt idx="19">
                  <c:v>1460.3990005350006</c:v>
                </c:pt>
                <c:pt idx="20">
                  <c:v>1507.1219952916672</c:v>
                </c:pt>
                <c:pt idx="21">
                  <c:v>1540.8399958133334</c:v>
                </c:pt>
                <c:pt idx="22">
                  <c:v>1570.8813455183329</c:v>
                </c:pt>
                <c:pt idx="23">
                  <c:v>1621.1215426583306</c:v>
                </c:pt>
                <c:pt idx="24">
                  <c:v>1687.3633215699986</c:v>
                </c:pt>
                <c:pt idx="25">
                  <c:v>1780.443132733333</c:v>
                </c:pt>
                <c:pt idx="26">
                  <c:v>1821.9747202991703</c:v>
                </c:pt>
                <c:pt idx="27">
                  <c:v>1849.270484158337</c:v>
                </c:pt>
                <c:pt idx="28">
                  <c:v>1882.2524604416694</c:v>
                </c:pt>
                <c:pt idx="29">
                  <c:v>1937.4334861383352</c:v>
                </c:pt>
                <c:pt idx="30">
                  <c:v>2004.0219793183339</c:v>
                </c:pt>
                <c:pt idx="31">
                  <c:v>2077.3516533033294</c:v>
                </c:pt>
                <c:pt idx="32">
                  <c:v>2097.1855392941625</c:v>
                </c:pt>
                <c:pt idx="33">
                  <c:v>2149.1525830099977</c:v>
                </c:pt>
                <c:pt idx="34">
                  <c:v>2168.7468070108312</c:v>
                </c:pt>
                <c:pt idx="35">
                  <c:v>2188.0558082441698</c:v>
                </c:pt>
                <c:pt idx="36">
                  <c:v>2182.6159930150047</c:v>
                </c:pt>
                <c:pt idx="37">
                  <c:v>2203.824732971671</c:v>
                </c:pt>
                <c:pt idx="38">
                  <c:v>2242.1159443216698</c:v>
                </c:pt>
                <c:pt idx="39">
                  <c:v>2293.7600414341691</c:v>
                </c:pt>
                <c:pt idx="40">
                  <c:v>2326.4213091658353</c:v>
                </c:pt>
                <c:pt idx="41">
                  <c:v>2316.5804811991675</c:v>
                </c:pt>
                <c:pt idx="42">
                  <c:v>2326.7681017925033</c:v>
                </c:pt>
                <c:pt idx="43">
                  <c:v>2313.6055350066745</c:v>
                </c:pt>
                <c:pt idx="44">
                  <c:v>2316.8378339650071</c:v>
                </c:pt>
                <c:pt idx="45">
                  <c:v>2334.4837807383406</c:v>
                </c:pt>
                <c:pt idx="46">
                  <c:v>2376.8975339875064</c:v>
                </c:pt>
                <c:pt idx="47">
                  <c:v>2369.7704863400018</c:v>
                </c:pt>
                <c:pt idx="48">
                  <c:v>2411.2592702600014</c:v>
                </c:pt>
              </c:numCache>
            </c:numRef>
          </c:val>
        </c:ser>
        <c:marker val="1"/>
        <c:axId val="93518464"/>
        <c:axId val="98398976"/>
      </c:lineChart>
      <c:dateAx>
        <c:axId val="935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98976"/>
        <c:crosses val="autoZero"/>
        <c:auto val="1"/>
        <c:lblOffset val="100"/>
        <c:majorUnit val="12"/>
        <c:minorUnit val="12"/>
      </c:dateAx>
      <c:valAx>
        <c:axId val="98398976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1846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[16]Primarios!$E$41:$E$89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[16]Primarios!$F$41:$F$89</c:f>
              <c:numCache>
                <c:formatCode>General</c:formatCode>
                <c:ptCount val="49"/>
                <c:pt idx="0">
                  <c:v>44.624840490833357</c:v>
                </c:pt>
                <c:pt idx="1">
                  <c:v>44.548843210000022</c:v>
                </c:pt>
                <c:pt idx="2">
                  <c:v>44.595237090000019</c:v>
                </c:pt>
                <c:pt idx="3">
                  <c:v>45.160477275000012</c:v>
                </c:pt>
                <c:pt idx="4">
                  <c:v>43.913446645000022</c:v>
                </c:pt>
                <c:pt idx="5">
                  <c:v>43.735495691666678</c:v>
                </c:pt>
                <c:pt idx="6">
                  <c:v>42.69963723916667</c:v>
                </c:pt>
                <c:pt idx="7">
                  <c:v>39.972839045833346</c:v>
                </c:pt>
                <c:pt idx="8">
                  <c:v>41.034956977499995</c:v>
                </c:pt>
                <c:pt idx="9">
                  <c:v>41.475832010833322</c:v>
                </c:pt>
                <c:pt idx="10">
                  <c:v>43.01919786749999</c:v>
                </c:pt>
                <c:pt idx="11">
                  <c:v>44.083188124999992</c:v>
                </c:pt>
                <c:pt idx="12">
                  <c:v>46.568289399999991</c:v>
                </c:pt>
                <c:pt idx="13">
                  <c:v>47.317843987499991</c:v>
                </c:pt>
                <c:pt idx="14">
                  <c:v>48.090786568333328</c:v>
                </c:pt>
                <c:pt idx="15">
                  <c:v>48.336971965833328</c:v>
                </c:pt>
                <c:pt idx="16">
                  <c:v>49.375460669999995</c:v>
                </c:pt>
                <c:pt idx="17">
                  <c:v>51.466746474999987</c:v>
                </c:pt>
                <c:pt idx="18">
                  <c:v>51.237090329999994</c:v>
                </c:pt>
                <c:pt idx="19">
                  <c:v>52.615218538333316</c:v>
                </c:pt>
                <c:pt idx="20">
                  <c:v>52.961488959166651</c:v>
                </c:pt>
                <c:pt idx="21">
                  <c:v>53.909681253333332</c:v>
                </c:pt>
                <c:pt idx="22">
                  <c:v>53.986736871666672</c:v>
                </c:pt>
                <c:pt idx="23">
                  <c:v>53.406843820000006</c:v>
                </c:pt>
                <c:pt idx="24">
                  <c:v>54.258452859166681</c:v>
                </c:pt>
                <c:pt idx="25">
                  <c:v>57.694838892500009</c:v>
                </c:pt>
                <c:pt idx="26">
                  <c:v>59.619350424999993</c:v>
                </c:pt>
                <c:pt idx="27">
                  <c:v>60.250522963333331</c:v>
                </c:pt>
                <c:pt idx="28">
                  <c:v>61.371806063333317</c:v>
                </c:pt>
                <c:pt idx="29">
                  <c:v>63.120787589999985</c:v>
                </c:pt>
                <c:pt idx="30">
                  <c:v>65.813949255833307</c:v>
                </c:pt>
                <c:pt idx="31">
                  <c:v>68.045285174166651</c:v>
                </c:pt>
                <c:pt idx="32">
                  <c:v>69.890307645833317</c:v>
                </c:pt>
                <c:pt idx="33">
                  <c:v>73.012894192499957</c:v>
                </c:pt>
                <c:pt idx="34">
                  <c:v>75.95906286499995</c:v>
                </c:pt>
                <c:pt idx="35">
                  <c:v>78.210583140833293</c:v>
                </c:pt>
                <c:pt idx="36">
                  <c:v>78.014176726666619</c:v>
                </c:pt>
                <c:pt idx="37">
                  <c:v>80.372545959999954</c:v>
                </c:pt>
                <c:pt idx="38">
                  <c:v>83.635861052499976</c:v>
                </c:pt>
                <c:pt idx="39">
                  <c:v>85.97532307583333</c:v>
                </c:pt>
                <c:pt idx="40">
                  <c:v>89.054122257500012</c:v>
                </c:pt>
                <c:pt idx="41">
                  <c:v>91.694556294999998</c:v>
                </c:pt>
                <c:pt idx="42">
                  <c:v>94.065379783333341</c:v>
                </c:pt>
                <c:pt idx="43">
                  <c:v>95.02188599583333</c:v>
                </c:pt>
                <c:pt idx="44">
                  <c:v>99.092085835000034</c:v>
                </c:pt>
                <c:pt idx="45">
                  <c:v>101.08694062416673</c:v>
                </c:pt>
                <c:pt idx="46">
                  <c:v>101.43669730833339</c:v>
                </c:pt>
                <c:pt idx="47">
                  <c:v>99.874298500000052</c:v>
                </c:pt>
                <c:pt idx="48">
                  <c:v>101.65419860500003</c:v>
                </c:pt>
              </c:numCache>
            </c:numRef>
          </c:val>
        </c:ser>
        <c:marker val="1"/>
        <c:axId val="100435840"/>
        <c:axId val="101277696"/>
      </c:lineChart>
      <c:dateAx>
        <c:axId val="10043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77696"/>
        <c:crosses val="autoZero"/>
        <c:auto val="1"/>
        <c:lblOffset val="100"/>
        <c:majorUnit val="12"/>
        <c:minorUnit val="12"/>
      </c:dateAx>
      <c:valAx>
        <c:axId val="101277696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43584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[16]Manufacturas!$E$41:$E$89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[16]Manufacturas!$F$41:$F$89</c:f>
              <c:numCache>
                <c:formatCode>General</c:formatCode>
                <c:ptCount val="49"/>
                <c:pt idx="0">
                  <c:v>1171.5661133625003</c:v>
                </c:pt>
                <c:pt idx="1">
                  <c:v>1156.2825668891685</c:v>
                </c:pt>
                <c:pt idx="2">
                  <c:v>1140.6264679458359</c:v>
                </c:pt>
                <c:pt idx="3">
                  <c:v>1146.1626471058373</c:v>
                </c:pt>
                <c:pt idx="4">
                  <c:v>1145.3452232258371</c:v>
                </c:pt>
                <c:pt idx="5">
                  <c:v>1140.6453255608374</c:v>
                </c:pt>
                <c:pt idx="6">
                  <c:v>1134.9840937975032</c:v>
                </c:pt>
                <c:pt idx="7">
                  <c:v>1112.4658086566701</c:v>
                </c:pt>
                <c:pt idx="8">
                  <c:v>1116.9253928916698</c:v>
                </c:pt>
                <c:pt idx="9">
                  <c:v>1100.7957556533368</c:v>
                </c:pt>
                <c:pt idx="10">
                  <c:v>1105.9672416666704</c:v>
                </c:pt>
                <c:pt idx="11">
                  <c:v>1145.4753260208361</c:v>
                </c:pt>
                <c:pt idx="12">
                  <c:v>1155.8517391141668</c:v>
                </c:pt>
                <c:pt idx="13">
                  <c:v>1189.4416231024993</c:v>
                </c:pt>
                <c:pt idx="14">
                  <c:v>1218.8178287749979</c:v>
                </c:pt>
                <c:pt idx="15">
                  <c:v>1230.9299242574966</c:v>
                </c:pt>
                <c:pt idx="16">
                  <c:v>1267.5009736533304</c:v>
                </c:pt>
                <c:pt idx="17">
                  <c:v>1317.536024017498</c:v>
                </c:pt>
                <c:pt idx="18">
                  <c:v>1347.100369965</c:v>
                </c:pt>
                <c:pt idx="19">
                  <c:v>1399.2168487874987</c:v>
                </c:pt>
                <c:pt idx="20">
                  <c:v>1445.4646576641651</c:v>
                </c:pt>
                <c:pt idx="21">
                  <c:v>1478.1185033266645</c:v>
                </c:pt>
                <c:pt idx="22">
                  <c:v>1507.9789291358302</c:v>
                </c:pt>
                <c:pt idx="23">
                  <c:v>1558.8831709441617</c:v>
                </c:pt>
                <c:pt idx="24">
                  <c:v>1624.5581797983311</c:v>
                </c:pt>
                <c:pt idx="25">
                  <c:v>1714.4574000041666</c:v>
                </c:pt>
                <c:pt idx="26">
                  <c:v>1754.2557543758383</c:v>
                </c:pt>
                <c:pt idx="27">
                  <c:v>1780.7037461000043</c:v>
                </c:pt>
                <c:pt idx="28">
                  <c:v>1812.4469017466718</c:v>
                </c:pt>
                <c:pt idx="29">
                  <c:v>1865.9771529550051</c:v>
                </c:pt>
                <c:pt idx="30">
                  <c:v>1929.8488546625058</c:v>
                </c:pt>
                <c:pt idx="31">
                  <c:v>2000.6574675983372</c:v>
                </c:pt>
                <c:pt idx="32">
                  <c:v>2018.5999249633367</c:v>
                </c:pt>
                <c:pt idx="33">
                  <c:v>2067.4725096333368</c:v>
                </c:pt>
                <c:pt idx="34">
                  <c:v>2084.116290645004</c:v>
                </c:pt>
                <c:pt idx="35">
                  <c:v>2101.122620073339</c:v>
                </c:pt>
                <c:pt idx="36">
                  <c:v>2095.8863475483399</c:v>
                </c:pt>
                <c:pt idx="37">
                  <c:v>2114.6398173775028</c:v>
                </c:pt>
                <c:pt idx="38">
                  <c:v>2149.615965093335</c:v>
                </c:pt>
                <c:pt idx="39">
                  <c:v>2199.0986808050015</c:v>
                </c:pt>
                <c:pt idx="40">
                  <c:v>2228.6534807641683</c:v>
                </c:pt>
                <c:pt idx="41">
                  <c:v>2215.9065081641688</c:v>
                </c:pt>
                <c:pt idx="42">
                  <c:v>2223.6170047341689</c:v>
                </c:pt>
                <c:pt idx="43">
                  <c:v>2209.8954810783389</c:v>
                </c:pt>
                <c:pt idx="44">
                  <c:v>2209.0527932116715</c:v>
                </c:pt>
                <c:pt idx="45">
                  <c:v>2224.488891837505</c:v>
                </c:pt>
                <c:pt idx="46">
                  <c:v>2266.6412095483365</c:v>
                </c:pt>
                <c:pt idx="47">
                  <c:v>2261.2406475916691</c:v>
                </c:pt>
                <c:pt idx="48">
                  <c:v>2300.8222031508353</c:v>
                </c:pt>
              </c:numCache>
            </c:numRef>
          </c:val>
        </c:ser>
        <c:marker val="1"/>
        <c:axId val="112389504"/>
        <c:axId val="112514176"/>
      </c:lineChart>
      <c:dateAx>
        <c:axId val="112389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14176"/>
        <c:crosses val="autoZero"/>
        <c:auto val="1"/>
        <c:lblOffset val="100"/>
        <c:majorUnit val="12"/>
        <c:minorUnit val="12"/>
      </c:dateAx>
      <c:valAx>
        <c:axId val="112514176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89504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[16]Rec_naturales!$E$41:$E$89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[16]Rec_naturales!$F$41:$F$89</c:f>
              <c:numCache>
                <c:formatCode>General</c:formatCode>
                <c:ptCount val="49"/>
                <c:pt idx="0">
                  <c:v>108.23684813750002</c:v>
                </c:pt>
                <c:pt idx="1">
                  <c:v>106.97367766666666</c:v>
                </c:pt>
                <c:pt idx="2">
                  <c:v>105.8798304825</c:v>
                </c:pt>
                <c:pt idx="3">
                  <c:v>104.12723220916661</c:v>
                </c:pt>
                <c:pt idx="4">
                  <c:v>103.66602865749996</c:v>
                </c:pt>
                <c:pt idx="5">
                  <c:v>103.48934158250002</c:v>
                </c:pt>
                <c:pt idx="6">
                  <c:v>102.4252727733333</c:v>
                </c:pt>
                <c:pt idx="7">
                  <c:v>103.33189182916668</c:v>
                </c:pt>
                <c:pt idx="8">
                  <c:v>104.126037385</c:v>
                </c:pt>
                <c:pt idx="9">
                  <c:v>103.82772087749998</c:v>
                </c:pt>
                <c:pt idx="10">
                  <c:v>104.89518587666664</c:v>
                </c:pt>
                <c:pt idx="11">
                  <c:v>107.85928405833327</c:v>
                </c:pt>
                <c:pt idx="12">
                  <c:v>111.49330946249994</c:v>
                </c:pt>
                <c:pt idx="13">
                  <c:v>115.52916600749995</c:v>
                </c:pt>
                <c:pt idx="14">
                  <c:v>119.53197662416666</c:v>
                </c:pt>
                <c:pt idx="15">
                  <c:v>123.14866238833336</c:v>
                </c:pt>
                <c:pt idx="16">
                  <c:v>128.01634433166666</c:v>
                </c:pt>
                <c:pt idx="17">
                  <c:v>134.85259019749984</c:v>
                </c:pt>
                <c:pt idx="18">
                  <c:v>144.73154127749979</c:v>
                </c:pt>
                <c:pt idx="19">
                  <c:v>147.22029632499974</c:v>
                </c:pt>
                <c:pt idx="20">
                  <c:v>164.24988747083296</c:v>
                </c:pt>
                <c:pt idx="21">
                  <c:v>170.92925679583297</c:v>
                </c:pt>
                <c:pt idx="22">
                  <c:v>174.68905516249961</c:v>
                </c:pt>
                <c:pt idx="23">
                  <c:v>178.0624197049996</c:v>
                </c:pt>
                <c:pt idx="24">
                  <c:v>208.26957367416631</c:v>
                </c:pt>
                <c:pt idx="25">
                  <c:v>232.61806543499961</c:v>
                </c:pt>
                <c:pt idx="26">
                  <c:v>234.65228583666632</c:v>
                </c:pt>
                <c:pt idx="27">
                  <c:v>235.29082795749957</c:v>
                </c:pt>
                <c:pt idx="28">
                  <c:v>235.94544352666628</c:v>
                </c:pt>
                <c:pt idx="29">
                  <c:v>256.27566247749968</c:v>
                </c:pt>
                <c:pt idx="30">
                  <c:v>269.19820449583341</c:v>
                </c:pt>
                <c:pt idx="31">
                  <c:v>301.0781457033334</c:v>
                </c:pt>
                <c:pt idx="32">
                  <c:v>287.02773121000018</c:v>
                </c:pt>
                <c:pt idx="33">
                  <c:v>319.75642538333346</c:v>
                </c:pt>
                <c:pt idx="34">
                  <c:v>322.5328192075001</c:v>
                </c:pt>
                <c:pt idx="35">
                  <c:v>350.40453398416679</c:v>
                </c:pt>
                <c:pt idx="36">
                  <c:v>339.28650951250023</c:v>
                </c:pt>
                <c:pt idx="37">
                  <c:v>363.61690601666697</c:v>
                </c:pt>
                <c:pt idx="38">
                  <c:v>395.97467956333338</c:v>
                </c:pt>
                <c:pt idx="39">
                  <c:v>434.92215518083344</c:v>
                </c:pt>
                <c:pt idx="40">
                  <c:v>447.01563345416679</c:v>
                </c:pt>
                <c:pt idx="41">
                  <c:v>457.73835255166688</c:v>
                </c:pt>
                <c:pt idx="42">
                  <c:v>463.70374365916672</c:v>
                </c:pt>
                <c:pt idx="43">
                  <c:v>458.22415463083343</c:v>
                </c:pt>
                <c:pt idx="44">
                  <c:v>467.1922228100002</c:v>
                </c:pt>
                <c:pt idx="45">
                  <c:v>469.61397692333361</c:v>
                </c:pt>
                <c:pt idx="46">
                  <c:v>491.80632539916695</c:v>
                </c:pt>
                <c:pt idx="47">
                  <c:v>490.32510342750021</c:v>
                </c:pt>
                <c:pt idx="48">
                  <c:v>499.75254314916668</c:v>
                </c:pt>
              </c:numCache>
            </c:numRef>
          </c:val>
          <c:smooth val="1"/>
        </c:ser>
        <c:marker val="1"/>
        <c:axId val="112653824"/>
        <c:axId val="112655360"/>
      </c:lineChart>
      <c:dateAx>
        <c:axId val="11265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55360"/>
        <c:crosses val="autoZero"/>
        <c:auto val="1"/>
        <c:lblOffset val="100"/>
        <c:majorUnit val="12"/>
        <c:minorUnit val="12"/>
      </c:dateAx>
      <c:valAx>
        <c:axId val="112655360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53824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[16]Baja_tek!$E$41:$E$89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[16]Baja_tek!$F$41:$F$89</c:f>
              <c:numCache>
                <c:formatCode>General</c:formatCode>
                <c:ptCount val="49"/>
                <c:pt idx="0">
                  <c:v>158.44464894916669</c:v>
                </c:pt>
                <c:pt idx="1">
                  <c:v>155.45096442749994</c:v>
                </c:pt>
                <c:pt idx="2">
                  <c:v>154.58004805916667</c:v>
                </c:pt>
                <c:pt idx="3">
                  <c:v>152.33286942166669</c:v>
                </c:pt>
                <c:pt idx="4">
                  <c:v>149.79457146166666</c:v>
                </c:pt>
                <c:pt idx="5">
                  <c:v>148.30078338833343</c:v>
                </c:pt>
                <c:pt idx="6">
                  <c:v>145.31851997583328</c:v>
                </c:pt>
                <c:pt idx="7">
                  <c:v>140.89374188249997</c:v>
                </c:pt>
                <c:pt idx="8">
                  <c:v>141.71161079333331</c:v>
                </c:pt>
                <c:pt idx="9">
                  <c:v>136.93899356083341</c:v>
                </c:pt>
                <c:pt idx="10">
                  <c:v>139.53094131500009</c:v>
                </c:pt>
                <c:pt idx="11">
                  <c:v>145.54691871666677</c:v>
                </c:pt>
                <c:pt idx="12">
                  <c:v>148.45631624166668</c:v>
                </c:pt>
                <c:pt idx="13">
                  <c:v>152.5350931025001</c:v>
                </c:pt>
                <c:pt idx="14">
                  <c:v>158.65980679166674</c:v>
                </c:pt>
                <c:pt idx="15">
                  <c:v>165.53823414250002</c:v>
                </c:pt>
                <c:pt idx="16">
                  <c:v>173.2021787149998</c:v>
                </c:pt>
                <c:pt idx="17">
                  <c:v>182.12112057083314</c:v>
                </c:pt>
                <c:pt idx="18">
                  <c:v>190.57028911083296</c:v>
                </c:pt>
                <c:pt idx="19">
                  <c:v>199.76443132333296</c:v>
                </c:pt>
                <c:pt idx="20">
                  <c:v>204.82857695166626</c:v>
                </c:pt>
                <c:pt idx="21">
                  <c:v>211.31790591833285</c:v>
                </c:pt>
                <c:pt idx="22">
                  <c:v>215.77044458499972</c:v>
                </c:pt>
                <c:pt idx="23">
                  <c:v>220.10886486083322</c:v>
                </c:pt>
                <c:pt idx="24">
                  <c:v>227.94592264333315</c:v>
                </c:pt>
                <c:pt idx="25">
                  <c:v>241.01367808999998</c:v>
                </c:pt>
                <c:pt idx="26">
                  <c:v>246.9946524308333</c:v>
                </c:pt>
                <c:pt idx="27">
                  <c:v>251.61491688166666</c:v>
                </c:pt>
                <c:pt idx="28">
                  <c:v>258.82514893083379</c:v>
                </c:pt>
                <c:pt idx="29">
                  <c:v>263.01789049083357</c:v>
                </c:pt>
                <c:pt idx="30">
                  <c:v>269.75378371250025</c:v>
                </c:pt>
                <c:pt idx="31">
                  <c:v>276.36208953916679</c:v>
                </c:pt>
                <c:pt idx="32">
                  <c:v>286.7877973908333</c:v>
                </c:pt>
                <c:pt idx="33">
                  <c:v>292.42751126666673</c:v>
                </c:pt>
                <c:pt idx="34">
                  <c:v>298.59908017416655</c:v>
                </c:pt>
                <c:pt idx="35">
                  <c:v>301.86634290999956</c:v>
                </c:pt>
                <c:pt idx="36">
                  <c:v>303.6634880724996</c:v>
                </c:pt>
                <c:pt idx="37">
                  <c:v>302.59702938833294</c:v>
                </c:pt>
                <c:pt idx="38">
                  <c:v>304.45927342916639</c:v>
                </c:pt>
                <c:pt idx="39">
                  <c:v>310.53483897583294</c:v>
                </c:pt>
                <c:pt idx="40">
                  <c:v>314.37774910916642</c:v>
                </c:pt>
                <c:pt idx="41">
                  <c:v>315.71859838249981</c:v>
                </c:pt>
                <c:pt idx="42">
                  <c:v>316.71742277000004</c:v>
                </c:pt>
                <c:pt idx="43">
                  <c:v>315.22416307416671</c:v>
                </c:pt>
                <c:pt idx="44">
                  <c:v>310.78834924666671</c:v>
                </c:pt>
                <c:pt idx="45">
                  <c:v>309.86016355166686</c:v>
                </c:pt>
                <c:pt idx="46">
                  <c:v>308.08899651166683</c:v>
                </c:pt>
                <c:pt idx="47">
                  <c:v>306.5675005808335</c:v>
                </c:pt>
                <c:pt idx="48">
                  <c:v>308.19546292500024</c:v>
                </c:pt>
              </c:numCache>
            </c:numRef>
          </c:val>
        </c:ser>
        <c:marker val="1"/>
        <c:axId val="134176128"/>
        <c:axId val="134249856"/>
      </c:lineChart>
      <c:dateAx>
        <c:axId val="13417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49856"/>
        <c:crosses val="autoZero"/>
        <c:auto val="1"/>
        <c:lblOffset val="100"/>
        <c:majorUnit val="12"/>
        <c:minorUnit val="12"/>
      </c:dateAx>
      <c:valAx>
        <c:axId val="134249856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761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[16]Media_tek!$E$41:$E$89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[16]Media_tek!$F$41:$F$89</c:f>
              <c:numCache>
                <c:formatCode>General</c:formatCode>
                <c:ptCount val="49"/>
                <c:pt idx="0">
                  <c:v>374.4731770099998</c:v>
                </c:pt>
                <c:pt idx="1">
                  <c:v>364.67342921249974</c:v>
                </c:pt>
                <c:pt idx="2">
                  <c:v>355.7747520474997</c:v>
                </c:pt>
                <c:pt idx="3">
                  <c:v>348.87273567749889</c:v>
                </c:pt>
                <c:pt idx="4">
                  <c:v>342.1397065983324</c:v>
                </c:pt>
                <c:pt idx="5">
                  <c:v>340.6928801191653</c:v>
                </c:pt>
                <c:pt idx="6">
                  <c:v>335.70715674999883</c:v>
                </c:pt>
                <c:pt idx="7">
                  <c:v>330.205213514999</c:v>
                </c:pt>
                <c:pt idx="8">
                  <c:v>331.92369987249901</c:v>
                </c:pt>
                <c:pt idx="9">
                  <c:v>327.51506123499911</c:v>
                </c:pt>
                <c:pt idx="10">
                  <c:v>330.24981929249947</c:v>
                </c:pt>
                <c:pt idx="11">
                  <c:v>340.44759326666576</c:v>
                </c:pt>
                <c:pt idx="12">
                  <c:v>349.72462327499915</c:v>
                </c:pt>
                <c:pt idx="13">
                  <c:v>361.39553611749915</c:v>
                </c:pt>
                <c:pt idx="14">
                  <c:v>378.41429268166593</c:v>
                </c:pt>
                <c:pt idx="15">
                  <c:v>387.00800214833254</c:v>
                </c:pt>
                <c:pt idx="16">
                  <c:v>401.67378689083239</c:v>
                </c:pt>
                <c:pt idx="17">
                  <c:v>416.30677683999903</c:v>
                </c:pt>
                <c:pt idx="18">
                  <c:v>436.30894215583243</c:v>
                </c:pt>
                <c:pt idx="19">
                  <c:v>457.63758531499849</c:v>
                </c:pt>
                <c:pt idx="20">
                  <c:v>483.10762549833242</c:v>
                </c:pt>
                <c:pt idx="21">
                  <c:v>499.7633372199993</c:v>
                </c:pt>
                <c:pt idx="22">
                  <c:v>516.93423619999965</c:v>
                </c:pt>
                <c:pt idx="23">
                  <c:v>537.60255921333385</c:v>
                </c:pt>
                <c:pt idx="24">
                  <c:v>559.44047551083429</c:v>
                </c:pt>
                <c:pt idx="25">
                  <c:v>591.45196241666781</c:v>
                </c:pt>
                <c:pt idx="26">
                  <c:v>603.647283100001</c:v>
                </c:pt>
                <c:pt idx="27">
                  <c:v>619.12943766166848</c:v>
                </c:pt>
                <c:pt idx="28">
                  <c:v>639.95656529000166</c:v>
                </c:pt>
                <c:pt idx="29">
                  <c:v>665.88445407750191</c:v>
                </c:pt>
                <c:pt idx="30">
                  <c:v>677.69682605500213</c:v>
                </c:pt>
                <c:pt idx="31">
                  <c:v>701.27902998166917</c:v>
                </c:pt>
                <c:pt idx="32">
                  <c:v>697.40574438750173</c:v>
                </c:pt>
                <c:pt idx="33">
                  <c:v>711.47279446166795</c:v>
                </c:pt>
                <c:pt idx="34">
                  <c:v>719.65456621500073</c:v>
                </c:pt>
                <c:pt idx="35">
                  <c:v>732.27895677000072</c:v>
                </c:pt>
                <c:pt idx="36">
                  <c:v>736.18982992416647</c:v>
                </c:pt>
                <c:pt idx="37">
                  <c:v>740.77312986833294</c:v>
                </c:pt>
                <c:pt idx="38">
                  <c:v>751.69637260333309</c:v>
                </c:pt>
                <c:pt idx="39">
                  <c:v>759.86085317916616</c:v>
                </c:pt>
                <c:pt idx="40">
                  <c:v>769.63683474333357</c:v>
                </c:pt>
                <c:pt idx="41">
                  <c:v>761.67334498250057</c:v>
                </c:pt>
                <c:pt idx="42">
                  <c:v>763.70329249250017</c:v>
                </c:pt>
                <c:pt idx="43">
                  <c:v>752.92003164833341</c:v>
                </c:pt>
                <c:pt idx="44">
                  <c:v>756.9931666308338</c:v>
                </c:pt>
                <c:pt idx="45">
                  <c:v>754.34537407583423</c:v>
                </c:pt>
                <c:pt idx="46">
                  <c:v>748.9977581241684</c:v>
                </c:pt>
                <c:pt idx="47">
                  <c:v>731.49593750750137</c:v>
                </c:pt>
                <c:pt idx="48">
                  <c:v>738.52722302416839</c:v>
                </c:pt>
              </c:numCache>
            </c:numRef>
          </c:val>
        </c:ser>
        <c:marker val="1"/>
        <c:axId val="134621824"/>
        <c:axId val="134637056"/>
      </c:lineChart>
      <c:dateAx>
        <c:axId val="13462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37056"/>
        <c:crosses val="autoZero"/>
        <c:auto val="1"/>
        <c:lblOffset val="100"/>
        <c:majorUnit val="12"/>
        <c:minorUnit val="12"/>
      </c:dateAx>
      <c:valAx>
        <c:axId val="134637056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2182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[16]Alta_tek!$E$41:$E$89</c:f>
              <c:numCache>
                <c:formatCode>mmm\-yy</c:formatCode>
                <c:ptCount val="49"/>
                <c:pt idx="0">
                  <c:v>39904</c:v>
                </c:pt>
                <c:pt idx="1">
                  <c:v>39934</c:v>
                </c:pt>
                <c:pt idx="2">
                  <c:v>39965</c:v>
                </c:pt>
                <c:pt idx="3">
                  <c:v>39995</c:v>
                </c:pt>
                <c:pt idx="4">
                  <c:v>40026</c:v>
                </c:pt>
                <c:pt idx="5">
                  <c:v>40057</c:v>
                </c:pt>
                <c:pt idx="6">
                  <c:v>40087</c:v>
                </c:pt>
                <c:pt idx="7">
                  <c:v>40118</c:v>
                </c:pt>
                <c:pt idx="8">
                  <c:v>40148</c:v>
                </c:pt>
                <c:pt idx="9">
                  <c:v>40179</c:v>
                </c:pt>
                <c:pt idx="10">
                  <c:v>40210</c:v>
                </c:pt>
                <c:pt idx="11">
                  <c:v>40238</c:v>
                </c:pt>
                <c:pt idx="12">
                  <c:v>40269</c:v>
                </c:pt>
                <c:pt idx="13">
                  <c:v>40299</c:v>
                </c:pt>
                <c:pt idx="14">
                  <c:v>40330</c:v>
                </c:pt>
                <c:pt idx="15">
                  <c:v>40360</c:v>
                </c:pt>
                <c:pt idx="16">
                  <c:v>40391</c:v>
                </c:pt>
                <c:pt idx="17">
                  <c:v>40422</c:v>
                </c:pt>
                <c:pt idx="18">
                  <c:v>40452</c:v>
                </c:pt>
                <c:pt idx="19">
                  <c:v>40483</c:v>
                </c:pt>
                <c:pt idx="20">
                  <c:v>40513</c:v>
                </c:pt>
                <c:pt idx="21">
                  <c:v>40544</c:v>
                </c:pt>
                <c:pt idx="22">
                  <c:v>40575</c:v>
                </c:pt>
                <c:pt idx="23">
                  <c:v>40603</c:v>
                </c:pt>
                <c:pt idx="24">
                  <c:v>40634</c:v>
                </c:pt>
                <c:pt idx="25">
                  <c:v>40664</c:v>
                </c:pt>
                <c:pt idx="26">
                  <c:v>40695</c:v>
                </c:pt>
                <c:pt idx="27">
                  <c:v>40725</c:v>
                </c:pt>
                <c:pt idx="28">
                  <c:v>40756</c:v>
                </c:pt>
                <c:pt idx="29">
                  <c:v>40787</c:v>
                </c:pt>
                <c:pt idx="30">
                  <c:v>40817</c:v>
                </c:pt>
                <c:pt idx="31">
                  <c:v>40848</c:v>
                </c:pt>
                <c:pt idx="32">
                  <c:v>40878</c:v>
                </c:pt>
                <c:pt idx="33">
                  <c:v>40909</c:v>
                </c:pt>
                <c:pt idx="34">
                  <c:v>40940</c:v>
                </c:pt>
                <c:pt idx="35">
                  <c:v>40969</c:v>
                </c:pt>
                <c:pt idx="36">
                  <c:v>41000</c:v>
                </c:pt>
                <c:pt idx="37">
                  <c:v>41030</c:v>
                </c:pt>
                <c:pt idx="38">
                  <c:v>41061</c:v>
                </c:pt>
                <c:pt idx="39">
                  <c:v>41091</c:v>
                </c:pt>
                <c:pt idx="40">
                  <c:v>41122</c:v>
                </c:pt>
                <c:pt idx="41">
                  <c:v>41153</c:v>
                </c:pt>
                <c:pt idx="42">
                  <c:v>41183</c:v>
                </c:pt>
                <c:pt idx="43">
                  <c:v>41214</c:v>
                </c:pt>
                <c:pt idx="44">
                  <c:v>41244</c:v>
                </c:pt>
                <c:pt idx="45">
                  <c:v>41275</c:v>
                </c:pt>
                <c:pt idx="46">
                  <c:v>41306</c:v>
                </c:pt>
                <c:pt idx="47">
                  <c:v>41334</c:v>
                </c:pt>
                <c:pt idx="48">
                  <c:v>41365</c:v>
                </c:pt>
              </c:numCache>
            </c:numRef>
          </c:cat>
          <c:val>
            <c:numRef>
              <c:f>[16]Alta_tek!$F$41:$F$89</c:f>
              <c:numCache>
                <c:formatCode>General</c:formatCode>
                <c:ptCount val="49"/>
                <c:pt idx="0">
                  <c:v>530.411439265833</c:v>
                </c:pt>
                <c:pt idx="1">
                  <c:v>529.18449558249949</c:v>
                </c:pt>
                <c:pt idx="2">
                  <c:v>524.3918373566662</c:v>
                </c:pt>
                <c:pt idx="3">
                  <c:v>540.82980979749948</c:v>
                </c:pt>
                <c:pt idx="4">
                  <c:v>549.74491650833306</c:v>
                </c:pt>
                <c:pt idx="5">
                  <c:v>548.16232047083315</c:v>
                </c:pt>
                <c:pt idx="6">
                  <c:v>551.53314429833335</c:v>
                </c:pt>
                <c:pt idx="7">
                  <c:v>538.03496142999973</c:v>
                </c:pt>
                <c:pt idx="8">
                  <c:v>539.1640448408333</c:v>
                </c:pt>
                <c:pt idx="9">
                  <c:v>532.51397998000004</c:v>
                </c:pt>
                <c:pt idx="10">
                  <c:v>531.29129518250022</c:v>
                </c:pt>
                <c:pt idx="11">
                  <c:v>551.62152997916689</c:v>
                </c:pt>
                <c:pt idx="12">
                  <c:v>546.17749013500054</c:v>
                </c:pt>
                <c:pt idx="13">
                  <c:v>559.9818278750007</c:v>
                </c:pt>
                <c:pt idx="14">
                  <c:v>562.21175267750084</c:v>
                </c:pt>
                <c:pt idx="15">
                  <c:v>555.23502557833433</c:v>
                </c:pt>
                <c:pt idx="16">
                  <c:v>564.60866371583404</c:v>
                </c:pt>
                <c:pt idx="17">
                  <c:v>584.25553640916746</c:v>
                </c:pt>
                <c:pt idx="18">
                  <c:v>575.48959742083355</c:v>
                </c:pt>
                <c:pt idx="19">
                  <c:v>594.59453582416688</c:v>
                </c:pt>
                <c:pt idx="20">
                  <c:v>593.27856774333384</c:v>
                </c:pt>
                <c:pt idx="21">
                  <c:v>596.10800339250045</c:v>
                </c:pt>
                <c:pt idx="22">
                  <c:v>600.58519318833351</c:v>
                </c:pt>
                <c:pt idx="23">
                  <c:v>623.1093271650002</c:v>
                </c:pt>
                <c:pt idx="24">
                  <c:v>628.90220797000006</c:v>
                </c:pt>
                <c:pt idx="25">
                  <c:v>649.37369406249979</c:v>
                </c:pt>
                <c:pt idx="26">
                  <c:v>668.96153300833328</c:v>
                </c:pt>
                <c:pt idx="27">
                  <c:v>674.66856359916699</c:v>
                </c:pt>
                <c:pt idx="28">
                  <c:v>677.71974399916689</c:v>
                </c:pt>
                <c:pt idx="29">
                  <c:v>680.79914590916667</c:v>
                </c:pt>
                <c:pt idx="30">
                  <c:v>713.20004039916614</c:v>
                </c:pt>
                <c:pt idx="31">
                  <c:v>721.93820237416776</c:v>
                </c:pt>
                <c:pt idx="32">
                  <c:v>747.37865197500071</c:v>
                </c:pt>
                <c:pt idx="33">
                  <c:v>743.81577852166777</c:v>
                </c:pt>
                <c:pt idx="34">
                  <c:v>743.3298250483349</c:v>
                </c:pt>
                <c:pt idx="35">
                  <c:v>716.57278640916866</c:v>
                </c:pt>
                <c:pt idx="36">
                  <c:v>716.74652003916788</c:v>
                </c:pt>
                <c:pt idx="37">
                  <c:v>707.65275210416803</c:v>
                </c:pt>
                <c:pt idx="38">
                  <c:v>697.48563949750144</c:v>
                </c:pt>
                <c:pt idx="39">
                  <c:v>693.78083346916765</c:v>
                </c:pt>
                <c:pt idx="40">
                  <c:v>697.62326345750068</c:v>
                </c:pt>
                <c:pt idx="41">
                  <c:v>680.77621224750112</c:v>
                </c:pt>
                <c:pt idx="42">
                  <c:v>679.49254581250239</c:v>
                </c:pt>
                <c:pt idx="43">
                  <c:v>683.52713172500137</c:v>
                </c:pt>
                <c:pt idx="44">
                  <c:v>674.07905452416765</c:v>
                </c:pt>
                <c:pt idx="45">
                  <c:v>690.66937728666778</c:v>
                </c:pt>
                <c:pt idx="46">
                  <c:v>717.74812951333422</c:v>
                </c:pt>
                <c:pt idx="47">
                  <c:v>732.8521060758336</c:v>
                </c:pt>
                <c:pt idx="48">
                  <c:v>754.34697405249938</c:v>
                </c:pt>
              </c:numCache>
            </c:numRef>
          </c:val>
          <c:smooth val="1"/>
        </c:ser>
        <c:marker val="1"/>
        <c:axId val="82188928"/>
        <c:axId val="134619904"/>
      </c:lineChart>
      <c:dateAx>
        <c:axId val="8218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19904"/>
        <c:crosses val="autoZero"/>
        <c:auto val="1"/>
        <c:lblOffset val="100"/>
        <c:majorUnit val="12"/>
        <c:minorUnit val="12"/>
      </c:dateAx>
      <c:valAx>
        <c:axId val="134619904"/>
        <c:scaling>
          <c:orientation val="minMax"/>
          <c:max val="80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18892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-67,0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-475,0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-67,0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224,8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-9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173,2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84860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00951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34275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22 junio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impo_corrido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origen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primario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anufactura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rec_nat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baja_tek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media_tek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resumen_pais_alta_te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Historic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Deptos_destin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_impo"/>
      <sheetName val="resumen_ciiu"/>
      <sheetName val="cuode"/>
      <sheetName val="resumen_tecnologia"/>
      <sheetName val="Disminuyeron"/>
      <sheetName val="Aumentaron"/>
      <sheetName val="ciiu_desagregado"/>
      <sheetName val="capitulos"/>
      <sheetName val="Subpartida"/>
      <sheetName val="Princ_paises_impo"/>
      <sheetName val="Subpartida_Pais1"/>
      <sheetName val="Subpartida_pais2"/>
      <sheetName val="Subpartida_pais3"/>
      <sheetName val="Subpartida_pais4"/>
      <sheetName val="Subpartida_pais5"/>
    </sheetNames>
    <sheetDataSet>
      <sheetData sheetId="0">
        <row r="2">
          <cell r="A2">
            <v>8374.3088297199902</v>
          </cell>
          <cell r="B2">
            <v>9507.3660652599792</v>
          </cell>
          <cell r="C2">
            <v>2055.182948330003</v>
          </cell>
          <cell r="D2">
            <v>2553.0483553700001</v>
          </cell>
        </row>
      </sheetData>
      <sheetData sheetId="1">
        <row r="2">
          <cell r="A2" t="str">
            <v>Productos químicos</v>
          </cell>
          <cell r="B2">
            <v>1220.7878494800038</v>
          </cell>
          <cell r="C2">
            <v>1411.9886480799985</v>
          </cell>
          <cell r="D2">
            <v>306.37071631000236</v>
          </cell>
          <cell r="E2">
            <v>460.89516308000015</v>
          </cell>
        </row>
        <row r="3">
          <cell r="A3" t="str">
            <v>Refinación del petróleo</v>
          </cell>
          <cell r="B3">
            <v>962.32179483000027</v>
          </cell>
          <cell r="C3">
            <v>1380.5798881099981</v>
          </cell>
          <cell r="D3">
            <v>202.33627828000019</v>
          </cell>
          <cell r="E3">
            <v>293.86862576999948</v>
          </cell>
        </row>
        <row r="4">
          <cell r="A4" t="str">
            <v>Equipos de transporte</v>
          </cell>
          <cell r="B4">
            <v>323.62994523000111</v>
          </cell>
          <cell r="C4">
            <v>971.59180708999793</v>
          </cell>
          <cell r="D4">
            <v>74.37124845999989</v>
          </cell>
          <cell r="E4">
            <v>171.06405015000061</v>
          </cell>
        </row>
        <row r="5">
          <cell r="A5" t="str">
            <v>Vehículos automotores</v>
          </cell>
          <cell r="B5">
            <v>1135.5434769800063</v>
          </cell>
          <cell r="C5">
            <v>911.32150647999947</v>
          </cell>
          <cell r="D5">
            <v>300.47134539000018</v>
          </cell>
          <cell r="E5">
            <v>275.65771381999934</v>
          </cell>
        </row>
        <row r="6">
          <cell r="A6" t="str">
            <v>Maquinaria y equipo</v>
          </cell>
          <cell r="B6">
            <v>920.7122630599855</v>
          </cell>
          <cell r="C6">
            <v>897.66604715999449</v>
          </cell>
          <cell r="D6">
            <v>219.28086714</v>
          </cell>
          <cell r="E6">
            <v>261.84733701999994</v>
          </cell>
        </row>
      </sheetData>
      <sheetData sheetId="2">
        <row r="2">
          <cell r="C2">
            <v>10559319.419999994</v>
          </cell>
          <cell r="D2">
            <v>2004145.0100000005</v>
          </cell>
          <cell r="F2">
            <v>9743616.4799999986</v>
          </cell>
          <cell r="G2">
            <v>2368178.6899999985</v>
          </cell>
        </row>
        <row r="3">
          <cell r="C3">
            <v>185274733.34</v>
          </cell>
          <cell r="D3">
            <v>39875716.100000001</v>
          </cell>
          <cell r="F3">
            <v>163119347.96000016</v>
          </cell>
          <cell r="G3">
            <v>39822150.439999998</v>
          </cell>
        </row>
        <row r="4">
          <cell r="C4">
            <v>19633321.93</v>
          </cell>
          <cell r="D4">
            <v>3770688.84</v>
          </cell>
          <cell r="F4">
            <v>23768921.730000012</v>
          </cell>
          <cell r="G4">
            <v>7998853.7499999972</v>
          </cell>
        </row>
        <row r="5">
          <cell r="C5">
            <v>7176939.1600000011</v>
          </cell>
          <cell r="D5">
            <v>2991070.32</v>
          </cell>
          <cell r="F5">
            <v>6386340.6399999997</v>
          </cell>
          <cell r="G5">
            <v>1503929.5399999998</v>
          </cell>
        </row>
        <row r="6">
          <cell r="C6">
            <v>399012287.08000118</v>
          </cell>
          <cell r="D6">
            <v>106600236.91000012</v>
          </cell>
          <cell r="F6">
            <v>488554277.12999856</v>
          </cell>
          <cell r="G6">
            <v>150711945.1899994</v>
          </cell>
        </row>
        <row r="7">
          <cell r="C7">
            <v>116513166.60000014</v>
          </cell>
          <cell r="D7">
            <v>25998699.520000048</v>
          </cell>
          <cell r="F7">
            <v>132000635.68000115</v>
          </cell>
          <cell r="G7">
            <v>24367461.459999908</v>
          </cell>
        </row>
        <row r="8">
          <cell r="C8">
            <v>174066034.43000063</v>
          </cell>
          <cell r="D8">
            <v>41330899.04999999</v>
          </cell>
          <cell r="F8">
            <v>191847960.12999997</v>
          </cell>
          <cell r="G8">
            <v>49551655.7299999</v>
          </cell>
        </row>
        <row r="9">
          <cell r="C9">
            <v>27542322.629999984</v>
          </cell>
          <cell r="D9">
            <v>7348691.4200000046</v>
          </cell>
          <cell r="F9">
            <v>36447491.250000045</v>
          </cell>
          <cell r="G9">
            <v>11623300.650000025</v>
          </cell>
        </row>
        <row r="10">
          <cell r="C10">
            <v>164235187.05000067</v>
          </cell>
          <cell r="D10">
            <v>38665693.679999888</v>
          </cell>
          <cell r="F10">
            <v>171223784.86999947</v>
          </cell>
          <cell r="G10">
            <v>48480702.399999961</v>
          </cell>
        </row>
        <row r="11">
          <cell r="C11">
            <v>84031561.170000121</v>
          </cell>
          <cell r="D11">
            <v>20039876.380000059</v>
          </cell>
          <cell r="F11">
            <v>84243868.689999953</v>
          </cell>
          <cell r="G11">
            <v>20548014.100000042</v>
          </cell>
        </row>
        <row r="12">
          <cell r="C12">
            <v>182315745.7899996</v>
          </cell>
          <cell r="D12">
            <v>41595229.780000106</v>
          </cell>
          <cell r="F12">
            <v>166683112.79000017</v>
          </cell>
          <cell r="G12">
            <v>56392631.299999952</v>
          </cell>
        </row>
        <row r="13">
          <cell r="C13">
            <v>483025065.27999872</v>
          </cell>
          <cell r="D13">
            <v>136828283.62999985</v>
          </cell>
          <cell r="F13">
            <v>549882266.30999935</v>
          </cell>
          <cell r="G13">
            <v>159052177.67000043</v>
          </cell>
        </row>
        <row r="14">
          <cell r="C14">
            <v>26904754.350000001</v>
          </cell>
          <cell r="D14">
            <v>7221231.3300000001</v>
          </cell>
          <cell r="F14">
            <v>15823337.440000001</v>
          </cell>
          <cell r="G14">
            <v>6094915.4299999997</v>
          </cell>
        </row>
        <row r="15">
          <cell r="C15">
            <v>499769254.48999989</v>
          </cell>
          <cell r="D15">
            <v>92261637.360000014</v>
          </cell>
          <cell r="F15">
            <v>882433146.33000016</v>
          </cell>
          <cell r="G15">
            <v>137410361.87999997</v>
          </cell>
        </row>
        <row r="16">
          <cell r="C16">
            <v>465402313.32000005</v>
          </cell>
          <cell r="D16">
            <v>111155221.60999997</v>
          </cell>
          <cell r="F16">
            <v>498029231.109999</v>
          </cell>
          <cell r="G16">
            <v>154924825.90000033</v>
          </cell>
        </row>
        <row r="17">
          <cell r="C17">
            <v>36032701.87999998</v>
          </cell>
          <cell r="D17">
            <v>10624831.890000004</v>
          </cell>
          <cell r="F17">
            <v>70445380.299999967</v>
          </cell>
          <cell r="G17">
            <v>20527763.970000006</v>
          </cell>
        </row>
        <row r="18">
          <cell r="C18">
            <v>88646772.310000062</v>
          </cell>
          <cell r="D18">
            <v>22349317.12000002</v>
          </cell>
          <cell r="F18">
            <v>88993459.620000109</v>
          </cell>
          <cell r="G18">
            <v>28389197.759999987</v>
          </cell>
        </row>
        <row r="19">
          <cell r="C19">
            <v>205947313.54999956</v>
          </cell>
          <cell r="D19">
            <v>44523744.00000003</v>
          </cell>
          <cell r="F19">
            <v>203825372.35999987</v>
          </cell>
          <cell r="G19">
            <v>56886672.569999963</v>
          </cell>
        </row>
        <row r="20">
          <cell r="C20">
            <v>274309477.06999969</v>
          </cell>
          <cell r="D20">
            <v>64052689.480000041</v>
          </cell>
          <cell r="F20">
            <v>243437536.41999957</v>
          </cell>
          <cell r="G20">
            <v>68637666.379999965</v>
          </cell>
        </row>
        <row r="21">
          <cell r="C21">
            <v>526967164.61000252</v>
          </cell>
          <cell r="D21">
            <v>130946167.72999913</v>
          </cell>
          <cell r="F21">
            <v>520079729.36999857</v>
          </cell>
          <cell r="G21">
            <v>149702037.41999844</v>
          </cell>
        </row>
        <row r="22">
          <cell r="C22">
            <v>831244463.92000151</v>
          </cell>
          <cell r="D22">
            <v>207202430.51999891</v>
          </cell>
          <cell r="F22">
            <v>921559724.20999813</v>
          </cell>
          <cell r="G22">
            <v>304979276.05000067</v>
          </cell>
        </row>
        <row r="23">
          <cell r="C23">
            <v>255678484.10999992</v>
          </cell>
          <cell r="D23">
            <v>69903933.190000072</v>
          </cell>
          <cell r="F23">
            <v>238030942.20000026</v>
          </cell>
          <cell r="G23">
            <v>72087714.159999937</v>
          </cell>
        </row>
        <row r="24">
          <cell r="C24">
            <v>8310236.0600000005</v>
          </cell>
          <cell r="D24">
            <v>1792277.1099999992</v>
          </cell>
          <cell r="F24">
            <v>10628689.699999994</v>
          </cell>
          <cell r="G24">
            <v>3800645.7300000014</v>
          </cell>
        </row>
        <row r="25">
          <cell r="C25">
            <v>512130.87999999977</v>
          </cell>
          <cell r="D25">
            <v>79067.39</v>
          </cell>
          <cell r="F25">
            <v>278085.25999999995</v>
          </cell>
          <cell r="G25">
            <v>74553.06</v>
          </cell>
        </row>
        <row r="26">
          <cell r="C26">
            <v>17910695.769999992</v>
          </cell>
          <cell r="D26">
            <v>4560037.8500000006</v>
          </cell>
          <cell r="F26">
            <v>15148959.929999998</v>
          </cell>
          <cell r="G26">
            <v>5123545</v>
          </cell>
        </row>
        <row r="27">
          <cell r="C27">
            <v>656724131.37999725</v>
          </cell>
          <cell r="D27">
            <v>166854004.03999925</v>
          </cell>
          <cell r="F27">
            <v>729635928.49999809</v>
          </cell>
          <cell r="G27">
            <v>213830349.77999908</v>
          </cell>
        </row>
        <row r="28">
          <cell r="C28">
            <v>55146963.859999925</v>
          </cell>
          <cell r="D28">
            <v>13342903.769999966</v>
          </cell>
          <cell r="F28">
            <v>51197380.819999807</v>
          </cell>
          <cell r="G28">
            <v>15200049.780000024</v>
          </cell>
        </row>
        <row r="29">
          <cell r="C29">
            <v>116040813.47000033</v>
          </cell>
          <cell r="D29">
            <v>25768904.060000021</v>
          </cell>
          <cell r="F29">
            <v>129930235.09000024</v>
          </cell>
          <cell r="G29">
            <v>33832901.20000001</v>
          </cell>
        </row>
        <row r="30">
          <cell r="C30">
            <v>670442315.3999896</v>
          </cell>
          <cell r="D30">
            <v>159108716.11999965</v>
          </cell>
          <cell r="F30">
            <v>677552704.73000085</v>
          </cell>
          <cell r="G30">
            <v>188365981.59000126</v>
          </cell>
        </row>
        <row r="31">
          <cell r="C31">
            <v>704061558.00999248</v>
          </cell>
          <cell r="D31">
            <v>193272251.1199998</v>
          </cell>
          <cell r="F31">
            <v>737095591.21999943</v>
          </cell>
          <cell r="G31">
            <v>197877009.9400005</v>
          </cell>
        </row>
        <row r="32">
          <cell r="C32">
            <v>414562520.76999998</v>
          </cell>
          <cell r="D32">
            <v>86746970.590000048</v>
          </cell>
          <cell r="F32">
            <v>371502814.84000349</v>
          </cell>
          <cell r="G32">
            <v>110670796.7099999</v>
          </cell>
        </row>
        <row r="33">
          <cell r="C33">
            <v>657887751.26000166</v>
          </cell>
          <cell r="D33">
            <v>174773991.56999996</v>
          </cell>
          <cell r="F33">
            <v>1067412609.9699999</v>
          </cell>
          <cell r="G33">
            <v>209441844.11000004</v>
          </cell>
        </row>
        <row r="34">
          <cell r="C34">
            <v>8421329.3700000085</v>
          </cell>
          <cell r="D34">
            <v>1593389.8399999982</v>
          </cell>
          <cell r="F34">
            <v>10423582.179999998</v>
          </cell>
          <cell r="G34">
            <v>2769246.0300000012</v>
          </cell>
        </row>
      </sheetData>
      <sheetData sheetId="3">
        <row r="2">
          <cell r="C2">
            <v>331.03183366999968</v>
          </cell>
          <cell r="D2">
            <v>361.7771869099987</v>
          </cell>
          <cell r="E2">
            <v>75.211976220000025</v>
          </cell>
          <cell r="F2">
            <v>96.570777479999975</v>
          </cell>
        </row>
        <row r="3">
          <cell r="C3">
            <v>1628.7036878800002</v>
          </cell>
          <cell r="D3">
            <v>2019.4275319499989</v>
          </cell>
          <cell r="E3">
            <v>364.49232509999996</v>
          </cell>
          <cell r="F3">
            <v>477.62160175999969</v>
          </cell>
        </row>
        <row r="4">
          <cell r="C4">
            <v>2343.3717036000435</v>
          </cell>
          <cell r="D4">
            <v>3306.5867379400479</v>
          </cell>
          <cell r="E4">
            <v>605.98032710999678</v>
          </cell>
          <cell r="F4">
            <v>863.91874282998549</v>
          </cell>
        </row>
        <row r="5">
          <cell r="C5">
            <v>1117.6799255999745</v>
          </cell>
          <cell r="D5">
            <v>1086.5652897399987</v>
          </cell>
          <cell r="E5">
            <v>276.48818440999844</v>
          </cell>
          <cell r="F5">
            <v>296.02373254000031</v>
          </cell>
        </row>
        <row r="6">
          <cell r="C6">
            <v>2918.3510972700524</v>
          </cell>
          <cell r="D6">
            <v>2696.7597739900416</v>
          </cell>
          <cell r="E6">
            <v>724.82486959000221</v>
          </cell>
          <cell r="F6">
            <v>809.20029579000106</v>
          </cell>
        </row>
        <row r="7">
          <cell r="C7">
            <v>35.167532600000044</v>
          </cell>
          <cell r="D7">
            <v>36.243516200000229</v>
          </cell>
          <cell r="E7">
            <v>8.1852659000000028</v>
          </cell>
          <cell r="F7">
            <v>9.7109862600000039</v>
          </cell>
        </row>
        <row r="8">
          <cell r="C8">
            <v>3.0490999999999999E-3</v>
          </cell>
          <cell r="D8">
            <v>6.0285299999999998E-3</v>
          </cell>
          <cell r="E8">
            <v>0</v>
          </cell>
          <cell r="F8">
            <v>2.2187099999999996E-3</v>
          </cell>
        </row>
      </sheetData>
      <sheetData sheetId="4">
        <row r="2">
          <cell r="B2" t="str">
            <v>Mexico</v>
          </cell>
          <cell r="C2">
            <v>1089.3030473900103</v>
          </cell>
          <cell r="D2">
            <v>864.86852399999816</v>
          </cell>
          <cell r="E2">
            <v>313.73056453000095</v>
          </cell>
          <cell r="F2">
            <v>261.05261359000008</v>
          </cell>
        </row>
        <row r="3">
          <cell r="B3" t="str">
            <v>Colombia</v>
          </cell>
          <cell r="C3">
            <v>226.74431737999998</v>
          </cell>
          <cell r="D3">
            <v>182.96358200999978</v>
          </cell>
          <cell r="E3">
            <v>36.932661980000034</v>
          </cell>
          <cell r="F3">
            <v>45.199302650000043</v>
          </cell>
        </row>
        <row r="4">
          <cell r="B4" t="str">
            <v>Canada</v>
          </cell>
          <cell r="C4">
            <v>167.17078908000011</v>
          </cell>
          <cell r="D4">
            <v>124.37481874999995</v>
          </cell>
          <cell r="E4">
            <v>44.255106839999989</v>
          </cell>
          <cell r="F4">
            <v>45.16716566000003</v>
          </cell>
        </row>
        <row r="5">
          <cell r="B5" t="str">
            <v>Venezuela</v>
          </cell>
          <cell r="C5">
            <v>61.56515541000001</v>
          </cell>
          <cell r="D5">
            <v>24.753329429999976</v>
          </cell>
          <cell r="E5">
            <v>11.500104500000004</v>
          </cell>
          <cell r="F5">
            <v>10.477651119999996</v>
          </cell>
        </row>
        <row r="6">
          <cell r="B6" t="str">
            <v>Japon</v>
          </cell>
          <cell r="C6">
            <v>236.08347788999816</v>
          </cell>
          <cell r="D6">
            <v>202.53985994000058</v>
          </cell>
          <cell r="E6">
            <v>60.683706609999454</v>
          </cell>
          <cell r="F6">
            <v>58.43970436000015</v>
          </cell>
        </row>
        <row r="7">
          <cell r="B7" t="str">
            <v>Ecuador</v>
          </cell>
          <cell r="C7">
            <v>94.741273089999908</v>
          </cell>
          <cell r="D7">
            <v>61.343176420000084</v>
          </cell>
          <cell r="E7">
            <v>23.389768409999984</v>
          </cell>
          <cell r="F7">
            <v>19.474082270000011</v>
          </cell>
        </row>
        <row r="8">
          <cell r="B8" t="str">
            <v>Chile</v>
          </cell>
          <cell r="C8">
            <v>108.95009315000011</v>
          </cell>
          <cell r="D8">
            <v>84.007474160000015</v>
          </cell>
          <cell r="E8">
            <v>30.035534809999998</v>
          </cell>
          <cell r="F8">
            <v>18.673741320000005</v>
          </cell>
        </row>
        <row r="9">
          <cell r="B9" t="str">
            <v>India</v>
          </cell>
          <cell r="C9">
            <v>147.40837930000004</v>
          </cell>
          <cell r="D9">
            <v>124.93899065000033</v>
          </cell>
          <cell r="E9">
            <v>24.929636779999992</v>
          </cell>
          <cell r="F9">
            <v>34.953934199999942</v>
          </cell>
        </row>
        <row r="10">
          <cell r="B10" t="str">
            <v>Francia</v>
          </cell>
          <cell r="C10">
            <v>251.76016654999924</v>
          </cell>
          <cell r="D10">
            <v>233.54158311999896</v>
          </cell>
          <cell r="E10">
            <v>75.270957529999919</v>
          </cell>
          <cell r="F10">
            <v>52.856682129999868</v>
          </cell>
        </row>
        <row r="11">
          <cell r="B11" t="str">
            <v>Tailandia</v>
          </cell>
          <cell r="C11">
            <v>56.674948239999907</v>
          </cell>
          <cell r="D11">
            <v>40.056942249999985</v>
          </cell>
          <cell r="E11">
            <v>18.961068149999988</v>
          </cell>
          <cell r="F11">
            <v>14.529515569999997</v>
          </cell>
        </row>
        <row r="12">
          <cell r="B12" t="str">
            <v>Suecia</v>
          </cell>
          <cell r="C12">
            <v>44.523517279999957</v>
          </cell>
          <cell r="D12">
            <v>28.60544008999991</v>
          </cell>
          <cell r="E12">
            <v>11.008767370000001</v>
          </cell>
          <cell r="F12">
            <v>6.9127405000000124</v>
          </cell>
        </row>
        <row r="13">
          <cell r="B13" t="str">
            <v>Turquia</v>
          </cell>
          <cell r="C13">
            <v>24.505468790000023</v>
          </cell>
          <cell r="D13">
            <v>14.194644390000011</v>
          </cell>
          <cell r="E13">
            <v>6.6666013199999954</v>
          </cell>
          <cell r="F13">
            <v>3.6443107200000009</v>
          </cell>
        </row>
        <row r="14">
          <cell r="B14" t="str">
            <v>Paises Bajos</v>
          </cell>
          <cell r="C14">
            <v>47.091681050000027</v>
          </cell>
          <cell r="D14">
            <v>36.833414780000005</v>
          </cell>
          <cell r="E14">
            <v>8.0056225699999999</v>
          </cell>
          <cell r="F14">
            <v>12.199047740000008</v>
          </cell>
        </row>
        <row r="15">
          <cell r="B15" t="str">
            <v>Peru</v>
          </cell>
          <cell r="C15">
            <v>51.013617420000017</v>
          </cell>
          <cell r="D15">
            <v>42.124654939999964</v>
          </cell>
          <cell r="E15">
            <v>9.5448126500000079</v>
          </cell>
          <cell r="F15">
            <v>9.811055439999997</v>
          </cell>
        </row>
        <row r="16">
          <cell r="B16" t="str">
            <v>Israel</v>
          </cell>
          <cell r="C16">
            <v>43.036450940000016</v>
          </cell>
          <cell r="D16">
            <v>36.787697199999982</v>
          </cell>
          <cell r="E16">
            <v>20.62166015999998</v>
          </cell>
          <cell r="F16">
            <v>9.9238072700000011</v>
          </cell>
        </row>
        <row r="17">
          <cell r="B17" t="str">
            <v>Paraguay</v>
          </cell>
          <cell r="C17">
            <v>9.7248013099999966</v>
          </cell>
          <cell r="D17">
            <v>4.32634308</v>
          </cell>
          <cell r="E17">
            <v>4.6446909200000022</v>
          </cell>
          <cell r="F17">
            <v>0.57806391000000001</v>
          </cell>
        </row>
        <row r="18">
          <cell r="B18" t="str">
            <v>Singapur</v>
          </cell>
          <cell r="C18">
            <v>26.43845096999998</v>
          </cell>
          <cell r="D18">
            <v>22.262963689999928</v>
          </cell>
          <cell r="E18">
            <v>6.3219149800000007</v>
          </cell>
          <cell r="F18">
            <v>6.7142291000000016</v>
          </cell>
        </row>
        <row r="19">
          <cell r="B19" t="str">
            <v>Letonia</v>
          </cell>
          <cell r="C19">
            <v>4.1802496300000005</v>
          </cell>
          <cell r="D19">
            <v>0.14120417999999998</v>
          </cell>
          <cell r="E19">
            <v>4.0018135099999999</v>
          </cell>
          <cell r="F19">
            <v>5.44206E-2</v>
          </cell>
        </row>
        <row r="20">
          <cell r="B20" t="str">
            <v>Marruecos</v>
          </cell>
          <cell r="C20">
            <v>3.7532805899999988</v>
          </cell>
          <cell r="D20">
            <v>0.64135629000000027</v>
          </cell>
          <cell r="E20">
            <v>9.929713999999995E-2</v>
          </cell>
          <cell r="F20">
            <v>9.3207280000000017E-2</v>
          </cell>
        </row>
        <row r="21">
          <cell r="B21" t="str">
            <v>Reino Unido</v>
          </cell>
          <cell r="C21">
            <v>101.45561021000029</v>
          </cell>
          <cell r="D21">
            <v>98.442847239999963</v>
          </cell>
          <cell r="E21">
            <v>29.374228429999938</v>
          </cell>
          <cell r="F21">
            <v>30.706992900000035</v>
          </cell>
        </row>
        <row r="22">
          <cell r="C22">
            <v>264.33088240000029</v>
          </cell>
          <cell r="D22">
            <v>236.71879113999987</v>
          </cell>
          <cell r="E22">
            <v>64.486387300000018</v>
          </cell>
          <cell r="F22">
            <v>78.845244850000043</v>
          </cell>
        </row>
      </sheetData>
      <sheetData sheetId="5">
        <row r="2">
          <cell r="B2" t="str">
            <v>Estados Unidos</v>
          </cell>
          <cell r="C2">
            <v>1854.6116825499821</v>
          </cell>
          <cell r="D2">
            <v>3001.4386969999528</v>
          </cell>
          <cell r="E2">
            <v>406.67092778000034</v>
          </cell>
          <cell r="F2">
            <v>669.45335190999936</v>
          </cell>
        </row>
        <row r="3">
          <cell r="B3" t="str">
            <v>China</v>
          </cell>
          <cell r="C3">
            <v>1584.3377786400347</v>
          </cell>
          <cell r="D3">
            <v>1725.3988800999907</v>
          </cell>
          <cell r="E3">
            <v>395.70615604999858</v>
          </cell>
          <cell r="F3">
            <v>447.12482071999978</v>
          </cell>
        </row>
        <row r="4">
          <cell r="B4" t="str">
            <v>Alemania</v>
          </cell>
          <cell r="C4">
            <v>355.08173370000287</v>
          </cell>
          <cell r="D4">
            <v>432.07173299000203</v>
          </cell>
          <cell r="E4">
            <v>91.098781470000119</v>
          </cell>
          <cell r="F4">
            <v>120.93944203000031</v>
          </cell>
        </row>
        <row r="5">
          <cell r="B5" t="str">
            <v>España</v>
          </cell>
          <cell r="C5">
            <v>105.44067174999985</v>
          </cell>
          <cell r="D5">
            <v>173.00722317000026</v>
          </cell>
          <cell r="E5">
            <v>26.628486400000043</v>
          </cell>
          <cell r="F5">
            <v>30.372738150000018</v>
          </cell>
        </row>
        <row r="6">
          <cell r="B6" t="str">
            <v>Finlandia</v>
          </cell>
          <cell r="C6">
            <v>22.557434629999999</v>
          </cell>
          <cell r="D6">
            <v>69.896728500000052</v>
          </cell>
          <cell r="E6">
            <v>4.609874490000001</v>
          </cell>
          <cell r="F6">
            <v>9.335415600000001</v>
          </cell>
        </row>
        <row r="7">
          <cell r="B7" t="str">
            <v>Italia</v>
          </cell>
          <cell r="C7">
            <v>140.56704153999982</v>
          </cell>
          <cell r="D7">
            <v>181.23356583</v>
          </cell>
          <cell r="E7">
            <v>35.797587069999956</v>
          </cell>
          <cell r="F7">
            <v>57.51100789999996</v>
          </cell>
        </row>
        <row r="8">
          <cell r="B8" t="str">
            <v>Trinidad Y Tobago</v>
          </cell>
          <cell r="C8">
            <v>155.75140657999995</v>
          </cell>
          <cell r="D8">
            <v>187.25661708999999</v>
          </cell>
          <cell r="E8">
            <v>36.212995420000006</v>
          </cell>
          <cell r="F8">
            <v>98.398894749999997</v>
          </cell>
        </row>
        <row r="9">
          <cell r="B9" t="str">
            <v>Rusia</v>
          </cell>
          <cell r="C9">
            <v>22.608096929999999</v>
          </cell>
          <cell r="D9">
            <v>44.707671169999976</v>
          </cell>
          <cell r="E9">
            <v>4.094994830000001</v>
          </cell>
          <cell r="F9">
            <v>7.6137068400000008</v>
          </cell>
        </row>
        <row r="10">
          <cell r="B10" t="str">
            <v>Suiza</v>
          </cell>
          <cell r="C10">
            <v>115.53640726999984</v>
          </cell>
          <cell r="D10">
            <v>133.54645632999978</v>
          </cell>
          <cell r="E10">
            <v>29.438258260000019</v>
          </cell>
          <cell r="F10">
            <v>37.162708450000025</v>
          </cell>
        </row>
        <row r="11">
          <cell r="B11" t="str">
            <v>Viet Nam</v>
          </cell>
          <cell r="C11">
            <v>28.511220210000054</v>
          </cell>
          <cell r="D11">
            <v>45.796560880000072</v>
          </cell>
          <cell r="E11">
            <v>6.9664883399999971</v>
          </cell>
          <cell r="F11">
            <v>13.625919070000009</v>
          </cell>
        </row>
        <row r="12">
          <cell r="B12" t="str">
            <v>Argentina</v>
          </cell>
          <cell r="C12">
            <v>201.90101398000058</v>
          </cell>
          <cell r="D12">
            <v>215.87024865999993</v>
          </cell>
          <cell r="E12">
            <v>46.93136813000001</v>
          </cell>
          <cell r="F12">
            <v>69.880983659999956</v>
          </cell>
        </row>
        <row r="13">
          <cell r="B13" t="str">
            <v>Zona Franca Bogotá</v>
          </cell>
          <cell r="C13">
            <v>32.752199679999983</v>
          </cell>
          <cell r="D13">
            <v>43.320038610000061</v>
          </cell>
          <cell r="E13">
            <v>8.2330987400000026</v>
          </cell>
          <cell r="F13">
            <v>12.930975840000011</v>
          </cell>
        </row>
        <row r="14">
          <cell r="B14" t="str">
            <v>Irlanda (Eire)</v>
          </cell>
          <cell r="C14">
            <v>39.285857149999977</v>
          </cell>
          <cell r="D14">
            <v>49.458387910000056</v>
          </cell>
          <cell r="E14">
            <v>9.0715669699999992</v>
          </cell>
          <cell r="F14">
            <v>17.60128667</v>
          </cell>
        </row>
        <row r="15">
          <cell r="B15" t="str">
            <v>Polonia</v>
          </cell>
          <cell r="C15">
            <v>5.4685475800000036</v>
          </cell>
          <cell r="D15">
            <v>12.608516059999992</v>
          </cell>
          <cell r="E15">
            <v>1.6391833800000002</v>
          </cell>
          <cell r="F15">
            <v>6.4499135199999982</v>
          </cell>
        </row>
        <row r="16">
          <cell r="B16" t="str">
            <v>Bolivia</v>
          </cell>
          <cell r="C16">
            <v>10.928615840000004</v>
          </cell>
          <cell r="D16">
            <v>17.765115230000003</v>
          </cell>
          <cell r="E16">
            <v>3.4862370999999994</v>
          </cell>
          <cell r="F16">
            <v>2.58051341</v>
          </cell>
        </row>
        <row r="17">
          <cell r="B17" t="str">
            <v>Dinamarca</v>
          </cell>
          <cell r="C17">
            <v>11.328650529999999</v>
          </cell>
          <cell r="D17">
            <v>17.955430520000004</v>
          </cell>
          <cell r="E17">
            <v>2.5228965999999984</v>
          </cell>
          <cell r="F17">
            <v>9.8936564699999998</v>
          </cell>
        </row>
        <row r="18">
          <cell r="B18" t="str">
            <v>Puerto Rico</v>
          </cell>
          <cell r="C18">
            <v>15.515377140000016</v>
          </cell>
          <cell r="D18">
            <v>20.971742110000022</v>
          </cell>
          <cell r="E18">
            <v>3.7248586099999983</v>
          </cell>
          <cell r="F18">
            <v>8.7410765599999998</v>
          </cell>
        </row>
        <row r="19">
          <cell r="B19" t="str">
            <v>Austria</v>
          </cell>
          <cell r="C19">
            <v>22.31255736999994</v>
          </cell>
          <cell r="D19">
            <v>27.566023819999995</v>
          </cell>
          <cell r="E19">
            <v>6.7476466800000008</v>
          </cell>
          <cell r="F19">
            <v>8.7977143700000049</v>
          </cell>
        </row>
        <row r="20">
          <cell r="B20" t="str">
            <v>Hong Kong</v>
          </cell>
          <cell r="C20">
            <v>10.704219060000005</v>
          </cell>
          <cell r="D20">
            <v>14.502415739999988</v>
          </cell>
          <cell r="E20">
            <v>2.9461908200000004</v>
          </cell>
          <cell r="F20">
            <v>4.8630180100000011</v>
          </cell>
        </row>
        <row r="21">
          <cell r="B21" t="str">
            <v>Portugal</v>
          </cell>
          <cell r="C21">
            <v>3.6383640099999983</v>
          </cell>
          <cell r="D21">
            <v>7.3083251599999839</v>
          </cell>
          <cell r="E21">
            <v>0.63710866000000022</v>
          </cell>
          <cell r="F21">
            <v>2.3826512900000028</v>
          </cell>
        </row>
        <row r="22">
          <cell r="B22" t="str">
            <v>Hungria</v>
          </cell>
          <cell r="C22">
            <v>6.2505450400000022</v>
          </cell>
          <cell r="D22">
            <v>9.7942776700000049</v>
          </cell>
          <cell r="E22">
            <v>0.94021847000000025</v>
          </cell>
          <cell r="F22">
            <v>2.6238777200000021</v>
          </cell>
        </row>
        <row r="23">
          <cell r="C23">
            <v>568.76375047000215</v>
          </cell>
          <cell r="D23">
            <v>611.42377296000086</v>
          </cell>
          <cell r="E23">
            <v>126.61311756999942</v>
          </cell>
          <cell r="F23">
            <v>194.45716925000011</v>
          </cell>
        </row>
      </sheetData>
      <sheetData sheetId="6">
        <row r="2">
          <cell r="A2" t="str">
            <v>Productos químicos</v>
          </cell>
          <cell r="B2">
            <v>1220.7878494799904</v>
          </cell>
          <cell r="C2">
            <v>1411.9886480799985</v>
          </cell>
          <cell r="D2">
            <v>306.37071630999844</v>
          </cell>
          <cell r="E2">
            <v>460.89516308000015</v>
          </cell>
        </row>
        <row r="3">
          <cell r="A3" t="str">
            <v>Refinación del petróleo</v>
          </cell>
          <cell r="B3">
            <v>962.32179483000027</v>
          </cell>
          <cell r="C3">
            <v>1380.5798881099981</v>
          </cell>
          <cell r="D3">
            <v>202.33627828000019</v>
          </cell>
          <cell r="E3">
            <v>293.86862576999948</v>
          </cell>
        </row>
        <row r="4">
          <cell r="A4" t="str">
            <v>Equipos de transporte</v>
          </cell>
          <cell r="B4">
            <v>323.62994523000111</v>
          </cell>
          <cell r="C4">
            <v>971.59180708999793</v>
          </cell>
          <cell r="D4">
            <v>74.37124845999989</v>
          </cell>
          <cell r="E4">
            <v>171.06405015000061</v>
          </cell>
        </row>
        <row r="5">
          <cell r="A5" t="str">
            <v>Vehículos automotores</v>
          </cell>
          <cell r="B5">
            <v>1135.5434769800063</v>
          </cell>
          <cell r="C5">
            <v>911.32150647999947</v>
          </cell>
          <cell r="D5">
            <v>300.47134539000018</v>
          </cell>
          <cell r="E5">
            <v>275.65771381999934</v>
          </cell>
        </row>
        <row r="6">
          <cell r="A6" t="str">
            <v>Maquinaria y equipo</v>
          </cell>
          <cell r="B6">
            <v>920.7122630599855</v>
          </cell>
          <cell r="C6">
            <v>897.66604715999449</v>
          </cell>
          <cell r="D6">
            <v>219.28086714</v>
          </cell>
          <cell r="E6">
            <v>261.84733701999994</v>
          </cell>
        </row>
        <row r="7">
          <cell r="A7" t="str">
            <v>Equipo de radio</v>
          </cell>
          <cell r="B7">
            <v>783.58528272999604</v>
          </cell>
          <cell r="C7">
            <v>811.01158798999654</v>
          </cell>
          <cell r="D7">
            <v>213.84786761000018</v>
          </cell>
          <cell r="E7">
            <v>226.65563205000046</v>
          </cell>
        </row>
        <row r="8">
          <cell r="A8" t="str">
            <v>Maquinaria de oficina</v>
          </cell>
          <cell r="B8">
            <v>389.12493119000021</v>
          </cell>
          <cell r="C8">
            <v>462.80403844000068</v>
          </cell>
          <cell r="D8">
            <v>100.03505423999975</v>
          </cell>
          <cell r="E8">
            <v>136.33589074</v>
          </cell>
        </row>
        <row r="9">
          <cell r="A9" t="str">
            <v>Instrumentos médicos</v>
          </cell>
          <cell r="B9">
            <v>392.75830069999785</v>
          </cell>
          <cell r="C9">
            <v>389.8019817299986</v>
          </cell>
          <cell r="D9">
            <v>95.474722099999823</v>
          </cell>
          <cell r="E9">
            <v>114.95436214000024</v>
          </cell>
        </row>
        <row r="10">
          <cell r="A10" t="str">
            <v>Aparatos eléctricos</v>
          </cell>
          <cell r="B10">
            <v>287.60021032999992</v>
          </cell>
          <cell r="C10">
            <v>316.9834051999984</v>
          </cell>
          <cell r="D10">
            <v>69.326930519999991</v>
          </cell>
          <cell r="E10">
            <v>81.726185310000275</v>
          </cell>
        </row>
        <row r="11">
          <cell r="A11" t="str">
            <v>Productos metalúrgicos</v>
          </cell>
          <cell r="B11">
            <v>301.09008416000108</v>
          </cell>
          <cell r="C11">
            <v>292.17242910000039</v>
          </cell>
          <cell r="D11">
            <v>82.943310309999958</v>
          </cell>
          <cell r="E11">
            <v>95.647092170000008</v>
          </cell>
        </row>
        <row r="12">
          <cell r="A12" t="str">
            <v>Alimentos y bebidas</v>
          </cell>
          <cell r="B12">
            <v>268.26856092999952</v>
          </cell>
          <cell r="C12">
            <v>268.10932462999966</v>
          </cell>
          <cell r="D12">
            <v>60.726911120000011</v>
          </cell>
          <cell r="E12">
            <v>72.238663080000009</v>
          </cell>
        </row>
        <row r="13">
          <cell r="A13" t="str">
            <v>Agricultura</v>
          </cell>
          <cell r="B13">
            <v>218.19286737000002</v>
          </cell>
          <cell r="C13">
            <v>229.01904276999963</v>
          </cell>
          <cell r="D13">
            <v>49.986156680000015</v>
          </cell>
          <cell r="E13">
            <v>63.545146849999945</v>
          </cell>
        </row>
        <row r="14">
          <cell r="A14" t="str">
            <v>Caucho y de plástico</v>
          </cell>
          <cell r="B14">
            <v>226.44236349999977</v>
          </cell>
          <cell r="C14">
            <v>228.84751337000131</v>
          </cell>
          <cell r="D14">
            <v>59.521954570000155</v>
          </cell>
          <cell r="E14">
            <v>61.615750250000019</v>
          </cell>
        </row>
        <row r="15">
          <cell r="A15" t="str">
            <v>Textiles</v>
          </cell>
          <cell r="B15">
            <v>211.70837872999863</v>
          </cell>
          <cell r="C15">
            <v>176.47293716999982</v>
          </cell>
          <cell r="D15">
            <v>50.371591280000011</v>
          </cell>
          <cell r="E15">
            <v>44.353757660000063</v>
          </cell>
        </row>
        <row r="16">
          <cell r="A16" t="str">
            <v>Productos de metal</v>
          </cell>
          <cell r="B16">
            <v>159.16405663000074</v>
          </cell>
          <cell r="C16">
            <v>149.41303593000075</v>
          </cell>
          <cell r="D16">
            <v>37.320290500000034</v>
          </cell>
          <cell r="E16">
            <v>41.677722440000004</v>
          </cell>
        </row>
        <row r="17">
          <cell r="A17" t="str">
            <v>Muebles industrias</v>
          </cell>
          <cell r="B17">
            <v>126.27454146000022</v>
          </cell>
          <cell r="C17">
            <v>135.06375899000031</v>
          </cell>
          <cell r="D17">
            <v>30.542789260000045</v>
          </cell>
          <cell r="E17">
            <v>37.716381589999997</v>
          </cell>
        </row>
        <row r="18">
          <cell r="A18" t="str">
            <v>Cueros</v>
          </cell>
          <cell r="B18">
            <v>93.093587619999738</v>
          </cell>
          <cell r="C18">
            <v>108.98788316999959</v>
          </cell>
          <cell r="D18">
            <v>21.04750005999999</v>
          </cell>
          <cell r="E18">
            <v>24.223801039999955</v>
          </cell>
        </row>
        <row r="19">
          <cell r="A19" t="str">
            <v>Prendas de vestir</v>
          </cell>
          <cell r="B19">
            <v>82.097782740000156</v>
          </cell>
          <cell r="C19">
            <v>92.89312230000003</v>
          </cell>
          <cell r="D19">
            <v>18.499904930000007</v>
          </cell>
          <cell r="E19">
            <v>17.849720409999986</v>
          </cell>
        </row>
        <row r="20">
          <cell r="A20" t="str">
            <v>Papel</v>
          </cell>
          <cell r="B20">
            <v>89.573949570000153</v>
          </cell>
          <cell r="C20">
            <v>86.243344049999692</v>
          </cell>
          <cell r="D20">
            <v>19.325152699999997</v>
          </cell>
          <cell r="E20">
            <v>24.847224200000024</v>
          </cell>
        </row>
        <row r="21">
          <cell r="A21" t="str">
            <v>Fabr. minerales no metálicos</v>
          </cell>
          <cell r="B21">
            <v>82.160497290000208</v>
          </cell>
          <cell r="C21">
            <v>82.925745600000269</v>
          </cell>
          <cell r="D21">
            <v>19.962352210000002</v>
          </cell>
          <cell r="E21">
            <v>21.168507069999968</v>
          </cell>
        </row>
        <row r="22">
          <cell r="A22" t="str">
            <v>Edición</v>
          </cell>
          <cell r="B22">
            <v>42.646346120000118</v>
          </cell>
          <cell r="C22">
            <v>44.122554329999986</v>
          </cell>
          <cell r="D22">
            <v>9.7118667499999827</v>
          </cell>
          <cell r="E22">
            <v>12.673908950000012</v>
          </cell>
        </row>
        <row r="23">
          <cell r="A23" t="str">
            <v>Madera</v>
          </cell>
          <cell r="B23">
            <v>27.071672890000052</v>
          </cell>
          <cell r="C23">
            <v>30.195469579999983</v>
          </cell>
          <cell r="D23">
            <v>5.9826516899999937</v>
          </cell>
          <cell r="E23">
            <v>7.1514202200000039</v>
          </cell>
        </row>
        <row r="24">
          <cell r="A24" t="str">
            <v>Minerales no metálicos</v>
          </cell>
          <cell r="B24">
            <v>14.001606310000009</v>
          </cell>
          <cell r="C24">
            <v>13.868106469999976</v>
          </cell>
          <cell r="D24">
            <v>2.4092749100000002</v>
          </cell>
          <cell r="E24">
            <v>2.1887995499999993</v>
          </cell>
        </row>
        <row r="25">
          <cell r="A25" t="str">
            <v>Tabaco</v>
          </cell>
          <cell r="B25">
            <v>7.1769391600000025</v>
          </cell>
          <cell r="C25">
            <v>6.3863406400000002</v>
          </cell>
          <cell r="D25">
            <v>2.9910703200000008</v>
          </cell>
          <cell r="E25">
            <v>1.5039295399999999</v>
          </cell>
        </row>
        <row r="26">
          <cell r="A26" t="str">
            <v>Sin información</v>
          </cell>
          <cell r="B26">
            <v>3.2627722699999993</v>
          </cell>
          <cell r="C26">
            <v>3.2527002400000011</v>
          </cell>
          <cell r="D26">
            <v>0.60829359000000016</v>
          </cell>
          <cell r="E26">
            <v>0.74365742999999984</v>
          </cell>
        </row>
        <row r="27">
          <cell r="A27" t="str">
            <v>Pesca</v>
          </cell>
          <cell r="B27">
            <v>1.2473994100000003</v>
          </cell>
          <cell r="C27">
            <v>2.4074119100000022</v>
          </cell>
          <cell r="D27">
            <v>0.20998731999999998</v>
          </cell>
          <cell r="E27">
            <v>0.33389370000000002</v>
          </cell>
        </row>
        <row r="28">
          <cell r="A28" t="str">
            <v>Silvicultura</v>
          </cell>
          <cell r="B28">
            <v>1.2523709000000003</v>
          </cell>
          <cell r="C28">
            <v>1.0289958299999999</v>
          </cell>
          <cell r="D28">
            <v>0.39162569999999991</v>
          </cell>
          <cell r="E28">
            <v>0.14598733</v>
          </cell>
        </row>
        <row r="29">
          <cell r="A29" t="str">
            <v>Carbón</v>
          </cell>
          <cell r="B29">
            <v>0.51389761</v>
          </cell>
          <cell r="C29">
            <v>0.55424684000000002</v>
          </cell>
          <cell r="D29">
            <v>0.10723452999999998</v>
          </cell>
          <cell r="E29">
            <v>6.0691429999999998E-2</v>
          </cell>
        </row>
        <row r="30">
          <cell r="A30" t="str">
            <v>Esparcimiento</v>
          </cell>
          <cell r="B30">
            <v>0.3316175300000001</v>
          </cell>
          <cell r="C30">
            <v>0.5436575600000001</v>
          </cell>
          <cell r="D30">
            <v>8.5462230000000014E-2</v>
          </cell>
          <cell r="E30">
            <v>0.12492598999999999</v>
          </cell>
        </row>
        <row r="31">
          <cell r="A31" t="str">
            <v>Minerales metalíferos</v>
          </cell>
          <cell r="B31">
            <v>2.0724540599999997</v>
          </cell>
          <cell r="C31">
            <v>0.54066654000000003</v>
          </cell>
          <cell r="D31">
            <v>0.78989310000000001</v>
          </cell>
          <cell r="E31">
            <v>0.12674948</v>
          </cell>
        </row>
        <row r="32">
          <cell r="A32" t="str">
            <v>Reciclaje</v>
          </cell>
          <cell r="B32">
            <v>0.32712226999999994</v>
          </cell>
          <cell r="C32">
            <v>0.28085422999999998</v>
          </cell>
          <cell r="D32">
            <v>0.11191359000000002</v>
          </cell>
          <cell r="E32">
            <v>8.6186579999999999E-2</v>
          </cell>
        </row>
        <row r="33">
          <cell r="A33" t="str">
            <v>Activ. empresariales</v>
          </cell>
          <cell r="B33">
            <v>0.21221366</v>
          </cell>
          <cell r="C33">
            <v>0.24302338000000001</v>
          </cell>
          <cell r="D33">
            <v>7.3612299999999999E-3</v>
          </cell>
          <cell r="E33">
            <v>2.8127799999999995E-3</v>
          </cell>
        </row>
        <row r="34">
          <cell r="A34" t="str">
            <v>Comercio al por mayor</v>
          </cell>
          <cell r="B34">
            <v>5.930847999999999E-2</v>
          </cell>
          <cell r="C34">
            <v>4.3211290000000006E-2</v>
          </cell>
          <cell r="D34">
            <v>1.33697E-2</v>
          </cell>
          <cell r="E34">
            <v>1.604011E-2</v>
          </cell>
        </row>
        <row r="35">
          <cell r="A35" t="str">
            <v>Petróleo</v>
          </cell>
          <cell r="B35">
            <v>2.3845199999999998E-3</v>
          </cell>
          <cell r="C35">
            <v>1.7790599999999998E-3</v>
          </cell>
          <cell r="D35">
            <v>0</v>
          </cell>
          <cell r="E35">
            <v>6.2544E-4</v>
          </cell>
        </row>
      </sheetData>
      <sheetData sheetId="7">
        <row r="2">
          <cell r="A2" t="str">
            <v>Equipo rodante de transporte</v>
          </cell>
          <cell r="B2">
            <v>657.88775126000291</v>
          </cell>
          <cell r="C2">
            <v>1067.4126099699997</v>
          </cell>
          <cell r="D2">
            <v>174.77399156999996</v>
          </cell>
          <cell r="E2">
            <v>209.44184411000026</v>
          </cell>
        </row>
        <row r="3">
          <cell r="A3" t="str">
            <v>Químicos y farmacéuticos</v>
          </cell>
          <cell r="B3">
            <v>831.24446392000107</v>
          </cell>
          <cell r="C3">
            <v>921.55972420998467</v>
          </cell>
          <cell r="D3">
            <v>207.2024305199993</v>
          </cell>
          <cell r="E3">
            <v>304.97927604999967</v>
          </cell>
        </row>
        <row r="4">
          <cell r="A4" t="str">
            <v>Combustibles</v>
          </cell>
          <cell r="B4">
            <v>499.76925448999975</v>
          </cell>
          <cell r="C4">
            <v>882.43314633000011</v>
          </cell>
          <cell r="D4">
            <v>92.261637360000009</v>
          </cell>
          <cell r="E4">
            <v>137.41036187999995</v>
          </cell>
        </row>
        <row r="5">
          <cell r="A5" t="str">
            <v>Otro equipo fijo</v>
          </cell>
          <cell r="B5">
            <v>704.06155800999863</v>
          </cell>
          <cell r="C5">
            <v>737.09559121999598</v>
          </cell>
          <cell r="D5">
            <v>193.27225111999999</v>
          </cell>
          <cell r="E5">
            <v>197.87700993999991</v>
          </cell>
        </row>
        <row r="6">
          <cell r="A6" t="str">
            <v>Aparatos de oficina</v>
          </cell>
          <cell r="B6">
            <v>656.7241313799999</v>
          </cell>
          <cell r="C6">
            <v>729.63592850000032</v>
          </cell>
          <cell r="D6">
            <v>166.85400403999927</v>
          </cell>
          <cell r="E6">
            <v>213.8303497799989</v>
          </cell>
        </row>
        <row r="7">
          <cell r="A7" t="str">
            <v>Maquinaria industrial</v>
          </cell>
          <cell r="B7">
            <v>670.44231539999817</v>
          </cell>
          <cell r="C7">
            <v>677.55270473000439</v>
          </cell>
          <cell r="D7">
            <v>159.10871611999968</v>
          </cell>
          <cell r="E7">
            <v>188.36598158999962</v>
          </cell>
        </row>
        <row r="8">
          <cell r="A8" t="str">
            <v>Vehículos particulares</v>
          </cell>
          <cell r="B8">
            <v>483.02506528000043</v>
          </cell>
          <cell r="C8">
            <v>549.882266310001</v>
          </cell>
          <cell r="D8">
            <v>136.82828363000021</v>
          </cell>
          <cell r="E8">
            <v>159.05217767000028</v>
          </cell>
        </row>
        <row r="9">
          <cell r="A9" t="str">
            <v>Productos mineros</v>
          </cell>
          <cell r="B9">
            <v>526.96716461000437</v>
          </cell>
          <cell r="C9">
            <v>520.07972937001284</v>
          </cell>
          <cell r="D9">
            <v>130.94616772999953</v>
          </cell>
          <cell r="E9">
            <v>149.70203741999967</v>
          </cell>
        </row>
        <row r="10">
          <cell r="A10" t="str">
            <v>Lubricantes</v>
          </cell>
          <cell r="B10">
            <v>465.40231331999985</v>
          </cell>
          <cell r="C10">
            <v>498.02923110999978</v>
          </cell>
          <cell r="D10">
            <v>111.15522161</v>
          </cell>
          <cell r="E10">
            <v>154.92482589999997</v>
          </cell>
        </row>
        <row r="11">
          <cell r="A11" t="str">
            <v>Farmacéuticos</v>
          </cell>
          <cell r="B11">
            <v>399.01228708000099</v>
          </cell>
          <cell r="C11">
            <v>488.55427713000006</v>
          </cell>
          <cell r="D11">
            <v>106.60023691000021</v>
          </cell>
          <cell r="E11">
            <v>150.71194518999974</v>
          </cell>
        </row>
        <row r="12">
          <cell r="A12" t="str">
            <v>Partes equipo de transporte</v>
          </cell>
          <cell r="B12">
            <v>414.56252077000528</v>
          </cell>
          <cell r="C12">
            <v>371.50281484000129</v>
          </cell>
          <cell r="D12">
            <v>86.746970590000103</v>
          </cell>
          <cell r="E12">
            <v>110.67079670999995</v>
          </cell>
        </row>
        <row r="13">
          <cell r="A13" t="str">
            <v>Agropecuarios no alimenticios</v>
          </cell>
          <cell r="B13">
            <v>274.30947707000013</v>
          </cell>
          <cell r="C13">
            <v>243.43753642000036</v>
          </cell>
          <cell r="D13">
            <v>64.052689480000012</v>
          </cell>
          <cell r="E13">
            <v>68.637666379999757</v>
          </cell>
        </row>
        <row r="14">
          <cell r="A14" t="str">
            <v>Materiales de construcción</v>
          </cell>
          <cell r="B14">
            <v>255.67848411000023</v>
          </cell>
          <cell r="C14">
            <v>238.03094220000042</v>
          </cell>
          <cell r="D14">
            <v>69.903933190000032</v>
          </cell>
          <cell r="E14">
            <v>72.087714160000004</v>
          </cell>
        </row>
        <row r="15">
          <cell r="A15" t="str">
            <v>Productos alimenticios</v>
          </cell>
          <cell r="B15">
            <v>205.94731354999956</v>
          </cell>
          <cell r="C15">
            <v>203.82537235999982</v>
          </cell>
          <cell r="D15">
            <v>44.523744000000022</v>
          </cell>
          <cell r="E15">
            <v>56.886672569999959</v>
          </cell>
        </row>
        <row r="16">
          <cell r="A16" t="str">
            <v>Otros consumo no duradero</v>
          </cell>
          <cell r="B16">
            <v>174.06603443000023</v>
          </cell>
          <cell r="C16">
            <v>191.84796013000013</v>
          </cell>
          <cell r="D16">
            <v>41.330899049999921</v>
          </cell>
          <cell r="E16">
            <v>49.551655729999858</v>
          </cell>
        </row>
        <row r="17">
          <cell r="A17" t="str">
            <v>Objetos de adorno</v>
          </cell>
          <cell r="B17">
            <v>164.23518705000058</v>
          </cell>
          <cell r="C17">
            <v>171.22378486999918</v>
          </cell>
          <cell r="D17">
            <v>38.665693680000025</v>
          </cell>
          <cell r="E17">
            <v>48.48070240000002</v>
          </cell>
        </row>
        <row r="18">
          <cell r="A18" t="str">
            <v>Aparatos domésticos</v>
          </cell>
          <cell r="B18">
            <v>182.31574578999968</v>
          </cell>
          <cell r="C18">
            <v>166.68311278999954</v>
          </cell>
          <cell r="D18">
            <v>41.595229779999933</v>
          </cell>
          <cell r="E18">
            <v>56.392631299999962</v>
          </cell>
        </row>
        <row r="19">
          <cell r="A19" t="str">
            <v>Alimentos</v>
          </cell>
          <cell r="B19">
            <v>185.27473333999939</v>
          </cell>
          <cell r="C19">
            <v>163.11934795999977</v>
          </cell>
          <cell r="D19">
            <v>39.87571610000002</v>
          </cell>
          <cell r="E19">
            <v>39.82215044000008</v>
          </cell>
        </row>
        <row r="20">
          <cell r="A20" t="str">
            <v>Vestuario</v>
          </cell>
          <cell r="B20">
            <v>116.51316660000032</v>
          </cell>
          <cell r="C20">
            <v>132.00063568000095</v>
          </cell>
          <cell r="D20">
            <v>25.998699520000066</v>
          </cell>
          <cell r="E20">
            <v>24.367461459999923</v>
          </cell>
        </row>
        <row r="21">
          <cell r="A21" t="str">
            <v>Partes maquinaria industrial</v>
          </cell>
          <cell r="B21">
            <v>116.04081346999966</v>
          </cell>
          <cell r="C21">
            <v>129.93023509000054</v>
          </cell>
          <cell r="D21">
            <v>25.768904060000025</v>
          </cell>
          <cell r="E21">
            <v>33.832901200000087</v>
          </cell>
        </row>
        <row r="22">
          <cell r="A22" t="str">
            <v>Materias primas agricultura</v>
          </cell>
          <cell r="B22">
            <v>88.646772310000003</v>
          </cell>
          <cell r="C22">
            <v>88.993459620000067</v>
          </cell>
          <cell r="D22">
            <v>22.349317119999988</v>
          </cell>
          <cell r="E22">
            <v>28.389197760000005</v>
          </cell>
        </row>
        <row r="23">
          <cell r="A23" t="str">
            <v>Muebles</v>
          </cell>
          <cell r="B23">
            <v>84.031561170000316</v>
          </cell>
          <cell r="C23">
            <v>84.243868689999928</v>
          </cell>
          <cell r="D23">
            <v>20.039876380000013</v>
          </cell>
          <cell r="E23">
            <v>20.54801410000001</v>
          </cell>
        </row>
        <row r="24">
          <cell r="A24" t="str">
            <v>Alimentos para animales</v>
          </cell>
          <cell r="B24">
            <v>36.032701879999983</v>
          </cell>
          <cell r="C24">
            <v>70.445380299999954</v>
          </cell>
          <cell r="D24">
            <v>10.624831890000005</v>
          </cell>
          <cell r="E24">
            <v>20.527763969999999</v>
          </cell>
        </row>
        <row r="25">
          <cell r="A25" t="str">
            <v>Herramientas</v>
          </cell>
          <cell r="B25">
            <v>55.146963859999872</v>
          </cell>
          <cell r="C25">
            <v>51.197380819999758</v>
          </cell>
          <cell r="D25">
            <v>13.342903769999966</v>
          </cell>
          <cell r="E25">
            <v>15.200049780000031</v>
          </cell>
        </row>
        <row r="26">
          <cell r="A26" t="str">
            <v>Utensilios domésticos</v>
          </cell>
          <cell r="B26">
            <v>27.542322629999941</v>
          </cell>
          <cell r="C26">
            <v>36.44749125000002</v>
          </cell>
          <cell r="D26">
            <v>7.3486914200000006</v>
          </cell>
          <cell r="E26">
            <v>11.62330065000001</v>
          </cell>
        </row>
        <row r="27">
          <cell r="A27" t="str">
            <v>Bebidas</v>
          </cell>
          <cell r="B27">
            <v>19.633321930000008</v>
          </cell>
          <cell r="C27">
            <v>23.768921729999992</v>
          </cell>
          <cell r="D27">
            <v>3.7706888399999978</v>
          </cell>
          <cell r="E27">
            <v>7.9988537499999968</v>
          </cell>
        </row>
        <row r="28">
          <cell r="A28" t="str">
            <v>Armas y equipo militar</v>
          </cell>
          <cell r="B28">
            <v>26.904754349999997</v>
          </cell>
          <cell r="C28">
            <v>15.82333744</v>
          </cell>
          <cell r="D28">
            <v>7.2212313299999993</v>
          </cell>
          <cell r="E28">
            <v>6.0949154299999995</v>
          </cell>
        </row>
        <row r="29">
          <cell r="A29" t="str">
            <v>Material de transporte</v>
          </cell>
          <cell r="B29">
            <v>17.910695769999997</v>
          </cell>
          <cell r="C29">
            <v>15.148959930000002</v>
          </cell>
          <cell r="D29">
            <v>4.5600378500000005</v>
          </cell>
          <cell r="E29">
            <v>5.1235450000000018</v>
          </cell>
        </row>
        <row r="30">
          <cell r="A30" t="str">
            <v>Máquinas y herramientas</v>
          </cell>
          <cell r="B30">
            <v>8.3102360600000011</v>
          </cell>
          <cell r="C30">
            <v>10.628689700000008</v>
          </cell>
          <cell r="D30">
            <v>1.7922771100000001</v>
          </cell>
          <cell r="E30">
            <v>3.8006457300000003</v>
          </cell>
        </row>
        <row r="31">
          <cell r="A31" t="str">
            <v>Equipo fijo de transporte</v>
          </cell>
          <cell r="B31">
            <v>8.4213293699999987</v>
          </cell>
          <cell r="C31">
            <v>10.423582179999999</v>
          </cell>
          <cell r="D31">
            <v>1.5933898400000004</v>
          </cell>
          <cell r="E31">
            <v>2.7692460299999992</v>
          </cell>
        </row>
        <row r="32">
          <cell r="A32" t="str">
            <v>Bienes no clasificados</v>
          </cell>
          <cell r="B32">
            <v>10.559319419999991</v>
          </cell>
          <cell r="C32">
            <v>9.7436164799999911</v>
          </cell>
          <cell r="D32">
            <v>2.0041450100000007</v>
          </cell>
          <cell r="E32">
            <v>2.3681786899999997</v>
          </cell>
        </row>
        <row r="33">
          <cell r="A33" t="str">
            <v>Tabaco</v>
          </cell>
          <cell r="B33">
            <v>7.1769391600000016</v>
          </cell>
          <cell r="C33">
            <v>6.3863406400000002</v>
          </cell>
          <cell r="D33">
            <v>2.9910703200000013</v>
          </cell>
          <cell r="E33">
            <v>1.5039295399999999</v>
          </cell>
        </row>
        <row r="34">
          <cell r="A34" t="str">
            <v>Equipo para la agricultura</v>
          </cell>
          <cell r="B34">
            <v>0.51213087999999973</v>
          </cell>
          <cell r="C34">
            <v>0.27808525999999995</v>
          </cell>
          <cell r="D34">
            <v>7.9067390000000001E-2</v>
          </cell>
          <cell r="E34">
            <v>7.4553060000000004E-2</v>
          </cell>
        </row>
      </sheetData>
      <sheetData sheetId="8">
        <row r="2">
          <cell r="C2">
            <v>440904404.47000003</v>
          </cell>
          <cell r="D2">
            <v>92101749.010000005</v>
          </cell>
          <cell r="G2">
            <v>770965559.81000006</v>
          </cell>
          <cell r="H2">
            <v>109400369.95</v>
          </cell>
          <cell r="J2" t="str">
            <v>Gasóleo</v>
          </cell>
        </row>
        <row r="3">
          <cell r="C3">
            <v>108302653.67</v>
          </cell>
          <cell r="D3">
            <v>39669671.140000001</v>
          </cell>
          <cell r="G3">
            <v>486235810.60000002</v>
          </cell>
          <cell r="H3">
            <v>79571002.5</v>
          </cell>
          <cell r="J3" t="str">
            <v>Aviones &gt; 15 mil Kg</v>
          </cell>
        </row>
        <row r="4">
          <cell r="C4">
            <v>417122813.7299999</v>
          </cell>
          <cell r="D4">
            <v>97932131.739999995</v>
          </cell>
          <cell r="G4">
            <v>464189407.81999987</v>
          </cell>
          <cell r="H4">
            <v>143092948.81</v>
          </cell>
          <cell r="J4" t="str">
            <v>Aceites livianos</v>
          </cell>
        </row>
        <row r="5">
          <cell r="C5">
            <v>348124404.46999937</v>
          </cell>
          <cell r="D5">
            <v>102788842.58000004</v>
          </cell>
          <cell r="G5">
            <v>415073022.16000015</v>
          </cell>
          <cell r="H5">
            <v>103721635.54999995</v>
          </cell>
          <cell r="J5" t="str">
            <v>Teléfonos móviles</v>
          </cell>
        </row>
        <row r="6">
          <cell r="C6">
            <v>275520261.83999991</v>
          </cell>
          <cell r="D6">
            <v>81748512.029999986</v>
          </cell>
          <cell r="G6">
            <v>287299782.84000051</v>
          </cell>
          <cell r="H6">
            <v>80590154.98999995</v>
          </cell>
          <cell r="J6" t="str">
            <v>Vehículos 1.500 y 3.000 cm3</v>
          </cell>
        </row>
        <row r="7">
          <cell r="C7">
            <v>10277321.25</v>
          </cell>
          <cell r="D7">
            <v>0</v>
          </cell>
          <cell r="G7">
            <v>257304703.09999996</v>
          </cell>
          <cell r="H7">
            <v>16782058.5</v>
          </cell>
          <cell r="J7" t="str">
            <v>Helicopteros &gt; 2000 kg</v>
          </cell>
        </row>
        <row r="8">
          <cell r="C8">
            <v>166844001.48999983</v>
          </cell>
          <cell r="D8">
            <v>43087299.130000032</v>
          </cell>
          <cell r="G8">
            <v>231723444.85999978</v>
          </cell>
          <cell r="H8">
            <v>71410487.480000034</v>
          </cell>
          <cell r="J8" t="str">
            <v>Portátiles</v>
          </cell>
        </row>
        <row r="9">
          <cell r="C9">
            <v>168923213.71000046</v>
          </cell>
          <cell r="D9">
            <v>45849614.069999978</v>
          </cell>
          <cell r="G9">
            <v>211182668.57999966</v>
          </cell>
          <cell r="H9">
            <v>65408485.719999991</v>
          </cell>
          <cell r="J9" t="str">
            <v>Medicamentos uso humano</v>
          </cell>
        </row>
        <row r="10">
          <cell r="C10">
            <v>148678608.74000025</v>
          </cell>
          <cell r="D10">
            <v>45448784.560000084</v>
          </cell>
          <cell r="G10">
            <v>124711504.76000008</v>
          </cell>
          <cell r="H10">
            <v>40203780.230000041</v>
          </cell>
          <cell r="J10" t="str">
            <v>Aparatos de telecomunicación</v>
          </cell>
        </row>
        <row r="11">
          <cell r="C11">
            <v>69300897.090000018</v>
          </cell>
          <cell r="D11">
            <v>16783124.259999994</v>
          </cell>
          <cell r="G11">
            <v>115532161.70999993</v>
          </cell>
          <cell r="H11">
            <v>27957245.590000007</v>
          </cell>
          <cell r="J11" t="str">
            <v>Vehículos 1.000 y 1.500 cm3</v>
          </cell>
        </row>
        <row r="12">
          <cell r="C12">
            <v>57923393.489999995</v>
          </cell>
          <cell r="D12">
            <v>36413.42</v>
          </cell>
          <cell r="G12">
            <v>105312177.42</v>
          </cell>
          <cell r="H12">
            <v>27922753.289999999</v>
          </cell>
          <cell r="J12" t="str">
            <v>Gasolinas sin tetraetilo</v>
          </cell>
        </row>
        <row r="13">
          <cell r="C13">
            <v>105658550.44999988</v>
          </cell>
          <cell r="D13">
            <v>30388257.999999996</v>
          </cell>
          <cell r="G13">
            <v>80717808.0400002</v>
          </cell>
          <cell r="H13">
            <v>21119283.259999994</v>
          </cell>
          <cell r="J13" t="str">
            <v>Máquinas procesamiento de datos</v>
          </cell>
        </row>
        <row r="14">
          <cell r="C14">
            <v>28163074.789999992</v>
          </cell>
          <cell r="D14">
            <v>6157767.9999999991</v>
          </cell>
          <cell r="G14">
            <v>72897647.440000057</v>
          </cell>
          <cell r="H14">
            <v>25099686.82</v>
          </cell>
          <cell r="J14" t="str">
            <v>Productos inmunológicos</v>
          </cell>
        </row>
        <row r="15">
          <cell r="C15">
            <v>45240222.999999985</v>
          </cell>
          <cell r="D15">
            <v>9695811.8400000017</v>
          </cell>
          <cell r="G15">
            <v>63604222.980000004</v>
          </cell>
          <cell r="H15">
            <v>18907198.400000002</v>
          </cell>
          <cell r="J15" t="str">
            <v>Maíz duro amarillo.</v>
          </cell>
        </row>
        <row r="16">
          <cell r="C16">
            <v>48414437.710000001</v>
          </cell>
          <cell r="D16">
            <v>15464008.560000004</v>
          </cell>
          <cell r="G16">
            <v>62332535.949999996</v>
          </cell>
          <cell r="H16">
            <v>12826913.789999997</v>
          </cell>
          <cell r="J16" t="str">
            <v>Medicamentos VIH</v>
          </cell>
        </row>
        <row r="17">
          <cell r="C17">
            <v>22908713.18</v>
          </cell>
          <cell r="D17">
            <v>0</v>
          </cell>
          <cell r="G17">
            <v>57168573.990000002</v>
          </cell>
          <cell r="H17">
            <v>9375367.2599999998</v>
          </cell>
          <cell r="J17" t="str">
            <v>Aviones &lt; 15 mil Kg</v>
          </cell>
        </row>
        <row r="18">
          <cell r="C18">
            <v>36874618.210000001</v>
          </cell>
          <cell r="D18">
            <v>9548099.5700000022</v>
          </cell>
          <cell r="G18">
            <v>52055240.789999992</v>
          </cell>
          <cell r="H18">
            <v>34734952.170000002</v>
          </cell>
          <cell r="J18" t="str">
            <v>Vacunas medicina humana</v>
          </cell>
        </row>
        <row r="19">
          <cell r="C19">
            <v>24589235.330000006</v>
          </cell>
          <cell r="D19">
            <v>10246657.949999999</v>
          </cell>
          <cell r="G19">
            <v>49915884.959999971</v>
          </cell>
          <cell r="H19">
            <v>20070762.769999992</v>
          </cell>
          <cell r="J19" t="str">
            <v>Aparatos receptores TV LED</v>
          </cell>
        </row>
        <row r="20">
          <cell r="C20">
            <v>42062950.019999966</v>
          </cell>
          <cell r="D20">
            <v>14403888.609999994</v>
          </cell>
          <cell r="G20">
            <v>48110160.32000009</v>
          </cell>
          <cell r="H20">
            <v>17436232.310000014</v>
          </cell>
          <cell r="J20" t="str">
            <v>Camperos 1500 y 3000 cm3</v>
          </cell>
        </row>
      </sheetData>
      <sheetData sheetId="9">
        <row r="2">
          <cell r="B2" t="str">
            <v>Estados Unidos</v>
          </cell>
          <cell r="D2">
            <v>1854.6116825499821</v>
          </cell>
          <cell r="E2">
            <v>406.67092777999505</v>
          </cell>
          <cell r="F2">
            <v>3001.4386970000655</v>
          </cell>
          <cell r="G2">
            <v>669.45335191000311</v>
          </cell>
        </row>
        <row r="3">
          <cell r="B3" t="str">
            <v>China</v>
          </cell>
          <cell r="D3">
            <v>1584.3377786400197</v>
          </cell>
          <cell r="E3">
            <v>395.70615605000353</v>
          </cell>
          <cell r="F3">
            <v>1725.3988801000335</v>
          </cell>
          <cell r="G3">
            <v>447.12482071999887</v>
          </cell>
        </row>
        <row r="4">
          <cell r="B4" t="str">
            <v>México</v>
          </cell>
          <cell r="D4">
            <v>1089.3030473900412</v>
          </cell>
          <cell r="E4">
            <v>313.7305645299985</v>
          </cell>
          <cell r="F4">
            <v>864.86852400000794</v>
          </cell>
          <cell r="G4">
            <v>261.05261359000059</v>
          </cell>
        </row>
        <row r="5">
          <cell r="B5" t="str">
            <v>Alemania</v>
          </cell>
          <cell r="D5">
            <v>355.0817337000006</v>
          </cell>
          <cell r="E5">
            <v>91.098781469999963</v>
          </cell>
          <cell r="F5">
            <v>432.07173298999908</v>
          </cell>
          <cell r="G5">
            <v>120.9394420299994</v>
          </cell>
        </row>
        <row r="6">
          <cell r="B6" t="str">
            <v>Brasil</v>
          </cell>
          <cell r="D6">
            <v>356.3631802799996</v>
          </cell>
          <cell r="E6">
            <v>80.440536320000064</v>
          </cell>
          <cell r="F6">
            <v>358.77805887999926</v>
          </cell>
          <cell r="G6">
            <v>111.76129900999977</v>
          </cell>
        </row>
        <row r="7">
          <cell r="B7" t="str">
            <v>Francia</v>
          </cell>
          <cell r="D7">
            <v>251.7601665499995</v>
          </cell>
          <cell r="E7">
            <v>75.270957530000004</v>
          </cell>
          <cell r="F7">
            <v>233.54158312000007</v>
          </cell>
          <cell r="G7">
            <v>52.856682130000117</v>
          </cell>
        </row>
        <row r="8">
          <cell r="B8" t="str">
            <v>Argentina</v>
          </cell>
          <cell r="D8">
            <v>201.9010139799999</v>
          </cell>
          <cell r="E8">
            <v>46.931368130000024</v>
          </cell>
          <cell r="F8">
            <v>215.8702486599995</v>
          </cell>
          <cell r="G8">
            <v>69.880983659999927</v>
          </cell>
        </row>
        <row r="9">
          <cell r="B9" t="str">
            <v>Japón</v>
          </cell>
          <cell r="D9">
            <v>236.08347788999959</v>
          </cell>
          <cell r="E9">
            <v>60.683706609999831</v>
          </cell>
          <cell r="F9">
            <v>202.53985994000101</v>
          </cell>
          <cell r="G9">
            <v>58.439704359999944</v>
          </cell>
        </row>
        <row r="10">
          <cell r="B10" t="str">
            <v>Trinidad Y Tobago</v>
          </cell>
          <cell r="D10">
            <v>155.75140657999975</v>
          </cell>
          <cell r="E10">
            <v>36.212995420000013</v>
          </cell>
          <cell r="F10">
            <v>187.25661709000008</v>
          </cell>
          <cell r="G10">
            <v>98.398894749999997</v>
          </cell>
        </row>
        <row r="11">
          <cell r="B11" t="str">
            <v>Colombia</v>
          </cell>
          <cell r="D11">
            <v>226.74431737999964</v>
          </cell>
          <cell r="E11">
            <v>36.932661979999985</v>
          </cell>
          <cell r="F11">
            <v>182.96358201000015</v>
          </cell>
          <cell r="G11">
            <v>45.199302650000071</v>
          </cell>
        </row>
        <row r="12">
          <cell r="B12" t="str">
            <v>Italia</v>
          </cell>
          <cell r="D12">
            <v>140.56704153999948</v>
          </cell>
          <cell r="E12">
            <v>35.797587069999956</v>
          </cell>
          <cell r="F12">
            <v>181.23356583000029</v>
          </cell>
          <cell r="G12">
            <v>57.511007899999832</v>
          </cell>
        </row>
        <row r="13">
          <cell r="B13" t="str">
            <v>España</v>
          </cell>
          <cell r="D13">
            <v>105.44067175000004</v>
          </cell>
          <cell r="E13">
            <v>26.628486399999879</v>
          </cell>
          <cell r="F13">
            <v>173.00722317000063</v>
          </cell>
          <cell r="G13">
            <v>30.372738149999993</v>
          </cell>
        </row>
        <row r="14">
          <cell r="B14" t="str">
            <v>Corea del Sur</v>
          </cell>
          <cell r="D14">
            <v>145.38005321000014</v>
          </cell>
          <cell r="E14">
            <v>34.05958754000001</v>
          </cell>
          <cell r="F14">
            <v>145.36199138000012</v>
          </cell>
          <cell r="G14">
            <v>49.636953460000043</v>
          </cell>
        </row>
        <row r="15">
          <cell r="B15" t="str">
            <v>Suiza</v>
          </cell>
          <cell r="D15">
            <v>115.53640726999976</v>
          </cell>
          <cell r="E15">
            <v>29.438258260000016</v>
          </cell>
          <cell r="F15">
            <v>133.54645632999978</v>
          </cell>
          <cell r="G15">
            <v>37.162708449999997</v>
          </cell>
        </row>
        <row r="16">
          <cell r="B16" t="str">
            <v>India</v>
          </cell>
          <cell r="D16">
            <v>147.40837929999984</v>
          </cell>
          <cell r="E16">
            <v>24.929636780000024</v>
          </cell>
          <cell r="F16">
            <v>124.93899064999985</v>
          </cell>
          <cell r="G16">
            <v>34.953934200000099</v>
          </cell>
        </row>
        <row r="17">
          <cell r="B17" t="str">
            <v>Canadá</v>
          </cell>
          <cell r="D17">
            <v>167.17078908000042</v>
          </cell>
          <cell r="E17">
            <v>44.255106839999989</v>
          </cell>
          <cell r="F17">
            <v>124.3748187499998</v>
          </cell>
          <cell r="G17">
            <v>45.167165660000073</v>
          </cell>
        </row>
        <row r="18">
          <cell r="B18" t="str">
            <v>Reino Unido</v>
          </cell>
          <cell r="D18">
            <v>101.45561020999973</v>
          </cell>
          <cell r="E18">
            <v>29.374228430000002</v>
          </cell>
          <cell r="F18">
            <v>98.442847240000276</v>
          </cell>
          <cell r="G18">
            <v>30.706992899999953</v>
          </cell>
        </row>
        <row r="19">
          <cell r="B19" t="str">
            <v>Chile</v>
          </cell>
          <cell r="D19">
            <v>108.95009314999994</v>
          </cell>
          <cell r="E19">
            <v>30.035534809999994</v>
          </cell>
          <cell r="F19">
            <v>84.007474159999802</v>
          </cell>
          <cell r="G19">
            <v>18.673741320000019</v>
          </cell>
        </row>
        <row r="20">
          <cell r="B20" t="str">
            <v>Taiwán</v>
          </cell>
          <cell r="D20">
            <v>72.176771779999825</v>
          </cell>
          <cell r="E20">
            <v>17.10138452</v>
          </cell>
          <cell r="F20">
            <v>75.696021329999866</v>
          </cell>
          <cell r="G20">
            <v>23.051877950000058</v>
          </cell>
        </row>
        <row r="21">
          <cell r="B21" t="str">
            <v>Finlandia</v>
          </cell>
          <cell r="D21">
            <v>22.557434630000028</v>
          </cell>
          <cell r="E21">
            <v>4.6098744899999993</v>
          </cell>
          <cell r="F21">
            <v>69.896728500000052</v>
          </cell>
          <cell r="G21">
            <v>9.3354155999999957</v>
          </cell>
        </row>
        <row r="22">
          <cell r="B22" t="str">
            <v>Ecuador</v>
          </cell>
          <cell r="D22">
            <v>94.741273089999979</v>
          </cell>
          <cell r="E22">
            <v>23.389768410000023</v>
          </cell>
          <cell r="F22">
            <v>61.343176419999992</v>
          </cell>
          <cell r="G22">
            <v>19.474082269999986</v>
          </cell>
        </row>
        <row r="23">
          <cell r="B23" t="str">
            <v>Bélgica</v>
          </cell>
          <cell r="D23">
            <v>52.957034259999929</v>
          </cell>
          <cell r="E23">
            <v>9.5225758000000109</v>
          </cell>
          <cell r="F23">
            <v>56.295686780000068</v>
          </cell>
          <cell r="G23">
            <v>21.199203299999958</v>
          </cell>
        </row>
        <row r="24">
          <cell r="B24" t="str">
            <v>Irlanda</v>
          </cell>
          <cell r="D24">
            <v>39.285857149999956</v>
          </cell>
          <cell r="E24">
            <v>9.0715669699999992</v>
          </cell>
          <cell r="F24">
            <v>49.458387910000113</v>
          </cell>
          <cell r="G24">
            <v>17.601286669999986</v>
          </cell>
        </row>
        <row r="25">
          <cell r="B25" t="str">
            <v>Viet Nam</v>
          </cell>
          <cell r="D25">
            <v>28.511220209999962</v>
          </cell>
          <cell r="E25">
            <v>6.9664883399999935</v>
          </cell>
          <cell r="F25">
            <v>45.796560880000143</v>
          </cell>
          <cell r="G25">
            <v>13.625919070000014</v>
          </cell>
        </row>
        <row r="26">
          <cell r="B26" t="str">
            <v>Rusia</v>
          </cell>
          <cell r="D26">
            <v>22.608096930000006</v>
          </cell>
          <cell r="E26">
            <v>4.0949948299999992</v>
          </cell>
          <cell r="F26">
            <v>44.707671170000012</v>
          </cell>
          <cell r="G26">
            <v>7.6137068399999981</v>
          </cell>
        </row>
        <row r="27">
          <cell r="B27" t="str">
            <v>Zona Franca de Bogotá</v>
          </cell>
          <cell r="D27">
            <v>32.752199680000018</v>
          </cell>
          <cell r="E27">
            <v>8.2330987399999991</v>
          </cell>
          <cell r="F27">
            <v>43.32003860999987</v>
          </cell>
          <cell r="G27">
            <v>12.930975840000009</v>
          </cell>
        </row>
        <row r="28">
          <cell r="B28" t="str">
            <v>Perú</v>
          </cell>
          <cell r="D28">
            <v>51.01361742000001</v>
          </cell>
          <cell r="E28">
            <v>9.5448126500000079</v>
          </cell>
          <cell r="F28">
            <v>42.124654939999999</v>
          </cell>
          <cell r="G28">
            <v>9.8110554400000023</v>
          </cell>
        </row>
        <row r="29">
          <cell r="B29" t="str">
            <v>Tailandia</v>
          </cell>
          <cell r="D29">
            <v>56.674948240000035</v>
          </cell>
          <cell r="E29">
            <v>18.961068149999981</v>
          </cell>
          <cell r="F29">
            <v>40.056942249999999</v>
          </cell>
          <cell r="G29">
            <v>14.529515570000001</v>
          </cell>
        </row>
        <row r="30">
          <cell r="B30" t="str">
            <v>Paises Bajos</v>
          </cell>
          <cell r="D30">
            <v>47.091681050000069</v>
          </cell>
          <cell r="E30">
            <v>8.0056225699999981</v>
          </cell>
          <cell r="F30">
            <v>36.833414780000041</v>
          </cell>
          <cell r="G30">
            <v>12.199047739999999</v>
          </cell>
        </row>
        <row r="31">
          <cell r="B31" t="str">
            <v>Israel</v>
          </cell>
          <cell r="D31">
            <v>43.036450940000044</v>
          </cell>
          <cell r="E31">
            <v>20.621660160000001</v>
          </cell>
          <cell r="F31">
            <v>36.787697200000011</v>
          </cell>
          <cell r="G31">
            <v>9.9238072700000011</v>
          </cell>
        </row>
      </sheetData>
      <sheetData sheetId="10">
        <row r="2">
          <cell r="B2" t="str">
            <v>Gasóleo</v>
          </cell>
          <cell r="C2">
            <v>436.19340059999996</v>
          </cell>
          <cell r="D2">
            <v>92.101749010000006</v>
          </cell>
          <cell r="E2">
            <v>770.91743556999995</v>
          </cell>
          <cell r="F2">
            <v>109.40036995</v>
          </cell>
        </row>
        <row r="3">
          <cell r="B3" t="str">
            <v>Aviones &gt; 15 mil kg</v>
          </cell>
          <cell r="C3">
            <v>6.4003343099999999</v>
          </cell>
          <cell r="D3">
            <v>0.9224</v>
          </cell>
          <cell r="E3">
            <v>343.82565829999999</v>
          </cell>
          <cell r="F3">
            <v>79.571002499999992</v>
          </cell>
        </row>
        <row r="4">
          <cell r="B4" t="str">
            <v>Helicopteros &lt; 2000 kg</v>
          </cell>
          <cell r="E4">
            <v>229.52158145999999</v>
          </cell>
          <cell r="F4">
            <v>15.2735585</v>
          </cell>
        </row>
        <row r="5">
          <cell r="B5" t="str">
            <v>Aceites livianos</v>
          </cell>
          <cell r="C5">
            <v>64.596427249999991</v>
          </cell>
          <cell r="D5">
            <v>2.1030000000000002E-4</v>
          </cell>
          <cell r="E5">
            <v>136.68649754</v>
          </cell>
          <cell r="F5">
            <v>12.090380229999999</v>
          </cell>
        </row>
        <row r="6">
          <cell r="B6" t="str">
            <v>Gasolinas</v>
          </cell>
          <cell r="C6">
            <v>7.7677409999999988E-2</v>
          </cell>
          <cell r="D6">
            <v>3.6413419999999995E-2</v>
          </cell>
          <cell r="E6">
            <v>80.356509070000001</v>
          </cell>
          <cell r="F6">
            <v>27.903655049999998</v>
          </cell>
        </row>
        <row r="7">
          <cell r="B7" t="str">
            <v>Partes de aviones</v>
          </cell>
          <cell r="C7">
            <v>42.532342550000045</v>
          </cell>
          <cell r="D7">
            <v>11.448882720000002</v>
          </cell>
          <cell r="E7">
            <v>40.43102077999999</v>
          </cell>
          <cell r="F7">
            <v>17.385113219999997</v>
          </cell>
        </row>
        <row r="8">
          <cell r="B8" t="str">
            <v>Medicamentos uso humano</v>
          </cell>
          <cell r="C8">
            <v>19.618598630000012</v>
          </cell>
          <cell r="D8">
            <v>5.7188703700000003</v>
          </cell>
          <cell r="E8">
            <v>26.268784700000012</v>
          </cell>
          <cell r="F8">
            <v>6.4734391500000008</v>
          </cell>
        </row>
        <row r="9">
          <cell r="B9" t="str">
            <v>Camperos 1500 y 3000 cm3</v>
          </cell>
          <cell r="C9">
            <v>10.609320449999988</v>
          </cell>
          <cell r="D9">
            <v>4.3595717299999999</v>
          </cell>
          <cell r="E9">
            <v>25.623625639999982</v>
          </cell>
          <cell r="F9">
            <v>10.47890628</v>
          </cell>
        </row>
        <row r="10">
          <cell r="B10" t="str">
            <v>Fracciones de sangre</v>
          </cell>
          <cell r="C10">
            <v>12.25027195</v>
          </cell>
          <cell r="D10">
            <v>0.96541079000000007</v>
          </cell>
          <cell r="E10">
            <v>23.616915410000001</v>
          </cell>
          <cell r="F10">
            <v>6.9155917300000009</v>
          </cell>
        </row>
        <row r="11">
          <cell r="B11" t="str">
            <v>Partes de turborreactores</v>
          </cell>
          <cell r="C11">
            <v>24.419615799999988</v>
          </cell>
          <cell r="D11">
            <v>7.4664439500000004</v>
          </cell>
          <cell r="E11">
            <v>20.321035409999993</v>
          </cell>
          <cell r="F11">
            <v>4.3555867700000013</v>
          </cell>
        </row>
        <row r="12">
          <cell r="B12" t="str">
            <v>Tortasde soya</v>
          </cell>
          <cell r="C12">
            <v>1.7976849999999996E-2</v>
          </cell>
          <cell r="D12">
            <v>0</v>
          </cell>
          <cell r="E12">
            <v>18.684460959999996</v>
          </cell>
          <cell r="F12">
            <v>3.07904424</v>
          </cell>
        </row>
        <row r="13">
          <cell r="B13" t="str">
            <v>Aditivos peptizantes</v>
          </cell>
          <cell r="C13">
            <v>13.493985649999992</v>
          </cell>
          <cell r="D13">
            <v>1.4350021900000003</v>
          </cell>
          <cell r="E13">
            <v>16.855444059999996</v>
          </cell>
          <cell r="F13">
            <v>5.3106813599999994</v>
          </cell>
        </row>
        <row r="14">
          <cell r="B14" t="str">
            <v>Unidades de proceso</v>
          </cell>
          <cell r="C14">
            <v>14.298349229999987</v>
          </cell>
          <cell r="D14">
            <v>2.7369850300000005</v>
          </cell>
          <cell r="E14">
            <v>16.466840680000015</v>
          </cell>
          <cell r="F14">
            <v>3.8289036800000011</v>
          </cell>
        </row>
        <row r="15">
          <cell r="B15" t="str">
            <v>Aparatos telecomunicación</v>
          </cell>
          <cell r="C15">
            <v>18.863331730000009</v>
          </cell>
          <cell r="D15">
            <v>4.3771858900000016</v>
          </cell>
          <cell r="E15">
            <v>14.857767489999995</v>
          </cell>
          <cell r="F15">
            <v>3.3323306899999996</v>
          </cell>
        </row>
        <row r="16">
          <cell r="B16" t="str">
            <v>Vacunas medicina humana</v>
          </cell>
          <cell r="C16">
            <v>2.1267237199999998</v>
          </cell>
          <cell r="D16">
            <v>0.7852585099999998</v>
          </cell>
          <cell r="E16">
            <v>14.69710392</v>
          </cell>
          <cell r="F16">
            <v>11.062688379999999</v>
          </cell>
        </row>
        <row r="17">
          <cell r="B17" t="str">
            <v>Polietileno</v>
          </cell>
          <cell r="C17">
            <v>9.5082006300000046</v>
          </cell>
          <cell r="D17">
            <v>0.99692544999999977</v>
          </cell>
          <cell r="E17">
            <v>12.90186471</v>
          </cell>
          <cell r="F17">
            <v>3.2100148600000002</v>
          </cell>
        </row>
        <row r="18">
          <cell r="B18" t="str">
            <v>Polietileno</v>
          </cell>
          <cell r="C18">
            <v>10.865041190000005</v>
          </cell>
          <cell r="D18">
            <v>4.9746676499999989</v>
          </cell>
          <cell r="E18">
            <v>12.674878899999991</v>
          </cell>
          <cell r="F18">
            <v>4.5409690199999995</v>
          </cell>
        </row>
        <row r="19">
          <cell r="B19" t="str">
            <v>Camperos &gt; 3 mil cm3</v>
          </cell>
          <cell r="C19">
            <v>7.8359886299999975</v>
          </cell>
          <cell r="D19">
            <v>1.55316382</v>
          </cell>
          <cell r="E19">
            <v>12.124548210000006</v>
          </cell>
          <cell r="F19">
            <v>3.8333525599999998</v>
          </cell>
        </row>
        <row r="20">
          <cell r="B20" t="str">
            <v>Trigo y morcajo</v>
          </cell>
          <cell r="C20">
            <v>1.3586560400000001</v>
          </cell>
          <cell r="D20">
            <v>0.10025136</v>
          </cell>
          <cell r="E20">
            <v>11.681204600000001</v>
          </cell>
          <cell r="F20">
            <v>3.7942105099999996</v>
          </cell>
        </row>
        <row r="21">
          <cell r="B21" t="str">
            <v>Aparatos de medicina</v>
          </cell>
          <cell r="C21">
            <v>10.9930249</v>
          </cell>
          <cell r="D21">
            <v>3.4755043299999975</v>
          </cell>
          <cell r="E21">
            <v>11.586423519999977</v>
          </cell>
          <cell r="F21">
            <v>3.2983561999999975</v>
          </cell>
        </row>
        <row r="22">
          <cell r="B22" t="str">
            <v>Juegos de monedas</v>
          </cell>
          <cell r="C22">
            <v>6.4448318700000007</v>
          </cell>
          <cell r="D22">
            <v>0.84023400999999998</v>
          </cell>
          <cell r="E22">
            <v>11.506328739999997</v>
          </cell>
          <cell r="F22">
            <v>4.4398220399999992</v>
          </cell>
        </row>
        <row r="23">
          <cell r="B23" t="str">
            <v>Vehículos&gt; 3.000 cm3</v>
          </cell>
          <cell r="C23">
            <v>1.9761269499999998</v>
          </cell>
          <cell r="D23">
            <v>6.1361700000000005E-2</v>
          </cell>
          <cell r="E23">
            <v>11.394676349999996</v>
          </cell>
          <cell r="F23">
            <v>4.873314080000001</v>
          </cell>
        </row>
        <row r="24">
          <cell r="B24" t="str">
            <v>Aparatos navegacion aérea</v>
          </cell>
          <cell r="C24">
            <v>22.474153790000006</v>
          </cell>
          <cell r="D24">
            <v>1.9764582200000003</v>
          </cell>
          <cell r="E24">
            <v>10.945359380000005</v>
          </cell>
          <cell r="F24">
            <v>5.2338067200000005</v>
          </cell>
        </row>
        <row r="25">
          <cell r="B25" t="str">
            <v>Volquetes automotores</v>
          </cell>
          <cell r="C25">
            <v>2.29823719</v>
          </cell>
          <cell r="D25">
            <v>0.51064849999999995</v>
          </cell>
          <cell r="E25">
            <v>10.838850060000002</v>
          </cell>
          <cell r="F25">
            <v>3.9629622599999998</v>
          </cell>
        </row>
        <row r="26">
          <cell r="B26" t="str">
            <v>Aceites base para lubricantes</v>
          </cell>
          <cell r="C26">
            <v>4.4729705100000015</v>
          </cell>
          <cell r="D26">
            <v>3.8608760000000006E-2</v>
          </cell>
          <cell r="E26">
            <v>10.822610539999999</v>
          </cell>
          <cell r="F26">
            <v>4.2220471599999998</v>
          </cell>
        </row>
        <row r="27">
          <cell r="B27" t="str">
            <v>Medicamentos para VIH</v>
          </cell>
          <cell r="C27">
            <v>4.9152641700000004</v>
          </cell>
          <cell r="D27">
            <v>2.4120877699999999</v>
          </cell>
          <cell r="E27">
            <v>10.288581879999995</v>
          </cell>
          <cell r="F27">
            <v>2.4112634399999999</v>
          </cell>
        </row>
        <row r="28">
          <cell r="B28" t="str">
            <v>Productos inmunológicos</v>
          </cell>
          <cell r="C28">
            <v>4.7482003299999995</v>
          </cell>
          <cell r="D28">
            <v>1.4516988299999998</v>
          </cell>
          <cell r="E28">
            <v>9.9948277500000007</v>
          </cell>
          <cell r="F28">
            <v>1.8371594600000003</v>
          </cell>
        </row>
        <row r="29">
          <cell r="B29" t="str">
            <v>Partes máquinas de sondeo</v>
          </cell>
          <cell r="C29">
            <v>14.860576840000009</v>
          </cell>
          <cell r="D29">
            <v>5.4173969699999986</v>
          </cell>
          <cell r="E29">
            <v>9.853479400000003</v>
          </cell>
          <cell r="F29">
            <v>1.9253366799999998</v>
          </cell>
        </row>
        <row r="30">
          <cell r="B30" t="str">
            <v>Aviones 2 mil y 15 mil kg</v>
          </cell>
          <cell r="C30">
            <v>6.6186771799999997</v>
          </cell>
          <cell r="D30">
            <v>0</v>
          </cell>
          <cell r="E30">
            <v>9.7741854299999993</v>
          </cell>
          <cell r="F30">
            <v>1.87370726</v>
          </cell>
        </row>
        <row r="31">
          <cell r="B31" t="str">
            <v>Copolímeros de etileno</v>
          </cell>
          <cell r="C31">
            <v>5.0562369600000014</v>
          </cell>
          <cell r="D31">
            <v>0.86081191000000001</v>
          </cell>
          <cell r="E31">
            <v>9.5403879399999951</v>
          </cell>
          <cell r="F31">
            <v>3.0173635500000002</v>
          </cell>
        </row>
      </sheetData>
      <sheetData sheetId="11">
        <row r="2">
          <cell r="B2" t="str">
            <v>Teléfonos móviles</v>
          </cell>
          <cell r="C2">
            <v>239.63879780999991</v>
          </cell>
          <cell r="D2">
            <v>70.874958880000122</v>
          </cell>
          <cell r="E2">
            <v>352.25300746000028</v>
          </cell>
          <cell r="F2">
            <v>74.989079680000174</v>
          </cell>
        </row>
        <row r="3">
          <cell r="B3" t="str">
            <v>Portátiles</v>
          </cell>
          <cell r="C3">
            <v>157.34143955000019</v>
          </cell>
          <cell r="D3">
            <v>40.901509149999967</v>
          </cell>
          <cell r="E3">
            <v>223.62318416000025</v>
          </cell>
          <cell r="F3">
            <v>66.953926830000043</v>
          </cell>
        </row>
        <row r="4">
          <cell r="B4" t="str">
            <v>Aparatos telecomunicación</v>
          </cell>
          <cell r="C4">
            <v>70.597688900000165</v>
          </cell>
          <cell r="D4">
            <v>17.898172499999976</v>
          </cell>
          <cell r="E4">
            <v>61.256336850000011</v>
          </cell>
          <cell r="F4">
            <v>19.732819000000013</v>
          </cell>
        </row>
        <row r="5">
          <cell r="B5" t="str">
            <v>Máq. procesamiento datos</v>
          </cell>
          <cell r="C5">
            <v>23.520292669999982</v>
          </cell>
          <cell r="D5">
            <v>6.4277211799999998</v>
          </cell>
          <cell r="E5">
            <v>17.775559310000006</v>
          </cell>
          <cell r="F5">
            <v>5.6533557200000004</v>
          </cell>
        </row>
        <row r="6">
          <cell r="B6" t="str">
            <v>Vagones transporte mercancías</v>
          </cell>
          <cell r="E6">
            <v>15.8906601</v>
          </cell>
          <cell r="F6">
            <v>7.9453300499999999</v>
          </cell>
        </row>
        <row r="7">
          <cell r="B7" t="str">
            <v>Calzados con suela de caucho</v>
          </cell>
          <cell r="C7">
            <v>5.9285618700000082</v>
          </cell>
          <cell r="D7">
            <v>1.2302365100000001</v>
          </cell>
          <cell r="E7">
            <v>14.295556359999997</v>
          </cell>
          <cell r="F7">
            <v>3.5780808199999985</v>
          </cell>
        </row>
        <row r="8">
          <cell r="B8" t="str">
            <v>Máq. procesamiento de datos</v>
          </cell>
          <cell r="C8">
            <v>6.8637196299999994</v>
          </cell>
          <cell r="D8">
            <v>1.9003680599999992</v>
          </cell>
          <cell r="E8">
            <v>14.073377220000005</v>
          </cell>
          <cell r="F8">
            <v>7.6822150699999998</v>
          </cell>
        </row>
        <row r="9">
          <cell r="B9" t="str">
            <v>Multifuncionales</v>
          </cell>
          <cell r="C9">
            <v>9.7262238499999984</v>
          </cell>
          <cell r="D9">
            <v>2.7806179700000007</v>
          </cell>
          <cell r="E9">
            <v>12.96879556</v>
          </cell>
          <cell r="F9">
            <v>3.7864410800000017</v>
          </cell>
        </row>
        <row r="10">
          <cell r="B10" t="str">
            <v>Calzados</v>
          </cell>
          <cell r="C10">
            <v>8.7382618600000033</v>
          </cell>
          <cell r="D10">
            <v>1.3344723899999993</v>
          </cell>
          <cell r="E10">
            <v>11.757036699999992</v>
          </cell>
          <cell r="F10">
            <v>1.5671355499999993</v>
          </cell>
        </row>
        <row r="11">
          <cell r="B11" t="str">
            <v>Partes de Teléfonos</v>
          </cell>
          <cell r="C11">
            <v>11.970340579999998</v>
          </cell>
          <cell r="D11">
            <v>2.19843849</v>
          </cell>
          <cell r="E11">
            <v>11.219072099999989</v>
          </cell>
          <cell r="F11">
            <v>3.3622742100000012</v>
          </cell>
        </row>
        <row r="12">
          <cell r="B12" t="str">
            <v>Impresoras, copiadoras</v>
          </cell>
          <cell r="C12">
            <v>10.202408399999989</v>
          </cell>
          <cell r="D12">
            <v>2.0627877299999997</v>
          </cell>
          <cell r="E12">
            <v>10.168508310000004</v>
          </cell>
          <cell r="F12">
            <v>3.7227171999999991</v>
          </cell>
        </row>
        <row r="13">
          <cell r="B13" t="str">
            <v>Cámaras fotográficas</v>
          </cell>
          <cell r="C13">
            <v>15.895079779999998</v>
          </cell>
          <cell r="D13">
            <v>5.3424132800000006</v>
          </cell>
          <cell r="E13">
            <v>9.3364213199999977</v>
          </cell>
          <cell r="F13">
            <v>3.5254015000000019</v>
          </cell>
        </row>
        <row r="14">
          <cell r="B14" t="str">
            <v>Sacos de viaje</v>
          </cell>
          <cell r="C14">
            <v>8.1367610399999943</v>
          </cell>
          <cell r="D14">
            <v>0.96423688000000052</v>
          </cell>
          <cell r="E14">
            <v>9.2171608099999958</v>
          </cell>
          <cell r="F14">
            <v>0.91633892000000006</v>
          </cell>
        </row>
        <row r="15">
          <cell r="B15" t="str">
            <v>Ascensores, montacargas</v>
          </cell>
          <cell r="C15">
            <v>6.9514831599999987</v>
          </cell>
          <cell r="D15">
            <v>2.1591431800000005</v>
          </cell>
          <cell r="E15">
            <v>8.7645672599999997</v>
          </cell>
          <cell r="F15">
            <v>2.5888944000000005</v>
          </cell>
        </row>
        <row r="16">
          <cell r="B16" t="str">
            <v>Baldosas y losas</v>
          </cell>
          <cell r="C16">
            <v>9.850742609999994</v>
          </cell>
          <cell r="D16">
            <v>2.6228119300000001</v>
          </cell>
          <cell r="E16">
            <v>8.5936706600000008</v>
          </cell>
          <cell r="F16">
            <v>1.3893000800000002</v>
          </cell>
        </row>
        <row r="17">
          <cell r="B17" t="str">
            <v>Vehículos 1.000 y 1.500 cm3</v>
          </cell>
          <cell r="C17">
            <v>5.7126871100000018</v>
          </cell>
          <cell r="D17">
            <v>1.2998275000000001</v>
          </cell>
          <cell r="E17">
            <v>7.6502448200000019</v>
          </cell>
          <cell r="F17">
            <v>1.4957418499999999</v>
          </cell>
        </row>
        <row r="18">
          <cell r="B18" t="str">
            <v>Grupos electrogenos</v>
          </cell>
          <cell r="C18">
            <v>1.5182849500000002</v>
          </cell>
          <cell r="D18">
            <v>0.18218202000000003</v>
          </cell>
          <cell r="E18">
            <v>7.5084908200000013</v>
          </cell>
          <cell r="F18">
            <v>2.6446820900000003</v>
          </cell>
        </row>
        <row r="19">
          <cell r="B19" t="str">
            <v>Calzados de cuero artificial</v>
          </cell>
          <cell r="C19">
            <v>4.3764689400000032</v>
          </cell>
          <cell r="D19">
            <v>0.81363384999999988</v>
          </cell>
          <cell r="E19">
            <v>7.1907754399999959</v>
          </cell>
          <cell r="F19">
            <v>1.4510202900000002</v>
          </cell>
        </row>
        <row r="20">
          <cell r="B20" t="str">
            <v>Máquinas y aparatos eléctricos</v>
          </cell>
          <cell r="C20">
            <v>3.0314990799999997</v>
          </cell>
          <cell r="D20">
            <v>0.94189699000000016</v>
          </cell>
          <cell r="E20">
            <v>6.9629487400000016</v>
          </cell>
          <cell r="F20">
            <v>1.7166857100000004</v>
          </cell>
        </row>
        <row r="21">
          <cell r="B21" t="str">
            <v>Partes de máquinas partida 8471</v>
          </cell>
          <cell r="C21">
            <v>5.0375051200000032</v>
          </cell>
          <cell r="D21">
            <v>1.2538017799999996</v>
          </cell>
          <cell r="E21">
            <v>6.873478180000002</v>
          </cell>
          <cell r="F21">
            <v>2.2512061900000013</v>
          </cell>
        </row>
        <row r="22">
          <cell r="B22" t="str">
            <v>Lámparas y tubos</v>
          </cell>
          <cell r="C22">
            <v>9.1057295400000022</v>
          </cell>
          <cell r="D22">
            <v>1.2714094800000002</v>
          </cell>
          <cell r="E22">
            <v>6.840149720000003</v>
          </cell>
          <cell r="F22">
            <v>1.1276804899999999</v>
          </cell>
        </row>
        <row r="23">
          <cell r="B23" t="str">
            <v>Convertidores eléctricos</v>
          </cell>
          <cell r="C23">
            <v>6.9898557299999942</v>
          </cell>
          <cell r="D23">
            <v>1.3426433899999999</v>
          </cell>
          <cell r="E23">
            <v>6.557834229999985</v>
          </cell>
          <cell r="F23">
            <v>1.48952415</v>
          </cell>
        </row>
        <row r="24">
          <cell r="B24" t="str">
            <v>Impresoras</v>
          </cell>
          <cell r="C24">
            <v>6.1076919699999994</v>
          </cell>
          <cell r="D24">
            <v>1.5103956299999999</v>
          </cell>
          <cell r="E24">
            <v>6.5398677100000002</v>
          </cell>
          <cell r="F24">
            <v>2.0057395200000001</v>
          </cell>
        </row>
        <row r="25">
          <cell r="B25" t="str">
            <v>Máquinas de sondeo</v>
          </cell>
          <cell r="C25">
            <v>2.7630570699999999</v>
          </cell>
          <cell r="D25">
            <v>7.7979090000000001E-2</v>
          </cell>
          <cell r="E25">
            <v>6.5025095200000003</v>
          </cell>
          <cell r="F25">
            <v>6.3618300000000003E-2</v>
          </cell>
        </row>
        <row r="26">
          <cell r="B26" t="str">
            <v>Llantas para automóviles</v>
          </cell>
          <cell r="C26">
            <v>6.9271824299999984</v>
          </cell>
          <cell r="D26">
            <v>1.7714000499999996</v>
          </cell>
          <cell r="E26">
            <v>6.2564006400000007</v>
          </cell>
          <cell r="F26">
            <v>2.07044761</v>
          </cell>
        </row>
        <row r="27">
          <cell r="B27" t="str">
            <v>Manufacturas de plástico</v>
          </cell>
          <cell r="C27">
            <v>4.9286427199999983</v>
          </cell>
          <cell r="D27">
            <v>1.1316349299999999</v>
          </cell>
          <cell r="E27">
            <v>6.120496369999997</v>
          </cell>
          <cell r="F27">
            <v>1.4100999199999982</v>
          </cell>
        </row>
        <row r="28">
          <cell r="B28" t="str">
            <v>Aparatos de alumbrado</v>
          </cell>
          <cell r="C28">
            <v>4.5033480999999984</v>
          </cell>
          <cell r="D28">
            <v>0.3381136099999999</v>
          </cell>
          <cell r="E28">
            <v>5.9907610399999953</v>
          </cell>
          <cell r="F28">
            <v>1.1798203700000003</v>
          </cell>
        </row>
        <row r="29">
          <cell r="B29" t="str">
            <v>Aparatos de grabación</v>
          </cell>
          <cell r="C29">
            <v>6.9368791299999959</v>
          </cell>
          <cell r="D29">
            <v>1.48071967</v>
          </cell>
          <cell r="E29">
            <v>5.8904072499999991</v>
          </cell>
          <cell r="F29">
            <v>1.3957182400000006</v>
          </cell>
        </row>
        <row r="30">
          <cell r="B30" t="str">
            <v>Vehículos=&gt; 10 personas</v>
          </cell>
          <cell r="C30">
            <v>1.0831983699999999</v>
          </cell>
          <cell r="D30">
            <v>5.9619030000000003E-2</v>
          </cell>
          <cell r="E30">
            <v>5.7810206199999961</v>
          </cell>
          <cell r="F30">
            <v>2.2847929699999998</v>
          </cell>
        </row>
        <row r="31">
          <cell r="B31" t="str">
            <v>Paneles LCD o plasma</v>
          </cell>
          <cell r="C31">
            <v>3.0810466399999994</v>
          </cell>
          <cell r="D31">
            <v>2.14563002</v>
          </cell>
          <cell r="E31">
            <v>5.5999125099999967</v>
          </cell>
          <cell r="F31">
            <v>1.3473870899999998</v>
          </cell>
        </row>
      </sheetData>
      <sheetData sheetId="12">
        <row r="2">
          <cell r="B2" t="str">
            <v>Vehículos 1.500 y 3.000 cm3</v>
          </cell>
          <cell r="C2">
            <v>136.39393053000003</v>
          </cell>
          <cell r="D2">
            <v>48.571953090000015</v>
          </cell>
          <cell r="E2">
            <v>170.50695301999988</v>
          </cell>
          <cell r="F2">
            <v>46.231678120000005</v>
          </cell>
        </row>
        <row r="3">
          <cell r="B3" t="str">
            <v>Aceites livianos</v>
          </cell>
          <cell r="C3">
            <v>203.87768701000002</v>
          </cell>
          <cell r="D3">
            <v>63.736263680000008</v>
          </cell>
          <cell r="E3">
            <v>143.57649132</v>
          </cell>
          <cell r="F3">
            <v>32.733727599999995</v>
          </cell>
        </row>
        <row r="4">
          <cell r="B4" t="str">
            <v>Aparatos receptores TV LED</v>
          </cell>
          <cell r="C4">
            <v>24.528951609999996</v>
          </cell>
          <cell r="D4">
            <v>10.24371064</v>
          </cell>
          <cell r="E4">
            <v>48.741841119999982</v>
          </cell>
          <cell r="F4">
            <v>19.774633390000002</v>
          </cell>
        </row>
        <row r="5">
          <cell r="B5" t="str">
            <v>Teléfonos móviles</v>
          </cell>
          <cell r="C5">
            <v>89.042041400000016</v>
          </cell>
          <cell r="D5">
            <v>26.220346599999999</v>
          </cell>
          <cell r="E5">
            <v>43.124422820000014</v>
          </cell>
          <cell r="F5">
            <v>19.163573160000006</v>
          </cell>
        </row>
        <row r="6">
          <cell r="B6" t="str">
            <v>Máq. procesamiento datos</v>
          </cell>
          <cell r="C6">
            <v>48.937940200000007</v>
          </cell>
          <cell r="D6">
            <v>13.897614990000006</v>
          </cell>
          <cell r="E6">
            <v>31.073448959999986</v>
          </cell>
          <cell r="F6">
            <v>7.096734849999998</v>
          </cell>
        </row>
        <row r="7">
          <cell r="B7" t="str">
            <v>Barras de hierro o de acero</v>
          </cell>
          <cell r="C7">
            <v>15.817355379999999</v>
          </cell>
          <cell r="D7">
            <v>6.7874809300000001</v>
          </cell>
          <cell r="E7">
            <v>22.344724420000002</v>
          </cell>
          <cell r="F7">
            <v>13.977106190000001</v>
          </cell>
        </row>
        <row r="8">
          <cell r="B8" t="str">
            <v>Medicamentos uso humano</v>
          </cell>
          <cell r="C8">
            <v>13.312444250000002</v>
          </cell>
          <cell r="D8">
            <v>3.5866744200000009</v>
          </cell>
          <cell r="E8">
            <v>20.177678749999998</v>
          </cell>
          <cell r="F8">
            <v>6.0489928099999997</v>
          </cell>
        </row>
        <row r="9">
          <cell r="B9" t="str">
            <v>Tereftalato de etileno</v>
          </cell>
          <cell r="C9">
            <v>4.9950374400000008</v>
          </cell>
          <cell r="D9">
            <v>1.33876931</v>
          </cell>
          <cell r="E9">
            <v>16.51660038</v>
          </cell>
          <cell r="F9">
            <v>2.6599401</v>
          </cell>
        </row>
        <row r="10">
          <cell r="B10" t="str">
            <v>Receptores televisión</v>
          </cell>
          <cell r="C10">
            <v>0.55256381999999993</v>
          </cell>
          <cell r="D10">
            <v>3.43706E-3</v>
          </cell>
          <cell r="E10">
            <v>16.037456860000002</v>
          </cell>
          <cell r="F10">
            <v>4.679261079999999</v>
          </cell>
        </row>
        <row r="11">
          <cell r="B11" t="str">
            <v>Tractores</v>
          </cell>
          <cell r="C11">
            <v>164.00809547000017</v>
          </cell>
          <cell r="D11">
            <v>46.04889507</v>
          </cell>
          <cell r="E11">
            <v>14.959410680000005</v>
          </cell>
          <cell r="F11">
            <v>1.7528387000000003</v>
          </cell>
        </row>
        <row r="12">
          <cell r="B12" t="str">
            <v>Vehículos &gt; 20 ton</v>
          </cell>
          <cell r="C12">
            <v>49.185454429999979</v>
          </cell>
          <cell r="D12">
            <v>13.655448229999999</v>
          </cell>
          <cell r="E12">
            <v>13.223895410000003</v>
          </cell>
          <cell r="F12">
            <v>3.0668877200000004</v>
          </cell>
        </row>
        <row r="13">
          <cell r="B13" t="str">
            <v>Aparatos receptores TV plasma</v>
          </cell>
          <cell r="C13">
            <v>12.47700219</v>
          </cell>
          <cell r="D13">
            <v>2.41349546</v>
          </cell>
          <cell r="E13">
            <v>8.9782194699999991</v>
          </cell>
          <cell r="F13">
            <v>5.3703406600000001</v>
          </cell>
        </row>
        <row r="14">
          <cell r="B14" t="str">
            <v>Vehículos diesel &lt; 4537 ton</v>
          </cell>
          <cell r="C14">
            <v>8.694707860000003</v>
          </cell>
          <cell r="D14">
            <v>1.3535974100000001</v>
          </cell>
          <cell r="E14">
            <v>8.5983894800000051</v>
          </cell>
          <cell r="F14">
            <v>4.1802231799999996</v>
          </cell>
        </row>
        <row r="15">
          <cell r="B15" t="str">
            <v>Tarjetas inteligentes</v>
          </cell>
          <cell r="C15">
            <v>8.4063954600000184</v>
          </cell>
          <cell r="D15">
            <v>3.2552431699999937</v>
          </cell>
          <cell r="E15">
            <v>7.9641539700000932</v>
          </cell>
          <cell r="F15">
            <v>1.5203929100000029</v>
          </cell>
        </row>
        <row r="16">
          <cell r="B16" t="str">
            <v>Champues para el cabello.</v>
          </cell>
          <cell r="C16">
            <v>0.67197194999999998</v>
          </cell>
          <cell r="D16">
            <v>0.32346986999999999</v>
          </cell>
          <cell r="E16">
            <v>7.8139116399999997</v>
          </cell>
          <cell r="F16">
            <v>4.2375915200000005</v>
          </cell>
        </row>
        <row r="17">
          <cell r="B17" t="str">
            <v>Alambrones de hierro</v>
          </cell>
          <cell r="C17">
            <v>2.8067021000000003</v>
          </cell>
          <cell r="D17">
            <v>1.1776114199999999</v>
          </cell>
          <cell r="E17">
            <v>7.3734886000000008</v>
          </cell>
          <cell r="F17">
            <v>2.1623807400000001</v>
          </cell>
        </row>
        <row r="18">
          <cell r="B18" t="str">
            <v>Vehículos=&gt; 10 personas</v>
          </cell>
          <cell r="C18">
            <v>0.10176228</v>
          </cell>
          <cell r="D18">
            <v>0.10176228</v>
          </cell>
          <cell r="E18">
            <v>6.7905117200000005</v>
          </cell>
          <cell r="F18">
            <v>4.9338194199999998</v>
          </cell>
        </row>
        <row r="19">
          <cell r="B19" t="str">
            <v>Vehículos carga &lt; 4537 ton</v>
          </cell>
          <cell r="C19">
            <v>14.850005519999984</v>
          </cell>
          <cell r="D19">
            <v>0.82613876999999991</v>
          </cell>
          <cell r="E19">
            <v>6.5747862899999987</v>
          </cell>
          <cell r="F19">
            <v>1.50481284</v>
          </cell>
        </row>
        <row r="20">
          <cell r="B20" t="str">
            <v>Lavadoras</v>
          </cell>
          <cell r="C20">
            <v>4.6249273300000011</v>
          </cell>
          <cell r="D20">
            <v>1.3549278300000001</v>
          </cell>
          <cell r="E20">
            <v>5.9017689100000004</v>
          </cell>
          <cell r="F20">
            <v>1.43069859</v>
          </cell>
        </row>
        <row r="21">
          <cell r="B21" t="str">
            <v>Tejidos de mezclilla</v>
          </cell>
          <cell r="C21">
            <v>5.2148904300000005</v>
          </cell>
          <cell r="D21">
            <v>0.94436852000000004</v>
          </cell>
          <cell r="E21">
            <v>5.3747381099999991</v>
          </cell>
          <cell r="F21">
            <v>1.3959012499999999</v>
          </cell>
        </row>
        <row r="22">
          <cell r="B22" t="str">
            <v>Aparatos de medicina</v>
          </cell>
          <cell r="C22">
            <v>3.6692012500000013</v>
          </cell>
          <cell r="D22">
            <v>0.92446001999999994</v>
          </cell>
          <cell r="E22">
            <v>5.2778008499999993</v>
          </cell>
          <cell r="F22">
            <v>1.2090411800000003</v>
          </cell>
        </row>
        <row r="23">
          <cell r="B23" t="str">
            <v>Unidades de proceso</v>
          </cell>
          <cell r="C23">
            <v>4.8942683499999973</v>
          </cell>
          <cell r="D23">
            <v>1.2046682099999995</v>
          </cell>
          <cell r="E23">
            <v>5.1556604700000017</v>
          </cell>
          <cell r="F23">
            <v>1.3242418599999992</v>
          </cell>
        </row>
        <row r="24">
          <cell r="B24" t="str">
            <v>Máquinas de afeitar</v>
          </cell>
          <cell r="C24">
            <v>0.13713093999999998</v>
          </cell>
          <cell r="D24">
            <v>5.4038800000000005E-2</v>
          </cell>
          <cell r="E24">
            <v>4.7139100699999998</v>
          </cell>
          <cell r="F24">
            <v>3.6871927200000001</v>
          </cell>
        </row>
        <row r="25">
          <cell r="B25" t="str">
            <v>Vehículos 9,3 y 20 ton</v>
          </cell>
          <cell r="C25">
            <v>3.5223956500000004</v>
          </cell>
          <cell r="D25">
            <v>1.1256971599999999</v>
          </cell>
          <cell r="E25">
            <v>4.7129325199999998</v>
          </cell>
          <cell r="F25">
            <v>1.2205408600000001</v>
          </cell>
        </row>
        <row r="26">
          <cell r="B26" t="str">
            <v>Alambrón de hierro o acero</v>
          </cell>
          <cell r="C26">
            <v>2.0566611199999998</v>
          </cell>
          <cell r="D26">
            <v>0.95915885000000001</v>
          </cell>
          <cell r="E26">
            <v>4.46554041</v>
          </cell>
          <cell r="F26">
            <v>2.5821014399999997</v>
          </cell>
        </row>
        <row r="27">
          <cell r="B27" t="str">
            <v>Vidrios en placas</v>
          </cell>
          <cell r="C27">
            <v>3.6245739299999982</v>
          </cell>
          <cell r="D27">
            <v>0.64017362999999994</v>
          </cell>
          <cell r="E27">
            <v>3.9791045300000003</v>
          </cell>
          <cell r="F27">
            <v>1.4447489300000003</v>
          </cell>
        </row>
        <row r="28">
          <cell r="B28" t="str">
            <v>Sulfato de bario natural</v>
          </cell>
          <cell r="E28">
            <v>3.8974933699999994</v>
          </cell>
          <cell r="F28">
            <v>0</v>
          </cell>
        </row>
        <row r="29">
          <cell r="B29" t="str">
            <v>Preparaciones alimen. infantil</v>
          </cell>
          <cell r="C29">
            <v>3.3780085400000011</v>
          </cell>
          <cell r="D29">
            <v>1.0401060499999999</v>
          </cell>
          <cell r="E29">
            <v>3.7712104600000003</v>
          </cell>
          <cell r="F29">
            <v>1.9523333400000003</v>
          </cell>
        </row>
        <row r="30">
          <cell r="B30" t="str">
            <v>Mezclas sustancias odoriferas</v>
          </cell>
          <cell r="C30">
            <v>1.5066098700000006</v>
          </cell>
          <cell r="D30">
            <v>0.31172290999999996</v>
          </cell>
          <cell r="E30">
            <v>3.7270344099999995</v>
          </cell>
          <cell r="F30">
            <v>0.63074953999999994</v>
          </cell>
        </row>
        <row r="31">
          <cell r="B31" t="str">
            <v>Refrigeradores</v>
          </cell>
          <cell r="C31">
            <v>6.2949156499999939</v>
          </cell>
          <cell r="D31">
            <v>2.5010786500000002</v>
          </cell>
          <cell r="E31">
            <v>3.7244485099999984</v>
          </cell>
          <cell r="F31">
            <v>1.3944200199999999</v>
          </cell>
        </row>
      </sheetData>
      <sheetData sheetId="13">
        <row r="2">
          <cell r="B2" t="str">
            <v>Aviones &gt; 15 mil kg</v>
          </cell>
          <cell r="E2">
            <v>50.178330090000003</v>
          </cell>
          <cell r="F2">
            <v>0</v>
          </cell>
        </row>
        <row r="3">
          <cell r="B3" t="str">
            <v>Medicamentos uso humano</v>
          </cell>
          <cell r="C3">
            <v>20.926298590000009</v>
          </cell>
          <cell r="D3">
            <v>6.1314636199999999</v>
          </cell>
          <cell r="E3">
            <v>26.299746820000003</v>
          </cell>
          <cell r="F3">
            <v>7.7300057700000009</v>
          </cell>
        </row>
        <row r="4">
          <cell r="B4" t="str">
            <v>Productos inmunológicos</v>
          </cell>
          <cell r="C4">
            <v>12.187168379999999</v>
          </cell>
          <cell r="D4">
            <v>2.2530043200000005</v>
          </cell>
          <cell r="E4">
            <v>18.585865860000002</v>
          </cell>
          <cell r="F4">
            <v>5.7795826300000002</v>
          </cell>
        </row>
        <row r="5">
          <cell r="B5" t="str">
            <v>Reactivos de diagnóstico</v>
          </cell>
          <cell r="C5">
            <v>5.523398299999994</v>
          </cell>
          <cell r="D5">
            <v>1.1097817400000001</v>
          </cell>
          <cell r="E5">
            <v>16.077393389999994</v>
          </cell>
          <cell r="F5">
            <v>4.5029137200000031</v>
          </cell>
        </row>
        <row r="6">
          <cell r="B6" t="str">
            <v>Insulina</v>
          </cell>
          <cell r="C6">
            <v>4.0029444000000005</v>
          </cell>
          <cell r="D6">
            <v>0.90770821000000002</v>
          </cell>
          <cell r="E6">
            <v>13.432020069999998</v>
          </cell>
          <cell r="F6">
            <v>5.6537941099999998</v>
          </cell>
        </row>
        <row r="7">
          <cell r="B7" t="str">
            <v>Vehículos 1.500 y 3.000 cm3</v>
          </cell>
          <cell r="C7">
            <v>21.949251719999999</v>
          </cell>
          <cell r="D7">
            <v>4.3809288999999998</v>
          </cell>
          <cell r="E7">
            <v>13.331554190000002</v>
          </cell>
          <cell r="F7">
            <v>5.0598115599999982</v>
          </cell>
        </row>
        <row r="8">
          <cell r="B8" t="str">
            <v>Máquinas autopropulsadas</v>
          </cell>
          <cell r="C8">
            <v>1.3973316799999997</v>
          </cell>
          <cell r="D8">
            <v>0</v>
          </cell>
          <cell r="E8">
            <v>11.599090090000001</v>
          </cell>
          <cell r="F8">
            <v>11.599090090000001</v>
          </cell>
        </row>
        <row r="9">
          <cell r="B9" t="str">
            <v>Plasma humano</v>
          </cell>
          <cell r="C9">
            <v>3.1702667600000001</v>
          </cell>
          <cell r="D9">
            <v>0.82568319999999995</v>
          </cell>
          <cell r="E9">
            <v>7.0328708899999999</v>
          </cell>
          <cell r="F9">
            <v>3.5674193299999999</v>
          </cell>
        </row>
        <row r="10">
          <cell r="B10" t="str">
            <v>Aparatos de medicina</v>
          </cell>
          <cell r="C10">
            <v>4.3691126299999974</v>
          </cell>
          <cell r="D10">
            <v>1.1966460199999998</v>
          </cell>
          <cell r="E10">
            <v>5.9224493700000007</v>
          </cell>
          <cell r="F10">
            <v>1.4672773100000003</v>
          </cell>
        </row>
        <row r="11">
          <cell r="B11" t="str">
            <v>Productos laminados de hierro</v>
          </cell>
          <cell r="C11">
            <v>0.74230602999999995</v>
          </cell>
          <cell r="D11">
            <v>0.57231842999999993</v>
          </cell>
          <cell r="E11">
            <v>5.7432871399999996</v>
          </cell>
          <cell r="F11">
            <v>1.94550717</v>
          </cell>
        </row>
        <row r="12">
          <cell r="B12" t="str">
            <v>Medicamentos para VIH</v>
          </cell>
          <cell r="C12">
            <v>5.1075474400000012</v>
          </cell>
          <cell r="D12">
            <v>1.7381090600000002</v>
          </cell>
          <cell r="E12">
            <v>5.2764459700000002</v>
          </cell>
          <cell r="F12">
            <v>1.29304643</v>
          </cell>
        </row>
        <row r="13">
          <cell r="B13" t="str">
            <v>Helicopteros &lt; 2000 kg</v>
          </cell>
          <cell r="E13">
            <v>5.1271216399999995</v>
          </cell>
          <cell r="F13">
            <v>0</v>
          </cell>
        </row>
        <row r="14">
          <cell r="B14" t="str">
            <v>Medicamentos sin antibióticos</v>
          </cell>
          <cell r="C14">
            <v>6.0743942300000002</v>
          </cell>
          <cell r="D14">
            <v>1.4305285599999999</v>
          </cell>
          <cell r="E14">
            <v>4.6258094299999994</v>
          </cell>
          <cell r="F14">
            <v>0.78251511000000007</v>
          </cell>
        </row>
        <row r="15">
          <cell r="B15" t="str">
            <v>Fracciones de la sangre</v>
          </cell>
          <cell r="C15">
            <v>2.8730810799999991</v>
          </cell>
          <cell r="D15">
            <v>0.90715007000000003</v>
          </cell>
          <cell r="E15">
            <v>3.8557400700000009</v>
          </cell>
          <cell r="F15">
            <v>0.88309002999999975</v>
          </cell>
        </row>
        <row r="16">
          <cell r="B16" t="str">
            <v>Carretillas autopropulsadas</v>
          </cell>
          <cell r="C16">
            <v>0.91706740999999981</v>
          </cell>
          <cell r="D16">
            <v>0.33599552999999999</v>
          </cell>
          <cell r="E16">
            <v>3.8222918900000002</v>
          </cell>
          <cell r="F16">
            <v>2.0600664699999998</v>
          </cell>
        </row>
        <row r="17">
          <cell r="B17" t="str">
            <v>Máquinas para aglomerar</v>
          </cell>
          <cell r="C17">
            <v>0.28355134000000004</v>
          </cell>
          <cell r="D17">
            <v>0</v>
          </cell>
          <cell r="E17">
            <v>3.71476571</v>
          </cell>
          <cell r="F17">
            <v>0</v>
          </cell>
        </row>
        <row r="18">
          <cell r="B18" t="str">
            <v>Vehículos &gt; 3.000 cm3</v>
          </cell>
          <cell r="C18">
            <v>2.3633011399999999</v>
          </cell>
          <cell r="D18">
            <v>0.45774777</v>
          </cell>
          <cell r="E18">
            <v>3.3092683099999998</v>
          </cell>
          <cell r="F18">
            <v>1.1717264599999999</v>
          </cell>
        </row>
        <row r="19">
          <cell r="B19" t="str">
            <v>Escopolamina</v>
          </cell>
          <cell r="C19">
            <v>2.18039483</v>
          </cell>
          <cell r="D19">
            <v>0.35990336000000001</v>
          </cell>
          <cell r="E19">
            <v>3.0504853400000003</v>
          </cell>
          <cell r="F19">
            <v>1.11902357</v>
          </cell>
        </row>
        <row r="20">
          <cell r="B20" t="str">
            <v>Medicamentos para VIH</v>
          </cell>
          <cell r="C20">
            <v>3.5606603000000003</v>
          </cell>
          <cell r="D20">
            <v>1.5502663200000002</v>
          </cell>
          <cell r="E20">
            <v>2.9748530599999996</v>
          </cell>
          <cell r="F20">
            <v>0.33725190999999999</v>
          </cell>
        </row>
        <row r="21">
          <cell r="B21" t="str">
            <v>Sueros con anticuerpos</v>
          </cell>
          <cell r="C21">
            <v>3.9958025700000004</v>
          </cell>
          <cell r="D21">
            <v>1.1368414099999999</v>
          </cell>
          <cell r="E21">
            <v>2.6898414100000001</v>
          </cell>
          <cell r="F21">
            <v>1.44064327</v>
          </cell>
        </row>
        <row r="22">
          <cell r="B22" t="str">
            <v>Chasís de vehículos</v>
          </cell>
          <cell r="C22">
            <v>1.7235569799999997</v>
          </cell>
          <cell r="D22">
            <v>0.49653371999999996</v>
          </cell>
          <cell r="E22">
            <v>2.6698335000000002</v>
          </cell>
          <cell r="F22">
            <v>1.07788258</v>
          </cell>
        </row>
        <row r="23">
          <cell r="B23" t="str">
            <v>Bombas centrifugas</v>
          </cell>
          <cell r="C23">
            <v>2.422825E-2</v>
          </cell>
          <cell r="D23">
            <v>1.111844E-2</v>
          </cell>
          <cell r="E23">
            <v>2.6684257200000001</v>
          </cell>
          <cell r="F23">
            <v>0</v>
          </cell>
        </row>
        <row r="24">
          <cell r="B24" t="str">
            <v>Camperos 1500 y 3000 cm3</v>
          </cell>
          <cell r="C24">
            <v>9.2298680799999921</v>
          </cell>
          <cell r="D24">
            <v>5.0711616499999979</v>
          </cell>
          <cell r="E24">
            <v>2.5127613499999994</v>
          </cell>
          <cell r="F24">
            <v>0.43626021999999998</v>
          </cell>
        </row>
        <row r="25">
          <cell r="B25" t="str">
            <v>Filtros de aparatos médicos</v>
          </cell>
          <cell r="C25">
            <v>2.1207921500000007</v>
          </cell>
          <cell r="D25">
            <v>0.15939622000000001</v>
          </cell>
          <cell r="E25">
            <v>2.4896287700000008</v>
          </cell>
          <cell r="F25">
            <v>3.6387300000000004E-2</v>
          </cell>
        </row>
        <row r="26">
          <cell r="B26" t="str">
            <v>Aparatos telecomunicación</v>
          </cell>
          <cell r="C26">
            <v>1.0262741199999994</v>
          </cell>
          <cell r="D26">
            <v>0.3410665699999999</v>
          </cell>
          <cell r="E26">
            <v>2.4552159899999979</v>
          </cell>
          <cell r="F26">
            <v>1.2132903100000001</v>
          </cell>
        </row>
        <row r="27">
          <cell r="B27" t="str">
            <v>Máquinas de llenado vertical</v>
          </cell>
          <cell r="E27">
            <v>2.4158681200000003</v>
          </cell>
          <cell r="F27">
            <v>0</v>
          </cell>
        </row>
        <row r="28">
          <cell r="B28" t="str">
            <v>Láminas polímeros =&gt; 6%</v>
          </cell>
          <cell r="C28">
            <v>2.9136565400000007</v>
          </cell>
          <cell r="D28">
            <v>0.89438835000000005</v>
          </cell>
          <cell r="E28">
            <v>2.3530498499999997</v>
          </cell>
          <cell r="F28">
            <v>0.98506807000000018</v>
          </cell>
        </row>
        <row r="29">
          <cell r="B29" t="str">
            <v>Medicamentos con antibióticos</v>
          </cell>
          <cell r="C29">
            <v>2.6364124900000001</v>
          </cell>
          <cell r="D29">
            <v>0.50672234000000005</v>
          </cell>
          <cell r="E29">
            <v>2.32851381</v>
          </cell>
          <cell r="F29">
            <v>0.73556097999999992</v>
          </cell>
        </row>
        <row r="30">
          <cell r="B30" t="str">
            <v>Papeles para billetes</v>
          </cell>
          <cell r="C30">
            <v>1.52491E-3</v>
          </cell>
          <cell r="D30">
            <v>0</v>
          </cell>
          <cell r="E30">
            <v>2.2982605199999999</v>
          </cell>
          <cell r="F30">
            <v>1.0976735799999999</v>
          </cell>
        </row>
        <row r="31">
          <cell r="B31" t="str">
            <v>Aparatos para obras públicas</v>
          </cell>
          <cell r="E31">
            <v>2.2721967099999998</v>
          </cell>
          <cell r="F31">
            <v>0.84752348999999993</v>
          </cell>
        </row>
      </sheetData>
      <sheetData sheetId="14">
        <row r="2">
          <cell r="B2" t="str">
            <v>Vehículos 1.500 y 3.000 cm3</v>
          </cell>
          <cell r="C2">
            <v>20.829815709999988</v>
          </cell>
          <cell r="D2">
            <v>3.6895622399999999</v>
          </cell>
          <cell r="E2">
            <v>30.766837950000038</v>
          </cell>
          <cell r="F2">
            <v>4.5159424000000019</v>
          </cell>
        </row>
        <row r="3">
          <cell r="B3" t="str">
            <v>Locomotoras diesel-eléctricas</v>
          </cell>
          <cell r="E3">
            <v>14.870652590000002</v>
          </cell>
          <cell r="F3">
            <v>8.9181915500000013</v>
          </cell>
        </row>
        <row r="4">
          <cell r="B4" t="str">
            <v>Preparaciones para bebidas</v>
          </cell>
          <cell r="C4">
            <v>13.834868029999999</v>
          </cell>
          <cell r="D4">
            <v>3.1064956199999996</v>
          </cell>
          <cell r="E4">
            <v>13.891590300000001</v>
          </cell>
          <cell r="F4">
            <v>4.0738945900000001</v>
          </cell>
        </row>
        <row r="5">
          <cell r="B5" t="str">
            <v>Medicamentos uso humano</v>
          </cell>
          <cell r="C5">
            <v>7.4924825299999984</v>
          </cell>
          <cell r="D5">
            <v>3.1030881300000002</v>
          </cell>
          <cell r="E5">
            <v>9.9150498500000008</v>
          </cell>
          <cell r="F5">
            <v>2.0475757700000004</v>
          </cell>
        </row>
        <row r="6">
          <cell r="B6" t="str">
            <v>Azúcares de caña</v>
          </cell>
          <cell r="C6">
            <v>17.163142249999996</v>
          </cell>
          <cell r="D6">
            <v>2.22660787</v>
          </cell>
          <cell r="E6">
            <v>9.8141793800000006</v>
          </cell>
          <cell r="F6">
            <v>2.4339817400000001</v>
          </cell>
        </row>
        <row r="7">
          <cell r="B7" t="str">
            <v>Productos de hierro o acero</v>
          </cell>
          <cell r="E7">
            <v>8.4290701400000003</v>
          </cell>
          <cell r="F7">
            <v>0</v>
          </cell>
        </row>
        <row r="8">
          <cell r="B8" t="str">
            <v>Papeles y cartones</v>
          </cell>
          <cell r="C8">
            <v>6.8224196399999997</v>
          </cell>
          <cell r="D8">
            <v>2.0236988100000004</v>
          </cell>
          <cell r="E8">
            <v>7.8339403499999998</v>
          </cell>
          <cell r="F8">
            <v>2.3121047400000001</v>
          </cell>
        </row>
        <row r="9">
          <cell r="B9" t="str">
            <v>Teléfonos móviles</v>
          </cell>
          <cell r="C9">
            <v>11.015954810000002</v>
          </cell>
          <cell r="D9">
            <v>4.0878120399999993</v>
          </cell>
          <cell r="E9">
            <v>7.196091179999998</v>
          </cell>
          <cell r="F9">
            <v>2.9857494499999997</v>
          </cell>
        </row>
        <row r="10">
          <cell r="B10" t="str">
            <v>Vehículos &gt; 20 ton</v>
          </cell>
          <cell r="C10">
            <v>3.0934289299999995</v>
          </cell>
          <cell r="D10">
            <v>1.20965027</v>
          </cell>
          <cell r="E10">
            <v>6.3275977399999999</v>
          </cell>
          <cell r="F10">
            <v>6.0339541099999998</v>
          </cell>
        </row>
        <row r="11">
          <cell r="B11" t="str">
            <v>Chasís de vehículos</v>
          </cell>
          <cell r="C11">
            <v>0.11893025</v>
          </cell>
          <cell r="D11">
            <v>0</v>
          </cell>
          <cell r="E11">
            <v>6.0369304400000008</v>
          </cell>
          <cell r="F11">
            <v>0</v>
          </cell>
        </row>
        <row r="12">
          <cell r="B12" t="str">
            <v>Llantas para buses</v>
          </cell>
          <cell r="C12">
            <v>7.8819731700000002</v>
          </cell>
          <cell r="D12">
            <v>1.56739845</v>
          </cell>
          <cell r="E12">
            <v>5.5721497399999977</v>
          </cell>
          <cell r="F12">
            <v>1.2333564899999998</v>
          </cell>
        </row>
        <row r="13">
          <cell r="B13" t="str">
            <v>Electrogenos corriente alterna</v>
          </cell>
          <cell r="E13">
            <v>5.5705365000000002</v>
          </cell>
          <cell r="F13">
            <v>5.5705365000000002</v>
          </cell>
        </row>
        <row r="14">
          <cell r="B14" t="str">
            <v>Catodos de cobre refinado</v>
          </cell>
          <cell r="E14">
            <v>4.8984917900000005</v>
          </cell>
          <cell r="F14">
            <v>3.18864546</v>
          </cell>
        </row>
        <row r="15">
          <cell r="B15" t="str">
            <v>Maíz duro amarillo</v>
          </cell>
          <cell r="C15">
            <v>8.5723714399999995</v>
          </cell>
          <cell r="D15">
            <v>0</v>
          </cell>
          <cell r="E15">
            <v>4.8047881500000003</v>
          </cell>
          <cell r="F15">
            <v>0</v>
          </cell>
        </row>
        <row r="16">
          <cell r="B16" t="str">
            <v>Alambre de cobre</v>
          </cell>
          <cell r="C16">
            <v>6.7816044799999995</v>
          </cell>
          <cell r="D16">
            <v>0.91544766</v>
          </cell>
          <cell r="E16">
            <v>4.6560492800000004</v>
          </cell>
          <cell r="F16">
            <v>0.62071513999999994</v>
          </cell>
        </row>
        <row r="17">
          <cell r="B17" t="str">
            <v>Municiones y proyectiles</v>
          </cell>
          <cell r="C17">
            <v>1.0239911600000002</v>
          </cell>
          <cell r="D17">
            <v>0.31449652</v>
          </cell>
          <cell r="E17">
            <v>4.5468761999999998</v>
          </cell>
          <cell r="F17">
            <v>1.7200016199999999</v>
          </cell>
        </row>
        <row r="18">
          <cell r="B18" t="str">
            <v>Tractores</v>
          </cell>
          <cell r="C18">
            <v>5.4091629700000015</v>
          </cell>
          <cell r="D18">
            <v>1.8013609900000001</v>
          </cell>
          <cell r="E18">
            <v>4.1735641700000006</v>
          </cell>
          <cell r="F18">
            <v>1.80678541</v>
          </cell>
        </row>
        <row r="19">
          <cell r="B19" t="str">
            <v>Placas para artes gráficas</v>
          </cell>
          <cell r="C19">
            <v>0.63607837</v>
          </cell>
          <cell r="D19">
            <v>0.13509770999999998</v>
          </cell>
          <cell r="E19">
            <v>3.9016055999999995</v>
          </cell>
          <cell r="F19">
            <v>1.3469006100000001</v>
          </cell>
        </row>
        <row r="20">
          <cell r="B20" t="str">
            <v>Vehículos 1.000 y 1.500 cm3</v>
          </cell>
          <cell r="C20">
            <v>1.6821234399999998</v>
          </cell>
          <cell r="D20">
            <v>1.0874468499999999</v>
          </cell>
          <cell r="E20">
            <v>3.517631629999999</v>
          </cell>
          <cell r="F20">
            <v>1.63108925</v>
          </cell>
        </row>
        <row r="21">
          <cell r="B21" t="str">
            <v>Ligaduras estériles</v>
          </cell>
          <cell r="C21">
            <v>2.4480022100000003</v>
          </cell>
          <cell r="D21">
            <v>0.34789133</v>
          </cell>
          <cell r="E21">
            <v>3.2918618700000009</v>
          </cell>
          <cell r="F21">
            <v>0.90441250000000006</v>
          </cell>
        </row>
        <row r="22">
          <cell r="B22" t="str">
            <v>Máquinas de sondeo</v>
          </cell>
          <cell r="E22">
            <v>3.1328823999999997</v>
          </cell>
          <cell r="F22">
            <v>0</v>
          </cell>
        </row>
        <row r="23">
          <cell r="B23" t="str">
            <v>Anticonceptivos</v>
          </cell>
          <cell r="C23">
            <v>3.2506720200000001</v>
          </cell>
          <cell r="D23">
            <v>1.0676360200000001</v>
          </cell>
          <cell r="E23">
            <v>3.0855988700000001</v>
          </cell>
          <cell r="F23">
            <v>1.55152453</v>
          </cell>
        </row>
        <row r="24">
          <cell r="B24" t="str">
            <v>Laminados de acero</v>
          </cell>
          <cell r="C24">
            <v>1.26307101</v>
          </cell>
          <cell r="D24">
            <v>0</v>
          </cell>
          <cell r="E24">
            <v>2.9255025000000003</v>
          </cell>
          <cell r="F24">
            <v>0.34229012999999997</v>
          </cell>
        </row>
        <row r="25">
          <cell r="B25" t="str">
            <v>Fungicidas</v>
          </cell>
          <cell r="C25">
            <v>1.7541356299999999</v>
          </cell>
          <cell r="D25">
            <v>0.61832339999999997</v>
          </cell>
          <cell r="E25">
            <v>2.8665500899999996</v>
          </cell>
          <cell r="F25">
            <v>1.1995446400000001</v>
          </cell>
        </row>
        <row r="26">
          <cell r="B26" t="str">
            <v>Tubos extracción petróleo</v>
          </cell>
          <cell r="C26">
            <v>0.89321795000000004</v>
          </cell>
          <cell r="D26">
            <v>0</v>
          </cell>
          <cell r="E26">
            <v>2.8227026999999998</v>
          </cell>
          <cell r="F26">
            <v>0.85689209</v>
          </cell>
        </row>
        <row r="27">
          <cell r="B27" t="str">
            <v>Chasís de vehículos</v>
          </cell>
          <cell r="C27">
            <v>7.0793204099999993</v>
          </cell>
          <cell r="D27">
            <v>0</v>
          </cell>
          <cell r="E27">
            <v>2.7698369500000002</v>
          </cell>
          <cell r="F27">
            <v>0.57242562000000008</v>
          </cell>
        </row>
        <row r="28">
          <cell r="B28" t="str">
            <v>Compresores para equipos</v>
          </cell>
          <cell r="C28">
            <v>1.6843408100000001</v>
          </cell>
          <cell r="D28">
            <v>0.50997888000000002</v>
          </cell>
          <cell r="E28">
            <v>2.7381710200000007</v>
          </cell>
          <cell r="F28">
            <v>0.74431376999999999</v>
          </cell>
        </row>
        <row r="29">
          <cell r="B29" t="str">
            <v>Llantas para automóviles</v>
          </cell>
          <cell r="C29">
            <v>2.9868113700000003</v>
          </cell>
          <cell r="D29">
            <v>0.43686130000000006</v>
          </cell>
          <cell r="E29">
            <v>2.4353531300000006</v>
          </cell>
          <cell r="F29">
            <v>0.77033467</v>
          </cell>
        </row>
        <row r="30">
          <cell r="B30" t="str">
            <v>Máquinas de afeitar</v>
          </cell>
          <cell r="C30">
            <v>1.3817252900000001</v>
          </cell>
          <cell r="D30">
            <v>0.66878395999999996</v>
          </cell>
          <cell r="E30">
            <v>2.3704198999999995</v>
          </cell>
          <cell r="F30">
            <v>1.0031605499999998</v>
          </cell>
        </row>
        <row r="31">
          <cell r="B31" t="str">
            <v>Anhidrido ftálico.</v>
          </cell>
          <cell r="C31">
            <v>2.8927900000000003E-2</v>
          </cell>
          <cell r="D31">
            <v>0</v>
          </cell>
          <cell r="E31">
            <v>2.3480167299999999</v>
          </cell>
          <cell r="F31">
            <v>1.0317979900000001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origen"/>
    </sheetNames>
    <sheetDataSet>
      <sheetData sheetId="0">
        <row r="7">
          <cell r="B7" t="str">
            <v>Bolivia</v>
          </cell>
          <cell r="C7">
            <v>10928616</v>
          </cell>
          <cell r="D7">
            <v>17765115</v>
          </cell>
          <cell r="E7">
            <v>3486237</v>
          </cell>
          <cell r="F7">
            <v>2580513</v>
          </cell>
        </row>
        <row r="8">
          <cell r="B8" t="str">
            <v>Ecuador</v>
          </cell>
          <cell r="C8">
            <v>94741273</v>
          </cell>
          <cell r="D8">
            <v>61343176</v>
          </cell>
          <cell r="E8">
            <v>23389768</v>
          </cell>
          <cell r="F8">
            <v>19474082</v>
          </cell>
        </row>
        <row r="9">
          <cell r="B9" t="str">
            <v xml:space="preserve">Perú </v>
          </cell>
          <cell r="C9">
            <v>51013617</v>
          </cell>
          <cell r="D9">
            <v>42124655</v>
          </cell>
          <cell r="E9">
            <v>9544813</v>
          </cell>
          <cell r="F9">
            <v>9811055</v>
          </cell>
        </row>
        <row r="23">
          <cell r="B23" t="str">
            <v>Argentina</v>
          </cell>
          <cell r="C23">
            <v>201901014</v>
          </cell>
          <cell r="D23">
            <v>215870249</v>
          </cell>
          <cell r="E23">
            <v>46931368</v>
          </cell>
          <cell r="F23">
            <v>69880984</v>
          </cell>
        </row>
        <row r="24">
          <cell r="B24" t="str">
            <v xml:space="preserve">Brasil </v>
          </cell>
          <cell r="C24">
            <v>356363180</v>
          </cell>
          <cell r="D24">
            <v>358778059</v>
          </cell>
          <cell r="E24">
            <v>80440536</v>
          </cell>
          <cell r="F24">
            <v>111761299</v>
          </cell>
        </row>
        <row r="25">
          <cell r="B25" t="str">
            <v xml:space="preserve">Cuba </v>
          </cell>
          <cell r="C25">
            <v>616019</v>
          </cell>
          <cell r="D25">
            <v>1369000</v>
          </cell>
          <cell r="E25">
            <v>86040</v>
          </cell>
          <cell r="F25">
            <v>1216694</v>
          </cell>
        </row>
        <row r="26">
          <cell r="B26" t="str">
            <v xml:space="preserve">Chile </v>
          </cell>
          <cell r="C26">
            <v>108950093</v>
          </cell>
          <cell r="D26">
            <v>84007474</v>
          </cell>
          <cell r="E26">
            <v>30035535</v>
          </cell>
          <cell r="F26">
            <v>18673741</v>
          </cell>
        </row>
        <row r="27">
          <cell r="B27" t="str">
            <v xml:space="preserve">México </v>
          </cell>
          <cell r="C27">
            <v>1089303047</v>
          </cell>
          <cell r="D27">
            <v>864868524</v>
          </cell>
          <cell r="E27">
            <v>313730565</v>
          </cell>
          <cell r="F27">
            <v>261052614</v>
          </cell>
        </row>
        <row r="28">
          <cell r="B28" t="str">
            <v xml:space="preserve">Paraguay </v>
          </cell>
          <cell r="C28">
            <v>9724801</v>
          </cell>
          <cell r="D28">
            <v>4326343</v>
          </cell>
          <cell r="E28">
            <v>4644691</v>
          </cell>
          <cell r="F28">
            <v>578064</v>
          </cell>
        </row>
        <row r="29">
          <cell r="B29" t="str">
            <v xml:space="preserve">Uruguay </v>
          </cell>
          <cell r="C29">
            <v>13709362</v>
          </cell>
          <cell r="D29">
            <v>12758278</v>
          </cell>
          <cell r="E29">
            <v>4611354</v>
          </cell>
          <cell r="F29">
            <v>4514742</v>
          </cell>
        </row>
        <row r="30">
          <cell r="B30" t="str">
            <v>Venezuela</v>
          </cell>
          <cell r="C30">
            <v>61565155</v>
          </cell>
          <cell r="D30">
            <v>24753329</v>
          </cell>
          <cell r="E30">
            <v>11500105</v>
          </cell>
          <cell r="F30">
            <v>10477651</v>
          </cell>
        </row>
        <row r="44">
          <cell r="B44" t="str">
            <v xml:space="preserve">Canadá </v>
          </cell>
          <cell r="C44">
            <v>167170789</v>
          </cell>
          <cell r="D44">
            <v>124374819</v>
          </cell>
          <cell r="E44">
            <v>44255107</v>
          </cell>
          <cell r="F44">
            <v>45167166</v>
          </cell>
        </row>
        <row r="45">
          <cell r="B45" t="str">
            <v>Estados Unidos</v>
          </cell>
          <cell r="C45">
            <v>1854611683</v>
          </cell>
          <cell r="D45">
            <v>3001438697</v>
          </cell>
          <cell r="E45">
            <v>406670928</v>
          </cell>
          <cell r="F45">
            <v>669453352</v>
          </cell>
        </row>
        <row r="59">
          <cell r="B59" t="str">
            <v xml:space="preserve">Alemania </v>
          </cell>
          <cell r="C59">
            <v>355081734</v>
          </cell>
          <cell r="D59">
            <v>432071733</v>
          </cell>
          <cell r="E59">
            <v>91098781</v>
          </cell>
          <cell r="F59">
            <v>120939442</v>
          </cell>
        </row>
        <row r="60">
          <cell r="B60" t="str">
            <v xml:space="preserve">Bélgica </v>
          </cell>
          <cell r="C60">
            <v>52957034</v>
          </cell>
          <cell r="D60">
            <v>56295687</v>
          </cell>
          <cell r="E60">
            <v>9522576</v>
          </cell>
          <cell r="F60">
            <v>21199203</v>
          </cell>
        </row>
        <row r="61">
          <cell r="B61" t="str">
            <v xml:space="preserve">España </v>
          </cell>
          <cell r="C61">
            <v>105440672</v>
          </cell>
          <cell r="D61">
            <v>173007223</v>
          </cell>
          <cell r="E61">
            <v>26628486</v>
          </cell>
          <cell r="F61">
            <v>30372738</v>
          </cell>
        </row>
        <row r="62">
          <cell r="B62" t="str">
            <v xml:space="preserve">Finlandia </v>
          </cell>
          <cell r="C62">
            <v>22557435</v>
          </cell>
          <cell r="D62">
            <v>69896729</v>
          </cell>
          <cell r="E62">
            <v>4609874</v>
          </cell>
          <cell r="F62">
            <v>9335416</v>
          </cell>
        </row>
        <row r="63">
          <cell r="B63" t="str">
            <v xml:space="preserve">Francia </v>
          </cell>
          <cell r="C63">
            <v>251760167</v>
          </cell>
          <cell r="D63">
            <v>233541583</v>
          </cell>
          <cell r="E63">
            <v>75270958</v>
          </cell>
          <cell r="F63">
            <v>52856682</v>
          </cell>
        </row>
        <row r="64">
          <cell r="B64" t="str">
            <v xml:space="preserve">Irlanda </v>
          </cell>
          <cell r="C64">
            <v>39285857</v>
          </cell>
          <cell r="D64">
            <v>49458388</v>
          </cell>
          <cell r="E64">
            <v>9071567</v>
          </cell>
          <cell r="F64">
            <v>17601287</v>
          </cell>
        </row>
        <row r="65">
          <cell r="B65" t="str">
            <v xml:space="preserve">Italia </v>
          </cell>
          <cell r="C65">
            <v>140567042</v>
          </cell>
          <cell r="D65">
            <v>181233566</v>
          </cell>
          <cell r="E65">
            <v>35797587</v>
          </cell>
          <cell r="F65">
            <v>57511008</v>
          </cell>
        </row>
        <row r="66">
          <cell r="B66" t="str">
            <v xml:space="preserve">Países Bajos </v>
          </cell>
          <cell r="C66">
            <v>47091681</v>
          </cell>
          <cell r="D66">
            <v>36833415</v>
          </cell>
          <cell r="E66">
            <v>8005623</v>
          </cell>
          <cell r="F66">
            <v>12199048</v>
          </cell>
        </row>
        <row r="67">
          <cell r="B67" t="str">
            <v xml:space="preserve">Reino Unido </v>
          </cell>
          <cell r="C67">
            <v>101455610</v>
          </cell>
          <cell r="D67">
            <v>98442847</v>
          </cell>
          <cell r="E67">
            <v>29374228</v>
          </cell>
          <cell r="F67">
            <v>30706993</v>
          </cell>
        </row>
        <row r="68">
          <cell r="B68" t="str">
            <v xml:space="preserve">Suecia </v>
          </cell>
          <cell r="C68">
            <v>44523517</v>
          </cell>
          <cell r="D68">
            <v>28605440</v>
          </cell>
          <cell r="E68">
            <v>11008767</v>
          </cell>
          <cell r="F68">
            <v>6912741</v>
          </cell>
        </row>
        <row r="69">
          <cell r="B69" t="str">
            <v xml:space="preserve">Resto </v>
          </cell>
          <cell r="C69">
            <v>75778889</v>
          </cell>
          <cell r="D69">
            <v>97863160</v>
          </cell>
          <cell r="E69">
            <v>21175518</v>
          </cell>
          <cell r="F69">
            <v>35501483</v>
          </cell>
        </row>
        <row r="83">
          <cell r="B83" t="str">
            <v>Corea del Sur</v>
          </cell>
          <cell r="C83">
            <v>145380053</v>
          </cell>
          <cell r="D83">
            <v>145361991</v>
          </cell>
          <cell r="E83">
            <v>34059588</v>
          </cell>
          <cell r="F83">
            <v>49636953</v>
          </cell>
        </row>
        <row r="84">
          <cell r="B84" t="str">
            <v xml:space="preserve">China </v>
          </cell>
          <cell r="C84">
            <v>1584337779</v>
          </cell>
          <cell r="D84">
            <v>1725398880</v>
          </cell>
          <cell r="E84">
            <v>395706156</v>
          </cell>
          <cell r="F84">
            <v>447124821</v>
          </cell>
        </row>
        <row r="85">
          <cell r="B85" t="str">
            <v xml:space="preserve">Japón </v>
          </cell>
          <cell r="C85">
            <v>236083478</v>
          </cell>
          <cell r="D85">
            <v>202539860</v>
          </cell>
          <cell r="E85">
            <v>60683707</v>
          </cell>
          <cell r="F85">
            <v>58439704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primarios"/>
    </sheetNames>
    <sheetDataSet>
      <sheetData sheetId="0">
        <row r="7">
          <cell r="B7" t="str">
            <v>Bolivia</v>
          </cell>
          <cell r="C7">
            <v>2101639</v>
          </cell>
          <cell r="D7">
            <v>7946023</v>
          </cell>
          <cell r="E7">
            <v>46621</v>
          </cell>
          <cell r="F7">
            <v>302670</v>
          </cell>
        </row>
        <row r="8">
          <cell r="B8" t="str">
            <v>Ecuador</v>
          </cell>
          <cell r="C8">
            <v>6987069</v>
          </cell>
          <cell r="D8">
            <v>6255184</v>
          </cell>
          <cell r="E8">
            <v>1849427</v>
          </cell>
          <cell r="F8">
            <v>1277326</v>
          </cell>
        </row>
        <row r="9">
          <cell r="B9" t="str">
            <v xml:space="preserve">Perú </v>
          </cell>
          <cell r="C9">
            <v>8019809</v>
          </cell>
          <cell r="D9">
            <v>4498741</v>
          </cell>
          <cell r="E9">
            <v>760557</v>
          </cell>
          <cell r="F9">
            <v>589090</v>
          </cell>
        </row>
        <row r="23">
          <cell r="B23" t="str">
            <v>Argentina</v>
          </cell>
          <cell r="C23">
            <v>107354385</v>
          </cell>
          <cell r="D23">
            <v>139513004</v>
          </cell>
          <cell r="E23">
            <v>19692265</v>
          </cell>
          <cell r="F23">
            <v>48039481</v>
          </cell>
        </row>
        <row r="24">
          <cell r="B24" t="str">
            <v xml:space="preserve">Brasil </v>
          </cell>
          <cell r="C24">
            <v>18893186</v>
          </cell>
          <cell r="D24">
            <v>12493373</v>
          </cell>
          <cell r="E24">
            <v>3548048</v>
          </cell>
          <cell r="F24">
            <v>2644327</v>
          </cell>
        </row>
        <row r="25">
          <cell r="B25" t="str">
            <v xml:space="preserve">Cuba </v>
          </cell>
          <cell r="C25">
            <v>43862</v>
          </cell>
          <cell r="D25">
            <v>0</v>
          </cell>
          <cell r="E25">
            <v>0</v>
          </cell>
          <cell r="F25">
            <v>0</v>
          </cell>
        </row>
        <row r="26">
          <cell r="B26" t="str">
            <v xml:space="preserve">Chile </v>
          </cell>
          <cell r="C26">
            <v>37865296</v>
          </cell>
          <cell r="D26">
            <v>30264098</v>
          </cell>
          <cell r="E26">
            <v>12180825</v>
          </cell>
          <cell r="F26">
            <v>6308777</v>
          </cell>
        </row>
        <row r="27">
          <cell r="B27" t="str">
            <v xml:space="preserve">México </v>
          </cell>
          <cell r="C27">
            <v>3925389</v>
          </cell>
          <cell r="D27">
            <v>6169518</v>
          </cell>
          <cell r="E27">
            <v>771727</v>
          </cell>
          <cell r="F27">
            <v>793039</v>
          </cell>
        </row>
        <row r="28">
          <cell r="B28" t="str">
            <v xml:space="preserve">Paraguay </v>
          </cell>
          <cell r="C28">
            <v>8244639</v>
          </cell>
          <cell r="D28">
            <v>2534770</v>
          </cell>
          <cell r="E28">
            <v>4339751</v>
          </cell>
          <cell r="F28">
            <v>0</v>
          </cell>
        </row>
        <row r="29">
          <cell r="B29" t="str">
            <v xml:space="preserve">Uruguay </v>
          </cell>
          <cell r="C29">
            <v>2049543</v>
          </cell>
          <cell r="D29">
            <v>855143</v>
          </cell>
          <cell r="E29">
            <v>442923</v>
          </cell>
          <cell r="F29">
            <v>152159</v>
          </cell>
        </row>
        <row r="30">
          <cell r="B30" t="str">
            <v>Venezuela</v>
          </cell>
          <cell r="C30">
            <v>280</v>
          </cell>
          <cell r="D30">
            <v>348710</v>
          </cell>
          <cell r="E30">
            <v>280</v>
          </cell>
          <cell r="F30">
            <v>5667</v>
          </cell>
        </row>
        <row r="44">
          <cell r="B44" t="str">
            <v xml:space="preserve">Canadá </v>
          </cell>
          <cell r="C44">
            <v>60471145</v>
          </cell>
          <cell r="D44">
            <v>28356301</v>
          </cell>
          <cell r="E44">
            <v>15223069</v>
          </cell>
          <cell r="F44">
            <v>10636726</v>
          </cell>
        </row>
        <row r="45">
          <cell r="B45" t="str">
            <v>Estados Unidos</v>
          </cell>
          <cell r="C45">
            <v>29180546</v>
          </cell>
          <cell r="D45">
            <v>81247952</v>
          </cell>
          <cell r="E45">
            <v>7198603</v>
          </cell>
          <cell r="F45">
            <v>16252980</v>
          </cell>
        </row>
        <row r="59">
          <cell r="B59" t="str">
            <v xml:space="preserve">Alemania </v>
          </cell>
          <cell r="C59">
            <v>1621285</v>
          </cell>
          <cell r="D59">
            <v>1176462</v>
          </cell>
          <cell r="E59">
            <v>332777</v>
          </cell>
          <cell r="F59">
            <v>337193</v>
          </cell>
        </row>
        <row r="60">
          <cell r="B60" t="str">
            <v xml:space="preserve">Bélgica </v>
          </cell>
          <cell r="C60">
            <v>726597</v>
          </cell>
          <cell r="D60">
            <v>1108394</v>
          </cell>
          <cell r="E60">
            <v>204947</v>
          </cell>
          <cell r="F60">
            <v>121764</v>
          </cell>
        </row>
        <row r="61">
          <cell r="B61" t="str">
            <v xml:space="preserve">Bulgaria </v>
          </cell>
          <cell r="C61">
            <v>68712</v>
          </cell>
          <cell r="D61">
            <v>121265</v>
          </cell>
          <cell r="E61">
            <v>42000</v>
          </cell>
          <cell r="F61">
            <v>90000</v>
          </cell>
        </row>
        <row r="62">
          <cell r="B62" t="str">
            <v xml:space="preserve">Dinamarca </v>
          </cell>
          <cell r="C62">
            <v>65080</v>
          </cell>
          <cell r="D62">
            <v>310372</v>
          </cell>
          <cell r="E62">
            <v>64971</v>
          </cell>
          <cell r="F62">
            <v>70644</v>
          </cell>
        </row>
        <row r="63">
          <cell r="B63" t="str">
            <v xml:space="preserve">España </v>
          </cell>
          <cell r="C63">
            <v>2737473</v>
          </cell>
          <cell r="D63">
            <v>2249768</v>
          </cell>
          <cell r="E63">
            <v>836813</v>
          </cell>
          <cell r="F63">
            <v>438491</v>
          </cell>
        </row>
        <row r="64">
          <cell r="B64" t="str">
            <v xml:space="preserve">Francia </v>
          </cell>
          <cell r="C64">
            <v>1492017</v>
          </cell>
          <cell r="D64">
            <v>1542543</v>
          </cell>
          <cell r="E64">
            <v>454404</v>
          </cell>
          <cell r="F64">
            <v>334028</v>
          </cell>
        </row>
        <row r="65">
          <cell r="B65" t="str">
            <v xml:space="preserve">Italia </v>
          </cell>
          <cell r="C65">
            <v>684606</v>
          </cell>
          <cell r="D65">
            <v>896056</v>
          </cell>
          <cell r="E65">
            <v>253389</v>
          </cell>
          <cell r="F65">
            <v>281005</v>
          </cell>
        </row>
        <row r="66">
          <cell r="B66" t="str">
            <v xml:space="preserve">Países Bajos </v>
          </cell>
          <cell r="C66">
            <v>4553083</v>
          </cell>
          <cell r="D66">
            <v>3012116</v>
          </cell>
          <cell r="E66">
            <v>1341971</v>
          </cell>
          <cell r="F66">
            <v>835927</v>
          </cell>
        </row>
        <row r="67">
          <cell r="B67" t="str">
            <v xml:space="preserve">Portugal </v>
          </cell>
          <cell r="C67">
            <v>142110</v>
          </cell>
          <cell r="D67">
            <v>120761</v>
          </cell>
          <cell r="E67">
            <v>89407</v>
          </cell>
          <cell r="F67">
            <v>28496</v>
          </cell>
        </row>
        <row r="68">
          <cell r="B68" t="str">
            <v xml:space="preserve">Reino Unido </v>
          </cell>
          <cell r="C68">
            <v>1815587</v>
          </cell>
          <cell r="D68">
            <v>1277103</v>
          </cell>
          <cell r="E68">
            <v>326560</v>
          </cell>
          <cell r="F68">
            <v>409365</v>
          </cell>
        </row>
        <row r="69">
          <cell r="B69" t="str">
            <v xml:space="preserve">Resto </v>
          </cell>
          <cell r="C69">
            <v>730669</v>
          </cell>
          <cell r="D69">
            <v>318149</v>
          </cell>
          <cell r="E69">
            <v>75575</v>
          </cell>
          <cell r="F69">
            <v>93694</v>
          </cell>
        </row>
        <row r="83">
          <cell r="B83" t="str">
            <v>Corea del Sur</v>
          </cell>
          <cell r="C83">
            <v>23679</v>
          </cell>
          <cell r="D83">
            <v>19667</v>
          </cell>
          <cell r="E83">
            <v>0</v>
          </cell>
          <cell r="F83">
            <v>10208</v>
          </cell>
        </row>
        <row r="84">
          <cell r="B84" t="str">
            <v xml:space="preserve">China </v>
          </cell>
          <cell r="C84">
            <v>8615456</v>
          </cell>
          <cell r="D84">
            <v>6709067</v>
          </cell>
          <cell r="E84">
            <v>1221581</v>
          </cell>
          <cell r="F84">
            <v>1440385</v>
          </cell>
        </row>
        <row r="85">
          <cell r="B85" t="str">
            <v xml:space="preserve">Japón </v>
          </cell>
          <cell r="C85">
            <v>348811</v>
          </cell>
          <cell r="D85">
            <v>147532</v>
          </cell>
          <cell r="E85">
            <v>68237</v>
          </cell>
          <cell r="F85">
            <v>17927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anufacturas"/>
    </sheetNames>
    <sheetDataSet>
      <sheetData sheetId="0">
        <row r="7">
          <cell r="B7" t="str">
            <v>Bolivia</v>
          </cell>
          <cell r="C7">
            <v>8824626</v>
          </cell>
          <cell r="D7">
            <v>9815418</v>
          </cell>
          <cell r="E7">
            <v>3439616</v>
          </cell>
          <cell r="F7">
            <v>2277843</v>
          </cell>
        </row>
        <row r="8">
          <cell r="B8" t="str">
            <v>Ecuador</v>
          </cell>
          <cell r="C8">
            <v>87591223</v>
          </cell>
          <cell r="D8">
            <v>54968338</v>
          </cell>
          <cell r="E8">
            <v>21515955</v>
          </cell>
          <cell r="F8">
            <v>18171322</v>
          </cell>
        </row>
        <row r="9">
          <cell r="B9" t="str">
            <v xml:space="preserve">Perú </v>
          </cell>
          <cell r="C9">
            <v>41483276</v>
          </cell>
          <cell r="D9">
            <v>37138198</v>
          </cell>
          <cell r="E9">
            <v>8424108</v>
          </cell>
          <cell r="F9">
            <v>8996433</v>
          </cell>
        </row>
        <row r="23">
          <cell r="B23" t="str">
            <v>Argentina</v>
          </cell>
          <cell r="C23">
            <v>93092584</v>
          </cell>
          <cell r="D23">
            <v>75287389</v>
          </cell>
          <cell r="E23">
            <v>26892276</v>
          </cell>
          <cell r="F23">
            <v>21519810</v>
          </cell>
        </row>
        <row r="24">
          <cell r="B24" t="str">
            <v xml:space="preserve">Brasil </v>
          </cell>
          <cell r="C24">
            <v>337033971</v>
          </cell>
          <cell r="D24">
            <v>344638963</v>
          </cell>
          <cell r="E24">
            <v>76712517</v>
          </cell>
          <cell r="F24">
            <v>107813844</v>
          </cell>
        </row>
        <row r="25">
          <cell r="B25" t="str">
            <v xml:space="preserve">Cuba </v>
          </cell>
          <cell r="C25">
            <v>567999</v>
          </cell>
          <cell r="D25">
            <v>1362411</v>
          </cell>
          <cell r="E25">
            <v>86040</v>
          </cell>
          <cell r="F25">
            <v>1212416</v>
          </cell>
        </row>
        <row r="26">
          <cell r="B26" t="str">
            <v xml:space="preserve">Chile </v>
          </cell>
          <cell r="C26">
            <v>70389507</v>
          </cell>
          <cell r="D26">
            <v>52213296</v>
          </cell>
          <cell r="E26">
            <v>17707428</v>
          </cell>
          <cell r="F26">
            <v>11721081</v>
          </cell>
        </row>
        <row r="27">
          <cell r="B27" t="str">
            <v xml:space="preserve">México </v>
          </cell>
          <cell r="C27">
            <v>1080979355</v>
          </cell>
          <cell r="D27">
            <v>855133639</v>
          </cell>
          <cell r="E27">
            <v>312001199</v>
          </cell>
          <cell r="F27">
            <v>259415560</v>
          </cell>
        </row>
        <row r="28">
          <cell r="B28" t="str">
            <v xml:space="preserve">Paraguay </v>
          </cell>
          <cell r="C28">
            <v>1480163</v>
          </cell>
          <cell r="D28">
            <v>1782353</v>
          </cell>
          <cell r="E28">
            <v>304940</v>
          </cell>
          <cell r="F28">
            <v>573017</v>
          </cell>
        </row>
        <row r="29">
          <cell r="B29" t="str">
            <v xml:space="preserve">Uruguay </v>
          </cell>
          <cell r="C29">
            <v>11467956</v>
          </cell>
          <cell r="D29">
            <v>11550549</v>
          </cell>
          <cell r="E29">
            <v>4077371</v>
          </cell>
          <cell r="F29">
            <v>4356793</v>
          </cell>
        </row>
        <row r="30">
          <cell r="B30" t="str">
            <v>Venezuela</v>
          </cell>
          <cell r="C30">
            <v>61503913</v>
          </cell>
          <cell r="D30">
            <v>24329619</v>
          </cell>
          <cell r="E30">
            <v>11469968</v>
          </cell>
          <cell r="F30">
            <v>10436226</v>
          </cell>
        </row>
        <row r="44">
          <cell r="B44" t="str">
            <v xml:space="preserve">Canadá </v>
          </cell>
          <cell r="C44">
            <v>106588277</v>
          </cell>
          <cell r="D44">
            <v>95762740</v>
          </cell>
          <cell r="E44">
            <v>29014172</v>
          </cell>
          <cell r="F44">
            <v>34492640</v>
          </cell>
        </row>
        <row r="45">
          <cell r="B45" t="str">
            <v>Estados Unidos</v>
          </cell>
          <cell r="C45">
            <v>1817050987</v>
          </cell>
          <cell r="D45">
            <v>2911655554</v>
          </cell>
          <cell r="E45">
            <v>397893538</v>
          </cell>
          <cell r="F45">
            <v>651173062</v>
          </cell>
        </row>
        <row r="59">
          <cell r="B59" t="str">
            <v xml:space="preserve">Alemania </v>
          </cell>
          <cell r="C59">
            <v>352956890</v>
          </cell>
          <cell r="D59">
            <v>430298048</v>
          </cell>
          <cell r="E59">
            <v>90499288</v>
          </cell>
          <cell r="F59">
            <v>120210198</v>
          </cell>
        </row>
        <row r="60">
          <cell r="B60" t="str">
            <v xml:space="preserve">Bélgica </v>
          </cell>
          <cell r="C60">
            <v>52191733</v>
          </cell>
          <cell r="D60">
            <v>55082977</v>
          </cell>
          <cell r="E60">
            <v>9317489</v>
          </cell>
          <cell r="F60">
            <v>21070445</v>
          </cell>
        </row>
        <row r="61">
          <cell r="B61" t="str">
            <v xml:space="preserve">España </v>
          </cell>
          <cell r="C61">
            <v>95893804</v>
          </cell>
          <cell r="D61">
            <v>163973858</v>
          </cell>
          <cell r="E61">
            <v>23714074</v>
          </cell>
          <cell r="F61">
            <v>28189995</v>
          </cell>
        </row>
        <row r="62">
          <cell r="B62" t="str">
            <v xml:space="preserve">Finlandia </v>
          </cell>
          <cell r="C62">
            <v>22550935</v>
          </cell>
          <cell r="D62">
            <v>69859211</v>
          </cell>
          <cell r="E62">
            <v>4608495</v>
          </cell>
          <cell r="F62">
            <v>9322921</v>
          </cell>
        </row>
        <row r="63">
          <cell r="B63" t="str">
            <v xml:space="preserve">Francia </v>
          </cell>
          <cell r="C63">
            <v>249674385</v>
          </cell>
          <cell r="D63">
            <v>231352390</v>
          </cell>
          <cell r="E63">
            <v>74692170</v>
          </cell>
          <cell r="F63">
            <v>52314075</v>
          </cell>
        </row>
        <row r="64">
          <cell r="B64" t="str">
            <v xml:space="preserve">Irlanda </v>
          </cell>
          <cell r="C64">
            <v>38752078</v>
          </cell>
          <cell r="D64">
            <v>49386047</v>
          </cell>
          <cell r="E64">
            <v>9035094</v>
          </cell>
          <cell r="F64">
            <v>17594945</v>
          </cell>
        </row>
        <row r="65">
          <cell r="B65" t="str">
            <v xml:space="preserve">Italia </v>
          </cell>
          <cell r="C65">
            <v>139519825</v>
          </cell>
          <cell r="D65">
            <v>180016532</v>
          </cell>
          <cell r="E65">
            <v>35467035</v>
          </cell>
          <cell r="F65">
            <v>57177442</v>
          </cell>
        </row>
        <row r="66">
          <cell r="B66" t="str">
            <v xml:space="preserve">Países Bajos </v>
          </cell>
          <cell r="C66">
            <v>42458563</v>
          </cell>
          <cell r="D66">
            <v>33777860</v>
          </cell>
          <cell r="E66">
            <v>6643934</v>
          </cell>
          <cell r="F66">
            <v>11351058</v>
          </cell>
        </row>
        <row r="67">
          <cell r="B67" t="str">
            <v xml:space="preserve">Reino Unido </v>
          </cell>
          <cell r="C67">
            <v>97746074</v>
          </cell>
          <cell r="D67">
            <v>95887552</v>
          </cell>
          <cell r="E67">
            <v>28499613</v>
          </cell>
          <cell r="F67">
            <v>29967745</v>
          </cell>
        </row>
        <row r="68">
          <cell r="B68" t="str">
            <v xml:space="preserve">Suecia </v>
          </cell>
          <cell r="C68">
            <v>44475243</v>
          </cell>
          <cell r="D68">
            <v>28582242</v>
          </cell>
          <cell r="E68">
            <v>11005824</v>
          </cell>
          <cell r="F68">
            <v>6901078</v>
          </cell>
        </row>
        <row r="69">
          <cell r="B69" t="str">
            <v xml:space="preserve">Resto </v>
          </cell>
          <cell r="C69">
            <v>73929985</v>
          </cell>
          <cell r="D69">
            <v>96407794</v>
          </cell>
          <cell r="E69">
            <v>20882836</v>
          </cell>
          <cell r="F69">
            <v>35181135</v>
          </cell>
        </row>
        <row r="83">
          <cell r="B83" t="str">
            <v>Corea del Sur</v>
          </cell>
          <cell r="C83">
            <v>144973757</v>
          </cell>
          <cell r="D83">
            <v>145210572</v>
          </cell>
          <cell r="E83">
            <v>34002536</v>
          </cell>
          <cell r="F83">
            <v>49611363</v>
          </cell>
        </row>
        <row r="84">
          <cell r="B84" t="str">
            <v xml:space="preserve">China </v>
          </cell>
          <cell r="C84">
            <v>1572547533</v>
          </cell>
          <cell r="D84">
            <v>1714012567</v>
          </cell>
          <cell r="E84">
            <v>393821264</v>
          </cell>
          <cell r="F84">
            <v>444797556</v>
          </cell>
        </row>
        <row r="85">
          <cell r="B85" t="str">
            <v xml:space="preserve">Japón </v>
          </cell>
          <cell r="C85">
            <v>235657567</v>
          </cell>
          <cell r="D85">
            <v>202316501</v>
          </cell>
          <cell r="E85">
            <v>60599692</v>
          </cell>
          <cell r="F85">
            <v>58403921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rec_nat"/>
    </sheetNames>
    <sheetDataSet>
      <sheetData sheetId="0">
        <row r="7">
          <cell r="B7" t="str">
            <v>Bolivia</v>
          </cell>
          <cell r="C7">
            <v>6358469</v>
          </cell>
          <cell r="D7">
            <v>7724720</v>
          </cell>
          <cell r="E7">
            <v>1571632</v>
          </cell>
          <cell r="F7">
            <v>1743621</v>
          </cell>
        </row>
        <row r="8">
          <cell r="B8" t="str">
            <v>Ecuador</v>
          </cell>
          <cell r="C8">
            <v>18251728</v>
          </cell>
          <cell r="D8">
            <v>15083174</v>
          </cell>
          <cell r="E8">
            <v>4741823</v>
          </cell>
          <cell r="F8">
            <v>3683327</v>
          </cell>
        </row>
        <row r="9">
          <cell r="B9" t="str">
            <v xml:space="preserve">Perú </v>
          </cell>
          <cell r="C9">
            <v>7710667</v>
          </cell>
          <cell r="D9">
            <v>6707635</v>
          </cell>
          <cell r="E9">
            <v>695956</v>
          </cell>
          <cell r="F9">
            <v>1783322</v>
          </cell>
        </row>
        <row r="23">
          <cell r="B23" t="str">
            <v>Argentina</v>
          </cell>
          <cell r="C23">
            <v>16193819</v>
          </cell>
          <cell r="D23">
            <v>9160617</v>
          </cell>
          <cell r="E23">
            <v>4081542</v>
          </cell>
          <cell r="F23">
            <v>2225419</v>
          </cell>
        </row>
        <row r="24">
          <cell r="B24" t="str">
            <v xml:space="preserve">Brasil </v>
          </cell>
          <cell r="C24">
            <v>94518001</v>
          </cell>
          <cell r="D24">
            <v>77865453</v>
          </cell>
          <cell r="E24">
            <v>17991497</v>
          </cell>
          <cell r="F24">
            <v>22642085</v>
          </cell>
        </row>
        <row r="25">
          <cell r="B25" t="str">
            <v xml:space="preserve">Cuba </v>
          </cell>
          <cell r="C25">
            <v>457819</v>
          </cell>
          <cell r="D25">
            <v>67972</v>
          </cell>
          <cell r="E25">
            <v>0</v>
          </cell>
          <cell r="F25">
            <v>12991</v>
          </cell>
        </row>
        <row r="26">
          <cell r="B26" t="str">
            <v xml:space="preserve">Chile </v>
          </cell>
          <cell r="C26">
            <v>34891700</v>
          </cell>
          <cell r="D26">
            <v>30787740</v>
          </cell>
          <cell r="E26">
            <v>9108024</v>
          </cell>
          <cell r="F26">
            <v>6928440</v>
          </cell>
        </row>
        <row r="27">
          <cell r="B27" t="str">
            <v xml:space="preserve">México </v>
          </cell>
          <cell r="C27">
            <v>256785289</v>
          </cell>
          <cell r="D27">
            <v>197337278</v>
          </cell>
          <cell r="E27">
            <v>75673813</v>
          </cell>
          <cell r="F27">
            <v>48393832</v>
          </cell>
        </row>
        <row r="28">
          <cell r="B28" t="str">
            <v xml:space="preserve">Paraguay </v>
          </cell>
          <cell r="C28">
            <v>10012</v>
          </cell>
          <cell r="D28">
            <v>79548</v>
          </cell>
          <cell r="E28">
            <v>0</v>
          </cell>
          <cell r="F28">
            <v>7523</v>
          </cell>
        </row>
        <row r="29">
          <cell r="B29" t="str">
            <v xml:space="preserve">Uruguay </v>
          </cell>
          <cell r="C29">
            <v>6325948</v>
          </cell>
          <cell r="D29">
            <v>7320114</v>
          </cell>
          <cell r="E29">
            <v>1760638</v>
          </cell>
          <cell r="F29">
            <v>3273710</v>
          </cell>
        </row>
        <row r="30">
          <cell r="B30" t="str">
            <v>Venezuela</v>
          </cell>
          <cell r="C30">
            <v>15526840</v>
          </cell>
          <cell r="D30">
            <v>7123372</v>
          </cell>
          <cell r="E30">
            <v>1314020</v>
          </cell>
          <cell r="F30">
            <v>1640241</v>
          </cell>
        </row>
        <row r="44">
          <cell r="B44" t="str">
            <v xml:space="preserve">Canadá </v>
          </cell>
          <cell r="C44">
            <v>15861506</v>
          </cell>
          <cell r="D44">
            <v>15531928</v>
          </cell>
          <cell r="E44">
            <v>3404726</v>
          </cell>
          <cell r="F44">
            <v>4493477</v>
          </cell>
        </row>
        <row r="45">
          <cell r="B45" t="str">
            <v>Estados Unidos</v>
          </cell>
          <cell r="C45">
            <v>639183813</v>
          </cell>
          <cell r="D45">
            <v>1130473137</v>
          </cell>
          <cell r="E45">
            <v>128321984</v>
          </cell>
          <cell r="F45">
            <v>190456882</v>
          </cell>
        </row>
        <row r="59">
          <cell r="B59" t="str">
            <v xml:space="preserve">Alemania </v>
          </cell>
          <cell r="C59">
            <v>29879586</v>
          </cell>
          <cell r="D59">
            <v>29812492</v>
          </cell>
          <cell r="E59">
            <v>6965653</v>
          </cell>
          <cell r="F59">
            <v>8496004</v>
          </cell>
        </row>
        <row r="60">
          <cell r="B60" t="str">
            <v xml:space="preserve">Austria </v>
          </cell>
          <cell r="C60">
            <v>2808960</v>
          </cell>
          <cell r="D60">
            <v>2841769</v>
          </cell>
          <cell r="E60">
            <v>948001</v>
          </cell>
          <cell r="F60">
            <v>1130027</v>
          </cell>
        </row>
        <row r="61">
          <cell r="B61" t="str">
            <v xml:space="preserve">España </v>
          </cell>
          <cell r="C61">
            <v>21672787</v>
          </cell>
          <cell r="D61">
            <v>40456559</v>
          </cell>
          <cell r="E61">
            <v>3513651</v>
          </cell>
          <cell r="F61">
            <v>4537133</v>
          </cell>
        </row>
        <row r="62">
          <cell r="B62" t="str">
            <v xml:space="preserve">Finlandia </v>
          </cell>
          <cell r="C62">
            <v>8943626</v>
          </cell>
          <cell r="D62">
            <v>7619777</v>
          </cell>
          <cell r="E62">
            <v>733809</v>
          </cell>
          <cell r="F62">
            <v>2346511</v>
          </cell>
        </row>
        <row r="63">
          <cell r="B63" t="str">
            <v xml:space="preserve">Francia </v>
          </cell>
          <cell r="C63">
            <v>37139989</v>
          </cell>
          <cell r="D63">
            <v>10814260</v>
          </cell>
          <cell r="E63">
            <v>3427949</v>
          </cell>
          <cell r="F63">
            <v>2981050</v>
          </cell>
        </row>
        <row r="64">
          <cell r="B64" t="str">
            <v xml:space="preserve">Irlanda </v>
          </cell>
          <cell r="C64">
            <v>4056230</v>
          </cell>
          <cell r="D64">
            <v>2711454</v>
          </cell>
          <cell r="E64">
            <v>1438077</v>
          </cell>
          <cell r="F64">
            <v>953504</v>
          </cell>
        </row>
        <row r="65">
          <cell r="B65" t="str">
            <v xml:space="preserve">Italia </v>
          </cell>
          <cell r="C65">
            <v>15795403</v>
          </cell>
          <cell r="D65">
            <v>15283119</v>
          </cell>
          <cell r="E65">
            <v>4438503</v>
          </cell>
          <cell r="F65">
            <v>4493658</v>
          </cell>
        </row>
        <row r="66">
          <cell r="B66" t="str">
            <v xml:space="preserve">Países Bajos </v>
          </cell>
          <cell r="C66">
            <v>3359969</v>
          </cell>
          <cell r="D66">
            <v>2536662</v>
          </cell>
          <cell r="E66">
            <v>648666</v>
          </cell>
          <cell r="F66">
            <v>565984</v>
          </cell>
        </row>
        <row r="67">
          <cell r="B67" t="str">
            <v xml:space="preserve">Reino Unido </v>
          </cell>
          <cell r="C67">
            <v>18066876</v>
          </cell>
          <cell r="D67">
            <v>13634159</v>
          </cell>
          <cell r="E67">
            <v>3296712</v>
          </cell>
          <cell r="F67">
            <v>4377510</v>
          </cell>
        </row>
        <row r="68">
          <cell r="B68" t="str">
            <v xml:space="preserve">Suecia </v>
          </cell>
          <cell r="C68">
            <v>2870191</v>
          </cell>
          <cell r="D68">
            <v>3207168</v>
          </cell>
          <cell r="E68">
            <v>1123906</v>
          </cell>
          <cell r="F68">
            <v>488416</v>
          </cell>
        </row>
        <row r="69">
          <cell r="B69" t="str">
            <v xml:space="preserve">Resto </v>
          </cell>
          <cell r="C69">
            <v>8998217</v>
          </cell>
          <cell r="D69">
            <v>6983482</v>
          </cell>
          <cell r="E69">
            <v>2427800</v>
          </cell>
          <cell r="F69">
            <v>1889002</v>
          </cell>
        </row>
        <row r="83">
          <cell r="B83" t="str">
            <v>Corea del Sur</v>
          </cell>
          <cell r="C83">
            <v>6398568</v>
          </cell>
          <cell r="D83">
            <v>7290400</v>
          </cell>
        </row>
        <row r="84">
          <cell r="B84" t="str">
            <v xml:space="preserve">China </v>
          </cell>
          <cell r="C84">
            <v>93630680</v>
          </cell>
          <cell r="D84">
            <v>91368494</v>
          </cell>
        </row>
        <row r="85">
          <cell r="B85" t="str">
            <v xml:space="preserve">Japón </v>
          </cell>
          <cell r="C85">
            <v>20715671</v>
          </cell>
          <cell r="D85">
            <v>22680808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baja_tek"/>
    </sheetNames>
    <sheetDataSet>
      <sheetData sheetId="0">
        <row r="7">
          <cell r="B7" t="str">
            <v>Bolivia</v>
          </cell>
          <cell r="C7">
            <v>85997</v>
          </cell>
          <cell r="D7">
            <v>988</v>
          </cell>
          <cell r="E7">
            <v>38404</v>
          </cell>
          <cell r="F7">
            <v>0</v>
          </cell>
        </row>
        <row r="8">
          <cell r="B8" t="str">
            <v>Ecuador</v>
          </cell>
          <cell r="C8">
            <v>12471028</v>
          </cell>
          <cell r="D8">
            <v>14421233</v>
          </cell>
          <cell r="E8">
            <v>3522776</v>
          </cell>
          <cell r="F8">
            <v>5067287</v>
          </cell>
        </row>
        <row r="9">
          <cell r="B9" t="str">
            <v xml:space="preserve">Perú </v>
          </cell>
          <cell r="C9">
            <v>19874258</v>
          </cell>
          <cell r="D9">
            <v>16229206</v>
          </cell>
          <cell r="E9">
            <v>3783927</v>
          </cell>
          <cell r="F9">
            <v>4636060</v>
          </cell>
        </row>
        <row r="23">
          <cell r="B23" t="str">
            <v>Argentina</v>
          </cell>
          <cell r="C23">
            <v>5066585</v>
          </cell>
          <cell r="D23">
            <v>3504494</v>
          </cell>
          <cell r="E23">
            <v>1556825</v>
          </cell>
          <cell r="F23">
            <v>754654</v>
          </cell>
        </row>
        <row r="24">
          <cell r="B24" t="str">
            <v xml:space="preserve">Brasil </v>
          </cell>
          <cell r="C24">
            <v>44694033</v>
          </cell>
          <cell r="D24">
            <v>41362580</v>
          </cell>
          <cell r="E24">
            <v>10888379</v>
          </cell>
          <cell r="F24">
            <v>14979388</v>
          </cell>
        </row>
        <row r="25">
          <cell r="B25" t="str">
            <v xml:space="preserve">Cuba </v>
          </cell>
          <cell r="C25">
            <v>0</v>
          </cell>
          <cell r="D25">
            <v>104</v>
          </cell>
          <cell r="E25">
            <v>0</v>
          </cell>
          <cell r="F25">
            <v>0</v>
          </cell>
        </row>
        <row r="26">
          <cell r="B26" t="str">
            <v xml:space="preserve">Chile </v>
          </cell>
          <cell r="C26">
            <v>12388798</v>
          </cell>
          <cell r="D26">
            <v>9898552</v>
          </cell>
          <cell r="E26">
            <v>2976543</v>
          </cell>
          <cell r="F26">
            <v>2027776</v>
          </cell>
        </row>
        <row r="27">
          <cell r="B27" t="str">
            <v xml:space="preserve">México </v>
          </cell>
          <cell r="C27">
            <v>63325518</v>
          </cell>
          <cell r="D27">
            <v>88593205</v>
          </cell>
          <cell r="E27">
            <v>20891390</v>
          </cell>
          <cell r="F27">
            <v>37737745</v>
          </cell>
        </row>
        <row r="28">
          <cell r="B28" t="str">
            <v xml:space="preserve">Paraguay </v>
          </cell>
          <cell r="C28">
            <v>256714</v>
          </cell>
          <cell r="D28">
            <v>129692</v>
          </cell>
          <cell r="E28">
            <v>169746</v>
          </cell>
          <cell r="F28">
            <v>90506</v>
          </cell>
        </row>
        <row r="29">
          <cell r="B29" t="str">
            <v xml:space="preserve">Uruguay </v>
          </cell>
          <cell r="C29">
            <v>837322</v>
          </cell>
          <cell r="D29">
            <v>666668</v>
          </cell>
          <cell r="E29">
            <v>137312</v>
          </cell>
          <cell r="F29">
            <v>159820</v>
          </cell>
        </row>
        <row r="30">
          <cell r="B30" t="str">
            <v>Venezuela</v>
          </cell>
          <cell r="C30">
            <v>30410054</v>
          </cell>
          <cell r="D30">
            <v>6813987</v>
          </cell>
          <cell r="E30">
            <v>7452137</v>
          </cell>
          <cell r="F30">
            <v>5967892</v>
          </cell>
        </row>
        <row r="44">
          <cell r="B44" t="str">
            <v xml:space="preserve">Canadá </v>
          </cell>
          <cell r="C44">
            <v>9064112</v>
          </cell>
          <cell r="D44">
            <v>7036564</v>
          </cell>
          <cell r="E44">
            <v>3466490</v>
          </cell>
          <cell r="F44">
            <v>2524868</v>
          </cell>
        </row>
        <row r="45">
          <cell r="B45" t="str">
            <v>Estados Unidos</v>
          </cell>
          <cell r="C45">
            <v>162311567</v>
          </cell>
          <cell r="D45">
            <v>171731067</v>
          </cell>
          <cell r="E45">
            <v>36292981</v>
          </cell>
          <cell r="F45">
            <v>48781872</v>
          </cell>
        </row>
        <row r="59">
          <cell r="B59" t="str">
            <v xml:space="preserve">Alemania </v>
          </cell>
          <cell r="C59">
            <v>33566137</v>
          </cell>
          <cell r="D59">
            <v>31124325</v>
          </cell>
          <cell r="E59">
            <v>15513203</v>
          </cell>
          <cell r="F59">
            <v>8547685</v>
          </cell>
        </row>
        <row r="60">
          <cell r="B60" t="str">
            <v xml:space="preserve">Austria </v>
          </cell>
          <cell r="C60">
            <v>5587098</v>
          </cell>
          <cell r="D60">
            <v>6080002</v>
          </cell>
          <cell r="E60">
            <v>1339751</v>
          </cell>
          <cell r="F60">
            <v>1453650</v>
          </cell>
        </row>
        <row r="61">
          <cell r="B61" t="str">
            <v xml:space="preserve">Bélgica </v>
          </cell>
          <cell r="C61">
            <v>2094893</v>
          </cell>
          <cell r="D61">
            <v>4324123</v>
          </cell>
          <cell r="E61">
            <v>594015</v>
          </cell>
          <cell r="F61">
            <v>1564775</v>
          </cell>
        </row>
        <row r="62">
          <cell r="B62" t="str">
            <v xml:space="preserve">España </v>
          </cell>
          <cell r="C62">
            <v>19448322</v>
          </cell>
          <cell r="D62">
            <v>21794127</v>
          </cell>
          <cell r="E62">
            <v>5812295</v>
          </cell>
          <cell r="F62">
            <v>6573774</v>
          </cell>
        </row>
        <row r="63">
          <cell r="B63" t="str">
            <v xml:space="preserve">Finlandia </v>
          </cell>
          <cell r="C63">
            <v>1469655</v>
          </cell>
          <cell r="D63">
            <v>4592826</v>
          </cell>
          <cell r="E63">
            <v>331788</v>
          </cell>
          <cell r="F63">
            <v>1869317</v>
          </cell>
        </row>
        <row r="64">
          <cell r="B64" t="str">
            <v xml:space="preserve">Francia </v>
          </cell>
          <cell r="C64">
            <v>9345006</v>
          </cell>
          <cell r="D64">
            <v>9568153</v>
          </cell>
          <cell r="E64">
            <v>2670447</v>
          </cell>
          <cell r="F64">
            <v>2567712</v>
          </cell>
        </row>
        <row r="65">
          <cell r="B65" t="str">
            <v xml:space="preserve">Irlanda </v>
          </cell>
          <cell r="C65">
            <v>12310265</v>
          </cell>
          <cell r="D65">
            <v>11473553</v>
          </cell>
          <cell r="E65">
            <v>2933929</v>
          </cell>
          <cell r="F65">
            <v>3263924</v>
          </cell>
        </row>
        <row r="66">
          <cell r="B66" t="str">
            <v xml:space="preserve">Italia </v>
          </cell>
          <cell r="C66">
            <v>22246230</v>
          </cell>
          <cell r="D66">
            <v>22277099</v>
          </cell>
          <cell r="E66">
            <v>5637818</v>
          </cell>
          <cell r="F66">
            <v>6529994</v>
          </cell>
        </row>
        <row r="67">
          <cell r="B67" t="str">
            <v xml:space="preserve">Países Bajos </v>
          </cell>
          <cell r="C67">
            <v>6980996</v>
          </cell>
          <cell r="D67">
            <v>4604107</v>
          </cell>
          <cell r="E67">
            <v>1602366</v>
          </cell>
          <cell r="F67">
            <v>1111436</v>
          </cell>
        </row>
        <row r="68">
          <cell r="B68" t="str">
            <v xml:space="preserve">Reino Unido </v>
          </cell>
          <cell r="C68">
            <v>8870628</v>
          </cell>
          <cell r="D68">
            <v>6208317</v>
          </cell>
          <cell r="E68">
            <v>2238050</v>
          </cell>
          <cell r="F68">
            <v>1370710</v>
          </cell>
        </row>
        <row r="69">
          <cell r="B69" t="str">
            <v xml:space="preserve">Resto </v>
          </cell>
          <cell r="C69">
            <v>12188532</v>
          </cell>
          <cell r="D69">
            <v>13326313</v>
          </cell>
          <cell r="E69">
            <v>2610638</v>
          </cell>
          <cell r="F69">
            <v>4714715</v>
          </cell>
        </row>
        <row r="83">
          <cell r="B83" t="str">
            <v>Corea del Sur</v>
          </cell>
          <cell r="C83">
            <v>13383636</v>
          </cell>
          <cell r="D83">
            <v>17173985</v>
          </cell>
          <cell r="E83">
            <v>1934892</v>
          </cell>
          <cell r="F83">
            <v>5354891</v>
          </cell>
        </row>
        <row r="84">
          <cell r="B84" t="str">
            <v xml:space="preserve">China </v>
          </cell>
          <cell r="C84">
            <v>390441442</v>
          </cell>
          <cell r="D84">
            <v>381963548</v>
          </cell>
          <cell r="E84">
            <v>86963946</v>
          </cell>
          <cell r="F84">
            <v>74642507</v>
          </cell>
        </row>
        <row r="85">
          <cell r="B85" t="str">
            <v xml:space="preserve">Japón </v>
          </cell>
          <cell r="C85">
            <v>10864935</v>
          </cell>
          <cell r="D85">
            <v>8895575</v>
          </cell>
          <cell r="E85">
            <v>4306265</v>
          </cell>
          <cell r="F85">
            <v>1510094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media_tek"/>
    </sheetNames>
    <sheetDataSet>
      <sheetData sheetId="0">
        <row r="7">
          <cell r="B7" t="str">
            <v>Bolivia</v>
          </cell>
          <cell r="C7">
            <v>2380160</v>
          </cell>
          <cell r="D7">
            <v>2089709</v>
          </cell>
          <cell r="E7">
            <v>1829580</v>
          </cell>
          <cell r="F7">
            <v>534222</v>
          </cell>
        </row>
        <row r="8">
          <cell r="B8" t="str">
            <v>Ecuador</v>
          </cell>
          <cell r="C8">
            <v>49262151</v>
          </cell>
          <cell r="D8">
            <v>19774452</v>
          </cell>
          <cell r="E8">
            <v>11331065</v>
          </cell>
          <cell r="F8">
            <v>7297356</v>
          </cell>
        </row>
        <row r="9">
          <cell r="B9" t="str">
            <v xml:space="preserve">Perú </v>
          </cell>
          <cell r="C9">
            <v>13290605</v>
          </cell>
          <cell r="D9">
            <v>11822125</v>
          </cell>
          <cell r="E9">
            <v>3933946</v>
          </cell>
          <cell r="F9">
            <v>1872406</v>
          </cell>
        </row>
        <row r="23">
          <cell r="B23" t="str">
            <v>Argentina</v>
          </cell>
          <cell r="C23">
            <v>55823730</v>
          </cell>
          <cell r="D23">
            <v>47550455</v>
          </cell>
          <cell r="E23">
            <v>17747122</v>
          </cell>
          <cell r="F23">
            <v>14493081</v>
          </cell>
        </row>
        <row r="24">
          <cell r="B24" t="str">
            <v xml:space="preserve">Brasil </v>
          </cell>
          <cell r="C24">
            <v>122148047</v>
          </cell>
          <cell r="D24">
            <v>161474833</v>
          </cell>
          <cell r="E24">
            <v>31920193</v>
          </cell>
          <cell r="F24">
            <v>49561252</v>
          </cell>
        </row>
        <row r="25">
          <cell r="B25" t="str">
            <v xml:space="preserve">Cuba </v>
          </cell>
          <cell r="C25">
            <v>109796</v>
          </cell>
          <cell r="D25">
            <v>1293849</v>
          </cell>
          <cell r="E25">
            <v>86040</v>
          </cell>
          <cell r="F25">
            <v>1198939</v>
          </cell>
        </row>
        <row r="26">
          <cell r="B26" t="str">
            <v xml:space="preserve">Chile </v>
          </cell>
          <cell r="C26">
            <v>19700631</v>
          </cell>
          <cell r="D26">
            <v>9470513</v>
          </cell>
          <cell r="E26">
            <v>4817843</v>
          </cell>
          <cell r="F26">
            <v>2366792</v>
          </cell>
        </row>
        <row r="27">
          <cell r="B27" t="str">
            <v xml:space="preserve">México </v>
          </cell>
          <cell r="C27">
            <v>482970469</v>
          </cell>
          <cell r="D27">
            <v>342281940</v>
          </cell>
          <cell r="E27">
            <v>139247354</v>
          </cell>
          <cell r="F27">
            <v>96766577</v>
          </cell>
        </row>
        <row r="28">
          <cell r="B28" t="str">
            <v xml:space="preserve">Paraguay </v>
          </cell>
          <cell r="C28">
            <v>1543</v>
          </cell>
          <cell r="D28">
            <v>2507</v>
          </cell>
          <cell r="E28">
            <v>0</v>
          </cell>
          <cell r="F28">
            <v>783</v>
          </cell>
        </row>
        <row r="29">
          <cell r="B29" t="str">
            <v xml:space="preserve">Uruguay </v>
          </cell>
          <cell r="C29">
            <v>2932501</v>
          </cell>
          <cell r="D29">
            <v>1185845</v>
          </cell>
          <cell r="E29">
            <v>1849823</v>
          </cell>
          <cell r="F29">
            <v>717441</v>
          </cell>
        </row>
        <row r="30">
          <cell r="B30" t="str">
            <v>Venezuela</v>
          </cell>
          <cell r="C30">
            <v>14126867</v>
          </cell>
          <cell r="D30">
            <v>9287828</v>
          </cell>
          <cell r="E30">
            <v>2347806</v>
          </cell>
          <cell r="F30">
            <v>1890993</v>
          </cell>
        </row>
        <row r="44">
          <cell r="B44" t="str">
            <v xml:space="preserve">Canadá </v>
          </cell>
          <cell r="C44">
            <v>51031929</v>
          </cell>
          <cell r="D44">
            <v>32868018</v>
          </cell>
          <cell r="E44">
            <v>16996822</v>
          </cell>
          <cell r="F44">
            <v>10100352</v>
          </cell>
        </row>
        <row r="45">
          <cell r="B45" t="str">
            <v>Estados Unidos</v>
          </cell>
          <cell r="C45">
            <v>642586599</v>
          </cell>
          <cell r="D45">
            <v>646816134</v>
          </cell>
          <cell r="E45">
            <v>147935508</v>
          </cell>
          <cell r="F45">
            <v>197654324</v>
          </cell>
        </row>
        <row r="59">
          <cell r="B59" t="str">
            <v xml:space="preserve">Alemania </v>
          </cell>
          <cell r="C59">
            <v>163388015</v>
          </cell>
          <cell r="D59">
            <v>174561412</v>
          </cell>
          <cell r="E59">
            <v>39415998</v>
          </cell>
          <cell r="F59">
            <v>59075631</v>
          </cell>
        </row>
        <row r="60">
          <cell r="B60" t="str">
            <v xml:space="preserve">Austria </v>
          </cell>
          <cell r="C60">
            <v>6822524</v>
          </cell>
          <cell r="D60">
            <v>6794129</v>
          </cell>
          <cell r="E60">
            <v>1939612</v>
          </cell>
          <cell r="F60">
            <v>2861407</v>
          </cell>
        </row>
        <row r="61">
          <cell r="B61" t="str">
            <v xml:space="preserve">Bélgica </v>
          </cell>
          <cell r="C61">
            <v>18146097</v>
          </cell>
          <cell r="D61">
            <v>18355122</v>
          </cell>
          <cell r="E61">
            <v>4024304</v>
          </cell>
          <cell r="F61">
            <v>4347348</v>
          </cell>
        </row>
        <row r="62">
          <cell r="B62" t="str">
            <v xml:space="preserve">España </v>
          </cell>
          <cell r="C62">
            <v>31204614</v>
          </cell>
          <cell r="D62">
            <v>39117848</v>
          </cell>
          <cell r="E62">
            <v>7624693</v>
          </cell>
          <cell r="F62">
            <v>9519946</v>
          </cell>
        </row>
        <row r="63">
          <cell r="B63" t="str">
            <v xml:space="preserve">Finlandia </v>
          </cell>
          <cell r="C63">
            <v>4007437</v>
          </cell>
          <cell r="D63">
            <v>7532390</v>
          </cell>
          <cell r="E63">
            <v>1209158</v>
          </cell>
          <cell r="F63">
            <v>1551661</v>
          </cell>
        </row>
        <row r="64">
          <cell r="B64" t="str">
            <v xml:space="preserve">Francia </v>
          </cell>
          <cell r="C64">
            <v>53445743</v>
          </cell>
          <cell r="D64">
            <v>50659526</v>
          </cell>
          <cell r="E64">
            <v>15130542</v>
          </cell>
          <cell r="F64">
            <v>18162752</v>
          </cell>
        </row>
        <row r="65">
          <cell r="B65" t="str">
            <v xml:space="preserve">Italia </v>
          </cell>
          <cell r="C65">
            <v>61338381</v>
          </cell>
          <cell r="D65">
            <v>89674475</v>
          </cell>
          <cell r="E65">
            <v>15552938</v>
          </cell>
          <cell r="F65">
            <v>31422439</v>
          </cell>
        </row>
        <row r="66">
          <cell r="B66" t="str">
            <v xml:space="preserve">Países Bajos </v>
          </cell>
          <cell r="C66">
            <v>18055171</v>
          </cell>
          <cell r="D66">
            <v>12647090</v>
          </cell>
          <cell r="E66">
            <v>1707036</v>
          </cell>
          <cell r="F66">
            <v>6305882</v>
          </cell>
        </row>
        <row r="67">
          <cell r="B67" t="str">
            <v xml:space="preserve">Reino Unido </v>
          </cell>
          <cell r="C67">
            <v>33360669</v>
          </cell>
          <cell r="D67">
            <v>40544761</v>
          </cell>
          <cell r="E67">
            <v>9106558</v>
          </cell>
          <cell r="F67">
            <v>11451079</v>
          </cell>
        </row>
        <row r="68">
          <cell r="B68" t="str">
            <v xml:space="preserve">Suecia </v>
          </cell>
          <cell r="C68">
            <v>29167265</v>
          </cell>
          <cell r="D68">
            <v>14152547</v>
          </cell>
          <cell r="E68">
            <v>7405946</v>
          </cell>
          <cell r="F68">
            <v>3686891</v>
          </cell>
        </row>
        <row r="69">
          <cell r="B69" t="str">
            <v xml:space="preserve">Resto </v>
          </cell>
          <cell r="C69">
            <v>29823212</v>
          </cell>
          <cell r="D69">
            <v>27748290</v>
          </cell>
          <cell r="E69">
            <v>9487508</v>
          </cell>
          <cell r="F69">
            <v>6660200</v>
          </cell>
        </row>
        <row r="83">
          <cell r="B83" t="str">
            <v>Corea del Sur</v>
          </cell>
          <cell r="C83">
            <v>100021961</v>
          </cell>
          <cell r="D83">
            <v>100231184</v>
          </cell>
          <cell r="E83">
            <v>27989465</v>
          </cell>
          <cell r="F83">
            <v>34202502</v>
          </cell>
        </row>
        <row r="84">
          <cell r="B84" t="str">
            <v xml:space="preserve">China </v>
          </cell>
          <cell r="C84">
            <v>336561248</v>
          </cell>
          <cell r="D84">
            <v>320566623</v>
          </cell>
          <cell r="E84">
            <v>83967078</v>
          </cell>
          <cell r="F84">
            <v>94021263</v>
          </cell>
        </row>
        <row r="85">
          <cell r="B85" t="str">
            <v xml:space="preserve">Japón </v>
          </cell>
          <cell r="C85">
            <v>156736544</v>
          </cell>
          <cell r="D85">
            <v>125801549</v>
          </cell>
          <cell r="E85">
            <v>38424845</v>
          </cell>
          <cell r="F85">
            <v>39830917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resumen_pais_alta_tek"/>
    </sheetNames>
    <sheetDataSet>
      <sheetData sheetId="0">
        <row r="7">
          <cell r="B7" t="str">
            <v>Ecuador</v>
          </cell>
          <cell r="C7">
            <v>7606315</v>
          </cell>
          <cell r="D7">
            <v>5689478</v>
          </cell>
          <cell r="E7">
            <v>1920291</v>
          </cell>
          <cell r="F7">
            <v>2123351</v>
          </cell>
        </row>
        <row r="8">
          <cell r="B8" t="str">
            <v xml:space="preserve">Perú </v>
          </cell>
          <cell r="C8">
            <v>607746</v>
          </cell>
          <cell r="D8">
            <v>2379232</v>
          </cell>
          <cell r="E8">
            <v>10280</v>
          </cell>
          <cell r="F8">
            <v>704645</v>
          </cell>
        </row>
        <row r="23">
          <cell r="B23" t="str">
            <v xml:space="preserve">Brasil </v>
          </cell>
          <cell r="C23">
            <v>75673889</v>
          </cell>
          <cell r="D23">
            <v>63936097</v>
          </cell>
          <cell r="E23">
            <v>15912448</v>
          </cell>
          <cell r="F23">
            <v>20631119</v>
          </cell>
        </row>
        <row r="24">
          <cell r="B24" t="str">
            <v xml:space="preserve">Cuba </v>
          </cell>
          <cell r="C24">
            <v>384</v>
          </cell>
          <cell r="D24">
            <v>486</v>
          </cell>
          <cell r="E24">
            <v>0</v>
          </cell>
          <cell r="F24">
            <v>486</v>
          </cell>
        </row>
        <row r="25">
          <cell r="B25" t="str">
            <v xml:space="preserve">Chile </v>
          </cell>
          <cell r="C25">
            <v>3408377</v>
          </cell>
          <cell r="D25">
            <v>2056491</v>
          </cell>
          <cell r="E25">
            <v>805018</v>
          </cell>
          <cell r="F25">
            <v>398074</v>
          </cell>
        </row>
        <row r="26">
          <cell r="B26" t="str">
            <v xml:space="preserve">México </v>
          </cell>
          <cell r="C26">
            <v>277898080</v>
          </cell>
          <cell r="D26">
            <v>226921217</v>
          </cell>
          <cell r="E26">
            <v>76188643</v>
          </cell>
          <cell r="F26">
            <v>76517406</v>
          </cell>
        </row>
        <row r="27">
          <cell r="B27" t="str">
            <v xml:space="preserve">Paraguay </v>
          </cell>
          <cell r="C27">
            <v>1211894</v>
          </cell>
          <cell r="D27">
            <v>1570606</v>
          </cell>
          <cell r="E27">
            <v>135194</v>
          </cell>
          <cell r="F27">
            <v>474206</v>
          </cell>
        </row>
        <row r="28">
          <cell r="B28" t="str">
            <v xml:space="preserve">Uruguay </v>
          </cell>
          <cell r="C28">
            <v>1372184</v>
          </cell>
          <cell r="D28">
            <v>2377922</v>
          </cell>
          <cell r="E28">
            <v>329598</v>
          </cell>
          <cell r="F28">
            <v>205822</v>
          </cell>
        </row>
        <row r="29">
          <cell r="B29" t="str">
            <v>Venezuela</v>
          </cell>
          <cell r="C29">
            <v>1440152</v>
          </cell>
          <cell r="D29">
            <v>1104431</v>
          </cell>
          <cell r="E29">
            <v>356004</v>
          </cell>
          <cell r="F29">
            <v>937100</v>
          </cell>
        </row>
        <row r="43">
          <cell r="B43" t="str">
            <v xml:space="preserve">Canadá </v>
          </cell>
          <cell r="C43">
            <v>30630729</v>
          </cell>
          <cell r="D43">
            <v>40326230</v>
          </cell>
          <cell r="E43">
            <v>5146133</v>
          </cell>
          <cell r="F43">
            <v>17373943</v>
          </cell>
        </row>
        <row r="44">
          <cell r="B44" t="str">
            <v>Estados Unidos</v>
          </cell>
          <cell r="C44">
            <v>372969007</v>
          </cell>
          <cell r="D44">
            <v>962635216</v>
          </cell>
          <cell r="E44">
            <v>85343065</v>
          </cell>
          <cell r="F44">
            <v>214279984</v>
          </cell>
        </row>
        <row r="58">
          <cell r="B58" t="str">
            <v xml:space="preserve">Alemania </v>
          </cell>
          <cell r="C58">
            <v>126123152</v>
          </cell>
          <cell r="D58">
            <v>194799819</v>
          </cell>
          <cell r="E58">
            <v>28604433</v>
          </cell>
          <cell r="F58">
            <v>44090878</v>
          </cell>
        </row>
        <row r="59">
          <cell r="B59" t="str">
            <v xml:space="preserve">Austria </v>
          </cell>
          <cell r="C59">
            <v>6871548</v>
          </cell>
          <cell r="D59">
            <v>11665810</v>
          </cell>
          <cell r="E59">
            <v>2516650</v>
          </cell>
          <cell r="F59">
            <v>3288988</v>
          </cell>
        </row>
        <row r="60">
          <cell r="B60" t="str">
            <v xml:space="preserve">Bélgica </v>
          </cell>
          <cell r="C60">
            <v>29157044</v>
          </cell>
          <cell r="D60">
            <v>30295433</v>
          </cell>
          <cell r="E60">
            <v>3709512</v>
          </cell>
          <cell r="F60">
            <v>14681372</v>
          </cell>
        </row>
        <row r="61">
          <cell r="B61" t="str">
            <v xml:space="preserve">España </v>
          </cell>
          <cell r="C61">
            <v>23568082</v>
          </cell>
          <cell r="D61">
            <v>62605325</v>
          </cell>
          <cell r="E61">
            <v>6763435</v>
          </cell>
          <cell r="F61">
            <v>7559142</v>
          </cell>
        </row>
        <row r="62">
          <cell r="B62" t="str">
            <v xml:space="preserve">Finlandia </v>
          </cell>
          <cell r="C62">
            <v>8130217</v>
          </cell>
          <cell r="D62">
            <v>50114217</v>
          </cell>
          <cell r="E62">
            <v>2333740</v>
          </cell>
          <cell r="F62">
            <v>3555433</v>
          </cell>
        </row>
        <row r="63">
          <cell r="B63" t="str">
            <v xml:space="preserve">Francia </v>
          </cell>
          <cell r="C63">
            <v>149743648</v>
          </cell>
          <cell r="D63">
            <v>160310451</v>
          </cell>
          <cell r="E63">
            <v>53463231</v>
          </cell>
          <cell r="F63">
            <v>28602560</v>
          </cell>
        </row>
        <row r="64">
          <cell r="B64" t="str">
            <v xml:space="preserve">Irlanda </v>
          </cell>
          <cell r="C64">
            <v>17634835</v>
          </cell>
          <cell r="D64">
            <v>31577987</v>
          </cell>
          <cell r="E64">
            <v>3578223</v>
          </cell>
          <cell r="F64">
            <v>12044583</v>
          </cell>
        </row>
        <row r="65">
          <cell r="B65" t="str">
            <v xml:space="preserve">Italia </v>
          </cell>
          <cell r="C65">
            <v>40139811</v>
          </cell>
          <cell r="D65">
            <v>52781840</v>
          </cell>
          <cell r="E65">
            <v>9837776</v>
          </cell>
          <cell r="F65">
            <v>14731351</v>
          </cell>
        </row>
        <row r="66">
          <cell r="B66" t="str">
            <v xml:space="preserve">Países Bajos </v>
          </cell>
          <cell r="C66">
            <v>14062428</v>
          </cell>
          <cell r="D66">
            <v>13990001</v>
          </cell>
          <cell r="E66">
            <v>2685867</v>
          </cell>
          <cell r="F66">
            <v>3367755</v>
          </cell>
        </row>
        <row r="67">
          <cell r="B67" t="str">
            <v xml:space="preserve">Reino Unido </v>
          </cell>
          <cell r="C67">
            <v>37447901</v>
          </cell>
          <cell r="D67">
            <v>35500315</v>
          </cell>
          <cell r="E67">
            <v>13858293</v>
          </cell>
          <cell r="F67">
            <v>12768445</v>
          </cell>
        </row>
        <row r="68">
          <cell r="B68" t="str">
            <v xml:space="preserve">Resto </v>
          </cell>
          <cell r="C68">
            <v>20812126</v>
          </cell>
          <cell r="D68">
            <v>37921880</v>
          </cell>
          <cell r="E68">
            <v>4163374</v>
          </cell>
          <cell r="F68">
            <v>17718801</v>
          </cell>
        </row>
        <row r="82">
          <cell r="B82" t="str">
            <v>Corea del Sur</v>
          </cell>
          <cell r="C82">
            <v>25169592</v>
          </cell>
          <cell r="D82">
            <v>20515003</v>
          </cell>
          <cell r="E82">
            <v>2338224</v>
          </cell>
          <cell r="F82">
            <v>7333343</v>
          </cell>
        </row>
        <row r="83">
          <cell r="B83" t="str">
            <v xml:space="preserve">China </v>
          </cell>
          <cell r="C83">
            <v>751914163</v>
          </cell>
          <cell r="D83">
            <v>920113901</v>
          </cell>
          <cell r="E83">
            <v>196508010</v>
          </cell>
          <cell r="F83">
            <v>249086536</v>
          </cell>
        </row>
        <row r="84">
          <cell r="B84" t="str">
            <v xml:space="preserve">Japón </v>
          </cell>
          <cell r="C84">
            <v>47340418</v>
          </cell>
          <cell r="D84">
            <v>44938570</v>
          </cell>
          <cell r="E84">
            <v>12651951</v>
          </cell>
          <cell r="F84">
            <v>12888515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Historico"/>
    </sheetNames>
    <sheetDataSet>
      <sheetData sheetId="0">
        <row r="7">
          <cell r="E7">
            <v>1365154295</v>
          </cell>
          <cell r="F7">
            <v>1175533729</v>
          </cell>
          <cell r="G7">
            <v>1580149736</v>
          </cell>
          <cell r="H7">
            <v>2203754260</v>
          </cell>
          <cell r="I7">
            <v>2415505622</v>
          </cell>
        </row>
        <row r="8">
          <cell r="E8">
            <v>1087848133</v>
          </cell>
          <cell r="F8">
            <v>1168950225</v>
          </cell>
          <cell r="G8">
            <v>1529446422</v>
          </cell>
          <cell r="H8">
            <v>1764577110</v>
          </cell>
          <cell r="I8">
            <v>2273542149</v>
          </cell>
        </row>
        <row r="9">
          <cell r="E9">
            <v>1024142943</v>
          </cell>
          <cell r="F9">
            <v>1516204131</v>
          </cell>
          <cell r="G9">
            <v>2119086497</v>
          </cell>
          <cell r="H9">
            <v>2350794512</v>
          </cell>
          <cell r="I9">
            <v>2265269940</v>
          </cell>
        </row>
        <row r="10">
          <cell r="E10">
            <v>1164941495</v>
          </cell>
          <cell r="F10">
            <v>1325559384</v>
          </cell>
          <cell r="G10">
            <v>2120460731</v>
          </cell>
          <cell r="H10">
            <v>2055182948</v>
          </cell>
          <cell r="I10">
            <v>2553048355</v>
          </cell>
        </row>
        <row r="11">
          <cell r="E11">
            <v>981429242</v>
          </cell>
          <cell r="F11">
            <v>1399509950</v>
          </cell>
          <cell r="G11">
            <v>2516467684</v>
          </cell>
          <cell r="H11">
            <v>2770972564</v>
          </cell>
        </row>
        <row r="12">
          <cell r="E12">
            <v>998382557</v>
          </cell>
          <cell r="F12">
            <v>1361948779</v>
          </cell>
          <cell r="G12">
            <v>1860327830</v>
          </cell>
          <cell r="H12">
            <v>2319822366</v>
          </cell>
        </row>
        <row r="13">
          <cell r="E13">
            <v>1374549686</v>
          </cell>
          <cell r="F13">
            <v>1523659805</v>
          </cell>
          <cell r="G13">
            <v>1851208971</v>
          </cell>
          <cell r="H13">
            <v>2470938136</v>
          </cell>
        </row>
        <row r="14">
          <cell r="E14">
            <v>1101823615</v>
          </cell>
          <cell r="F14">
            <v>1556157787</v>
          </cell>
          <cell r="G14">
            <v>1951941502</v>
          </cell>
          <cell r="H14">
            <v>2343876715</v>
          </cell>
        </row>
        <row r="15">
          <cell r="E15">
            <v>1166823037</v>
          </cell>
          <cell r="F15">
            <v>1794200102</v>
          </cell>
          <cell r="G15">
            <v>2456372410</v>
          </cell>
          <cell r="H15">
            <v>2338282475</v>
          </cell>
        </row>
        <row r="16">
          <cell r="E16">
            <v>1265998249</v>
          </cell>
          <cell r="F16">
            <v>1619319872</v>
          </cell>
          <cell r="G16">
            <v>2418381790</v>
          </cell>
          <cell r="H16">
            <v>2540633237</v>
          </cell>
        </row>
        <row r="17">
          <cell r="E17">
            <v>1112431555</v>
          </cell>
          <cell r="F17">
            <v>1755104619</v>
          </cell>
          <cell r="G17">
            <v>2635060707</v>
          </cell>
          <cell r="H17">
            <v>2477109905</v>
          </cell>
        </row>
        <row r="18">
          <cell r="E18">
            <v>1328639623</v>
          </cell>
          <cell r="F18">
            <v>1889315560</v>
          </cell>
          <cell r="G18">
            <v>2127322192</v>
          </cell>
          <cell r="H18">
            <v>2166109779</v>
          </cell>
        </row>
        <row r="32">
          <cell r="E32">
            <v>38668282</v>
          </cell>
          <cell r="F32">
            <v>43958783</v>
          </cell>
          <cell r="G32">
            <v>55337090</v>
          </cell>
          <cell r="H32">
            <v>92808129</v>
          </cell>
          <cell r="I32">
            <v>116746386</v>
          </cell>
        </row>
        <row r="33">
          <cell r="E33">
            <v>28670425</v>
          </cell>
          <cell r="F33">
            <v>47190815</v>
          </cell>
          <cell r="G33">
            <v>48115483</v>
          </cell>
          <cell r="H33">
            <v>83469507</v>
          </cell>
          <cell r="I33">
            <v>87666587</v>
          </cell>
        </row>
        <row r="34">
          <cell r="E34">
            <v>46714812</v>
          </cell>
          <cell r="F34">
            <v>59482695</v>
          </cell>
          <cell r="G34">
            <v>52523979</v>
          </cell>
          <cell r="H34">
            <v>79542222</v>
          </cell>
          <cell r="I34">
            <v>60793436</v>
          </cell>
        </row>
        <row r="35">
          <cell r="E35">
            <v>37528329</v>
          </cell>
          <cell r="F35">
            <v>67349545</v>
          </cell>
          <cell r="G35">
            <v>77568853</v>
          </cell>
          <cell r="H35">
            <v>75211976</v>
          </cell>
          <cell r="I35">
            <v>96570777</v>
          </cell>
        </row>
        <row r="36">
          <cell r="E36">
            <v>35578635</v>
          </cell>
          <cell r="F36">
            <v>44573290</v>
          </cell>
          <cell r="G36">
            <v>85809922</v>
          </cell>
          <cell r="H36">
            <v>114110353</v>
          </cell>
        </row>
        <row r="37">
          <cell r="E37">
            <v>43399468</v>
          </cell>
          <cell r="F37">
            <v>52674779</v>
          </cell>
          <cell r="G37">
            <v>75768917</v>
          </cell>
          <cell r="H37">
            <v>114928698</v>
          </cell>
        </row>
        <row r="38">
          <cell r="E38">
            <v>50850553</v>
          </cell>
          <cell r="F38">
            <v>53804777</v>
          </cell>
          <cell r="G38">
            <v>61378848</v>
          </cell>
          <cell r="H38">
            <v>89452392</v>
          </cell>
        </row>
        <row r="39">
          <cell r="E39">
            <v>40015101</v>
          </cell>
          <cell r="F39">
            <v>52476966</v>
          </cell>
          <cell r="G39">
            <v>65932363</v>
          </cell>
          <cell r="H39">
            <v>102877953</v>
          </cell>
        </row>
        <row r="40">
          <cell r="E40">
            <v>34030462</v>
          </cell>
          <cell r="F40">
            <v>59125891</v>
          </cell>
          <cell r="G40">
            <v>80113670</v>
          </cell>
          <cell r="H40">
            <v>111798878</v>
          </cell>
        </row>
        <row r="41">
          <cell r="E41">
            <v>44752462</v>
          </cell>
          <cell r="F41">
            <v>41996589</v>
          </cell>
          <cell r="G41">
            <v>74314529</v>
          </cell>
          <cell r="H41">
            <v>102764410</v>
          </cell>
        </row>
        <row r="42">
          <cell r="E42">
            <v>40384564</v>
          </cell>
          <cell r="F42">
            <v>56922102</v>
          </cell>
          <cell r="G42">
            <v>83698133</v>
          </cell>
          <cell r="H42">
            <v>95176208</v>
          </cell>
        </row>
        <row r="43">
          <cell r="E43">
            <v>51826391</v>
          </cell>
          <cell r="F43">
            <v>55981636</v>
          </cell>
          <cell r="G43">
            <v>78121905</v>
          </cell>
          <cell r="H43">
            <v>126964303</v>
          </cell>
        </row>
        <row r="57">
          <cell r="E57">
            <v>1317747403</v>
          </cell>
          <cell r="F57">
            <v>1124191757</v>
          </cell>
          <cell r="G57">
            <v>1516037904</v>
          </cell>
          <cell r="H57">
            <v>2102508921</v>
          </cell>
          <cell r="I57">
            <v>2287742104</v>
          </cell>
        </row>
        <row r="58">
          <cell r="E58">
            <v>1052961249</v>
          </cell>
          <cell r="F58">
            <v>1115019081</v>
          </cell>
          <cell r="G58">
            <v>1473344190</v>
          </cell>
          <cell r="H58">
            <v>1673069563</v>
          </cell>
          <cell r="I58">
            <v>2178897375</v>
          </cell>
        </row>
        <row r="59">
          <cell r="E59">
            <v>971718358</v>
          </cell>
          <cell r="F59">
            <v>1445815370</v>
          </cell>
          <cell r="G59">
            <v>2056666272</v>
          </cell>
          <cell r="H59">
            <v>2260742225</v>
          </cell>
          <cell r="I59">
            <v>2195935482</v>
          </cell>
        </row>
        <row r="60">
          <cell r="E60">
            <v>1122003913</v>
          </cell>
          <cell r="F60">
            <v>1246520870</v>
          </cell>
          <cell r="G60">
            <v>2034620977</v>
          </cell>
          <cell r="H60">
            <v>1971785706</v>
          </cell>
          <cell r="I60">
            <v>2446764373</v>
          </cell>
        </row>
        <row r="61">
          <cell r="E61">
            <v>942356146</v>
          </cell>
          <cell r="F61">
            <v>1345434754</v>
          </cell>
          <cell r="G61">
            <v>2424225397</v>
          </cell>
          <cell r="H61">
            <v>2649267035</v>
          </cell>
        </row>
        <row r="62">
          <cell r="E62">
            <v>948937210</v>
          </cell>
          <cell r="F62">
            <v>1301451678</v>
          </cell>
          <cell r="G62">
            <v>1779031930</v>
          </cell>
          <cell r="H62">
            <v>2198745703</v>
          </cell>
        </row>
        <row r="63">
          <cell r="E63">
            <v>1316649748</v>
          </cell>
          <cell r="F63">
            <v>1461994894</v>
          </cell>
          <cell r="G63">
            <v>1779370795</v>
          </cell>
          <cell r="H63">
            <v>2373163383</v>
          </cell>
        </row>
        <row r="64">
          <cell r="E64">
            <v>1055355927</v>
          </cell>
          <cell r="F64">
            <v>1494208519</v>
          </cell>
          <cell r="G64">
            <v>1875126387</v>
          </cell>
          <cell r="H64">
            <v>2229783987</v>
          </cell>
        </row>
        <row r="65">
          <cell r="E65">
            <v>1126720063</v>
          </cell>
          <cell r="F65">
            <v>1727140667</v>
          </cell>
          <cell r="G65">
            <v>2369503682</v>
          </cell>
          <cell r="H65">
            <v>2216540011</v>
          </cell>
        </row>
        <row r="66">
          <cell r="E66">
            <v>1215402979</v>
          </cell>
          <cell r="F66">
            <v>1570175130</v>
          </cell>
          <cell r="G66">
            <v>2336635551</v>
          </cell>
          <cell r="H66">
            <v>2429161510</v>
          </cell>
        </row>
        <row r="67">
          <cell r="E67">
            <v>1064666753</v>
          </cell>
          <cell r="F67">
            <v>1690064499</v>
          </cell>
          <cell r="G67">
            <v>2539767854</v>
          </cell>
          <cell r="H67">
            <v>2375109570</v>
          </cell>
        </row>
        <row r="68">
          <cell r="E68">
            <v>1268584965</v>
          </cell>
          <cell r="F68">
            <v>1823558672</v>
          </cell>
          <cell r="G68">
            <v>2038868160</v>
          </cell>
          <cell r="H68">
            <v>2028755906</v>
          </cell>
        </row>
        <row r="82">
          <cell r="E82">
            <v>106041322</v>
          </cell>
          <cell r="F82">
            <v>102461524</v>
          </cell>
          <cell r="G82">
            <v>182613956</v>
          </cell>
          <cell r="H82">
            <v>575358286</v>
          </cell>
          <cell r="I82">
            <v>604419335</v>
          </cell>
        </row>
        <row r="83">
          <cell r="E83">
            <v>85321374</v>
          </cell>
          <cell r="F83">
            <v>98130954</v>
          </cell>
          <cell r="G83">
            <v>143248534</v>
          </cell>
          <cell r="H83">
            <v>176565260</v>
          </cell>
          <cell r="I83">
            <v>442873442</v>
          </cell>
        </row>
        <row r="84">
          <cell r="E84">
            <v>101777687</v>
          </cell>
          <cell r="F84">
            <v>137346865</v>
          </cell>
          <cell r="G84">
            <v>177827240</v>
          </cell>
          <cell r="H84">
            <v>512287817</v>
          </cell>
          <cell r="I84">
            <v>494513153</v>
          </cell>
        </row>
        <row r="85">
          <cell r="E85">
            <v>91814466</v>
          </cell>
          <cell r="F85">
            <v>135422771</v>
          </cell>
          <cell r="G85">
            <v>497908619</v>
          </cell>
          <cell r="H85">
            <v>364492325</v>
          </cell>
          <cell r="I85">
            <v>477621602</v>
          </cell>
        </row>
        <row r="86">
          <cell r="E86">
            <v>94888999</v>
          </cell>
          <cell r="F86">
            <v>143319278</v>
          </cell>
          <cell r="G86">
            <v>435501179</v>
          </cell>
          <cell r="H86">
            <v>727465937</v>
          </cell>
        </row>
        <row r="87">
          <cell r="E87">
            <v>95849572</v>
          </cell>
          <cell r="F87">
            <v>143883299</v>
          </cell>
          <cell r="G87">
            <v>168293944</v>
          </cell>
          <cell r="H87">
            <v>556587226</v>
          </cell>
        </row>
        <row r="88">
          <cell r="E88">
            <v>106620969</v>
          </cell>
          <cell r="F88">
            <v>150021198</v>
          </cell>
          <cell r="G88">
            <v>157683704</v>
          </cell>
          <cell r="H88">
            <v>625053411</v>
          </cell>
        </row>
        <row r="89">
          <cell r="E89">
            <v>107776649</v>
          </cell>
          <cell r="F89">
            <v>166188832</v>
          </cell>
          <cell r="G89">
            <v>174044219</v>
          </cell>
          <cell r="H89">
            <v>319165958</v>
          </cell>
        </row>
        <row r="90">
          <cell r="E90">
            <v>106417785</v>
          </cell>
          <cell r="F90">
            <v>188452735</v>
          </cell>
          <cell r="G90">
            <v>432415363</v>
          </cell>
          <cell r="H90">
            <v>561087992</v>
          </cell>
        </row>
        <row r="91">
          <cell r="E91">
            <v>113913602</v>
          </cell>
          <cell r="F91">
            <v>232461015</v>
          </cell>
          <cell r="G91">
            <v>387531520</v>
          </cell>
          <cell r="H91">
            <v>459116213</v>
          </cell>
        </row>
        <row r="92">
          <cell r="E92">
            <v>117345350</v>
          </cell>
          <cell r="F92">
            <v>147210411</v>
          </cell>
          <cell r="G92">
            <v>529769705</v>
          </cell>
          <cell r="H92">
            <v>464014637</v>
          </cell>
        </row>
        <row r="93">
          <cell r="E93">
            <v>121744673</v>
          </cell>
          <cell r="F93">
            <v>326099767</v>
          </cell>
          <cell r="G93">
            <v>157494793</v>
          </cell>
          <cell r="H93">
            <v>265111611</v>
          </cell>
        </row>
        <row r="107">
          <cell r="E107">
            <v>185395669</v>
          </cell>
          <cell r="F107">
            <v>128124262</v>
          </cell>
          <cell r="G107">
            <v>205996210</v>
          </cell>
          <cell r="H107">
            <v>273672777</v>
          </cell>
          <cell r="I107">
            <v>262534548</v>
          </cell>
        </row>
        <row r="108">
          <cell r="E108">
            <v>127712198</v>
          </cell>
          <cell r="F108">
            <v>158815571</v>
          </cell>
          <cell r="G108">
            <v>212246035</v>
          </cell>
          <cell r="H108">
            <v>286304862</v>
          </cell>
          <cell r="I108">
            <v>265050857</v>
          </cell>
        </row>
        <row r="109">
          <cell r="E109">
            <v>117754178</v>
          </cell>
          <cell r="F109">
            <v>189945907</v>
          </cell>
          <cell r="G109">
            <v>242006950</v>
          </cell>
          <cell r="H109">
            <v>281214103</v>
          </cell>
          <cell r="I109">
            <v>262956152</v>
          </cell>
        </row>
        <row r="110">
          <cell r="E110">
            <v>125964979</v>
          </cell>
          <cell r="F110">
            <v>160877749</v>
          </cell>
          <cell r="G110">
            <v>254922442</v>
          </cell>
          <cell r="H110">
            <v>276488184</v>
          </cell>
          <cell r="I110">
            <v>296023733</v>
          </cell>
        </row>
        <row r="111">
          <cell r="E111">
            <v>109471045</v>
          </cell>
          <cell r="F111">
            <v>158416368</v>
          </cell>
          <cell r="G111">
            <v>315229433</v>
          </cell>
          <cell r="H111">
            <v>302431929</v>
          </cell>
        </row>
        <row r="112">
          <cell r="E112">
            <v>122924665</v>
          </cell>
          <cell r="F112">
            <v>196421229</v>
          </cell>
          <cell r="G112">
            <v>268192921</v>
          </cell>
          <cell r="H112">
            <v>290539850</v>
          </cell>
        </row>
        <row r="113">
          <cell r="E113">
            <v>142199203</v>
          </cell>
          <cell r="F113">
            <v>224740332</v>
          </cell>
          <cell r="G113">
            <v>280183505</v>
          </cell>
          <cell r="H113">
            <v>353090292</v>
          </cell>
        </row>
        <row r="114">
          <cell r="E114">
            <v>136700203</v>
          </cell>
          <cell r="F114">
            <v>228667538</v>
          </cell>
          <cell r="G114">
            <v>315190322</v>
          </cell>
          <cell r="H114">
            <v>361305244</v>
          </cell>
        </row>
        <row r="115">
          <cell r="E115">
            <v>153863444</v>
          </cell>
          <cell r="F115">
            <v>260890746</v>
          </cell>
          <cell r="G115">
            <v>311203645</v>
          </cell>
          <cell r="H115">
            <v>327293836</v>
          </cell>
        </row>
        <row r="116">
          <cell r="E116">
            <v>157769708</v>
          </cell>
          <cell r="F116">
            <v>259159730</v>
          </cell>
          <cell r="G116">
            <v>339990449</v>
          </cell>
          <cell r="H116">
            <v>351976342</v>
          </cell>
        </row>
        <row r="117">
          <cell r="E117">
            <v>144802286</v>
          </cell>
          <cell r="F117">
            <v>255131992</v>
          </cell>
          <cell r="G117">
            <v>334431662</v>
          </cell>
          <cell r="H117">
            <v>316512546</v>
          </cell>
        </row>
        <row r="118">
          <cell r="E118">
            <v>175981752</v>
          </cell>
          <cell r="F118">
            <v>236751499</v>
          </cell>
          <cell r="G118">
            <v>361859993</v>
          </cell>
          <cell r="H118">
            <v>308630228</v>
          </cell>
        </row>
        <row r="132">
          <cell r="E132">
            <v>385681219</v>
          </cell>
          <cell r="F132">
            <v>332777555</v>
          </cell>
          <cell r="G132">
            <v>532646096</v>
          </cell>
          <cell r="H132">
            <v>701450697</v>
          </cell>
          <cell r="I132">
            <v>669677186</v>
          </cell>
        </row>
        <row r="133">
          <cell r="E133">
            <v>319586945</v>
          </cell>
          <cell r="F133">
            <v>352404042</v>
          </cell>
          <cell r="G133">
            <v>558454830</v>
          </cell>
          <cell r="H133">
            <v>656636091</v>
          </cell>
          <cell r="I133">
            <v>592464699</v>
          </cell>
        </row>
        <row r="134">
          <cell r="E134">
            <v>313553589</v>
          </cell>
          <cell r="F134">
            <v>435926877</v>
          </cell>
          <cell r="G134">
            <v>683946753</v>
          </cell>
          <cell r="H134">
            <v>835439440</v>
          </cell>
          <cell r="I134">
            <v>625417592</v>
          </cell>
        </row>
        <row r="135">
          <cell r="E135">
            <v>304515036</v>
          </cell>
          <cell r="F135">
            <v>415839396</v>
          </cell>
          <cell r="G135">
            <v>677894392</v>
          </cell>
          <cell r="H135">
            <v>724824870</v>
          </cell>
          <cell r="I135">
            <v>809200296</v>
          </cell>
        </row>
        <row r="136">
          <cell r="E136">
            <v>272696479</v>
          </cell>
          <cell r="F136">
            <v>412747434</v>
          </cell>
          <cell r="G136">
            <v>796885276</v>
          </cell>
          <cell r="H136">
            <v>851884876</v>
          </cell>
        </row>
        <row r="137">
          <cell r="E137">
            <v>279702248</v>
          </cell>
          <cell r="F137">
            <v>483927327</v>
          </cell>
          <cell r="G137">
            <v>630271175</v>
          </cell>
          <cell r="H137">
            <v>761350088</v>
          </cell>
        </row>
        <row r="138">
          <cell r="E138">
            <v>359357214</v>
          </cell>
          <cell r="F138">
            <v>462481727</v>
          </cell>
          <cell r="G138">
            <v>648267582</v>
          </cell>
          <cell r="H138">
            <v>746241349</v>
          </cell>
        </row>
        <row r="139">
          <cell r="E139">
            <v>293921181</v>
          </cell>
          <cell r="F139">
            <v>469910598</v>
          </cell>
          <cell r="G139">
            <v>719836129</v>
          </cell>
          <cell r="H139">
            <v>837147908</v>
          </cell>
        </row>
        <row r="140">
          <cell r="E140">
            <v>337850086</v>
          </cell>
          <cell r="F140">
            <v>513445965</v>
          </cell>
          <cell r="G140">
            <v>824580631</v>
          </cell>
          <cell r="H140">
            <v>729018754</v>
          </cell>
        </row>
        <row r="141">
          <cell r="E141">
            <v>381155938</v>
          </cell>
          <cell r="F141">
            <v>621181922</v>
          </cell>
          <cell r="G141">
            <v>762930385</v>
          </cell>
          <cell r="H141">
            <v>787289755</v>
          </cell>
        </row>
        <row r="142">
          <cell r="E142">
            <v>341720873</v>
          </cell>
          <cell r="F142">
            <v>597664591</v>
          </cell>
          <cell r="G142">
            <v>880651038</v>
          </cell>
          <cell r="H142">
            <v>751251908</v>
          </cell>
        </row>
        <row r="143">
          <cell r="E143">
            <v>393343590</v>
          </cell>
          <cell r="F143">
            <v>698984072</v>
          </cell>
          <cell r="G143">
            <v>652504645</v>
          </cell>
          <cell r="H143">
            <v>701382265</v>
          </cell>
        </row>
        <row r="157">
          <cell r="E157">
            <v>640629193</v>
          </cell>
          <cell r="F157">
            <v>560828415</v>
          </cell>
          <cell r="G157">
            <v>594781642</v>
          </cell>
          <cell r="H157">
            <v>552027161</v>
          </cell>
          <cell r="I157">
            <v>751111034</v>
          </cell>
        </row>
        <row r="158">
          <cell r="E158">
            <v>520340732</v>
          </cell>
          <cell r="F158">
            <v>505668514</v>
          </cell>
          <cell r="G158">
            <v>559394792</v>
          </cell>
          <cell r="H158">
            <v>553563350</v>
          </cell>
          <cell r="I158">
            <v>878508377</v>
          </cell>
        </row>
        <row r="159">
          <cell r="E159">
            <v>438632904</v>
          </cell>
          <cell r="F159">
            <v>682595721</v>
          </cell>
          <cell r="G159">
            <v>952885329</v>
          </cell>
          <cell r="H159">
            <v>631800865</v>
          </cell>
          <cell r="I159">
            <v>813048584</v>
          </cell>
        </row>
        <row r="160">
          <cell r="E160">
            <v>599709432</v>
          </cell>
          <cell r="F160">
            <v>534380954</v>
          </cell>
          <cell r="G160">
            <v>603895524</v>
          </cell>
          <cell r="H160">
            <v>605980327</v>
          </cell>
          <cell r="I160">
            <v>863918743</v>
          </cell>
        </row>
        <row r="161">
          <cell r="E161">
            <v>465299623</v>
          </cell>
          <cell r="F161">
            <v>630951675</v>
          </cell>
          <cell r="G161">
            <v>876609509</v>
          </cell>
          <cell r="H161">
            <v>767484293</v>
          </cell>
        </row>
        <row r="162">
          <cell r="E162">
            <v>450460725</v>
          </cell>
          <cell r="F162">
            <v>477219823</v>
          </cell>
          <cell r="G162">
            <v>712273890</v>
          </cell>
          <cell r="H162">
            <v>590268539</v>
          </cell>
        </row>
        <row r="163">
          <cell r="E163">
            <v>708472362</v>
          </cell>
          <cell r="F163">
            <v>624751637</v>
          </cell>
          <cell r="G163">
            <v>693236004</v>
          </cell>
          <cell r="H163">
            <v>648778332</v>
          </cell>
        </row>
        <row r="164">
          <cell r="E164">
            <v>516957894</v>
          </cell>
          <cell r="F164">
            <v>629441552</v>
          </cell>
          <cell r="G164">
            <v>666055716</v>
          </cell>
          <cell r="H164">
            <v>712164876</v>
          </cell>
        </row>
        <row r="165">
          <cell r="E165">
            <v>528588748</v>
          </cell>
          <cell r="F165">
            <v>764351220</v>
          </cell>
          <cell r="G165">
            <v>801304043</v>
          </cell>
          <cell r="H165">
            <v>599139428</v>
          </cell>
        </row>
        <row r="166">
          <cell r="E166">
            <v>562563731</v>
          </cell>
          <cell r="F166">
            <v>457372463</v>
          </cell>
          <cell r="G166">
            <v>846183197</v>
          </cell>
          <cell r="H166">
            <v>830779200</v>
          </cell>
        </row>
        <row r="167">
          <cell r="E167">
            <v>460798245</v>
          </cell>
          <cell r="F167">
            <v>690057506</v>
          </cell>
          <cell r="G167">
            <v>794915449</v>
          </cell>
          <cell r="H167">
            <v>843330480</v>
          </cell>
        </row>
        <row r="168">
          <cell r="E168">
            <v>577514950</v>
          </cell>
          <cell r="F168">
            <v>561723333</v>
          </cell>
          <cell r="G168">
            <v>867008728</v>
          </cell>
          <cell r="H168">
            <v>753631802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</sheetNames>
    <sheetDataSet>
      <sheetData sheetId="0">
        <row r="41">
          <cell r="E41">
            <v>39904</v>
          </cell>
          <cell r="F41">
            <v>1223.4315620333364</v>
          </cell>
        </row>
        <row r="42">
          <cell r="E42">
            <v>39934</v>
          </cell>
          <cell r="F42">
            <v>1207.9435425225051</v>
          </cell>
        </row>
        <row r="43">
          <cell r="E43">
            <v>39965</v>
          </cell>
          <cell r="F43">
            <v>1192.3156023775061</v>
          </cell>
        </row>
        <row r="44">
          <cell r="E44">
            <v>39995</v>
          </cell>
          <cell r="F44">
            <v>1198.3028991725052</v>
          </cell>
        </row>
        <row r="45">
          <cell r="E45">
            <v>40026</v>
          </cell>
          <cell r="F45">
            <v>1195.9863133375045</v>
          </cell>
        </row>
        <row r="46">
          <cell r="E46">
            <v>40057</v>
          </cell>
          <cell r="F46">
            <v>1190.8347042625041</v>
          </cell>
        </row>
        <row r="47">
          <cell r="E47">
            <v>40087</v>
          </cell>
          <cell r="F47">
            <v>1183.8303715883355</v>
          </cell>
        </row>
        <row r="48">
          <cell r="E48">
            <v>40118</v>
          </cell>
          <cell r="F48">
            <v>1158.6841218266688</v>
          </cell>
        </row>
        <row r="49">
          <cell r="E49">
            <v>40148</v>
          </cell>
          <cell r="F49">
            <v>1164.3470357383364</v>
          </cell>
        </row>
        <row r="50">
          <cell r="E50">
            <v>40179</v>
          </cell>
          <cell r="F50">
            <v>1148.5453219616695</v>
          </cell>
        </row>
        <row r="51">
          <cell r="E51">
            <v>40210</v>
          </cell>
          <cell r="F51">
            <v>1155.3038296425023</v>
          </cell>
        </row>
        <row r="52">
          <cell r="E52">
            <v>40238</v>
          </cell>
          <cell r="F52">
            <v>1196.3089286683346</v>
          </cell>
        </row>
        <row r="53">
          <cell r="E53">
            <v>40269</v>
          </cell>
          <cell r="F53">
            <v>1209.6937527841649</v>
          </cell>
        </row>
        <row r="54">
          <cell r="E54">
            <v>40299</v>
          </cell>
          <cell r="F54">
            <v>1244.5338117974968</v>
          </cell>
        </row>
        <row r="55">
          <cell r="E55">
            <v>40330</v>
          </cell>
          <cell r="F55">
            <v>1274.8309969716627</v>
          </cell>
        </row>
        <row r="56">
          <cell r="E56">
            <v>40360</v>
          </cell>
          <cell r="F56">
            <v>1287.2568402033289</v>
          </cell>
        </row>
        <row r="57">
          <cell r="E57">
            <v>40391</v>
          </cell>
          <cell r="F57">
            <v>1325.1180212066643</v>
          </cell>
        </row>
        <row r="58">
          <cell r="E58">
            <v>40422</v>
          </cell>
          <cell r="F58">
            <v>1377.3994433024984</v>
          </cell>
        </row>
        <row r="59">
          <cell r="E59">
            <v>40452</v>
          </cell>
          <cell r="F59">
            <v>1406.8429118358347</v>
          </cell>
        </row>
        <row r="60">
          <cell r="E60">
            <v>40483</v>
          </cell>
          <cell r="F60">
            <v>1460.3990005350006</v>
          </cell>
        </row>
        <row r="61">
          <cell r="E61">
            <v>40513</v>
          </cell>
          <cell r="F61">
            <v>1507.1219952916672</v>
          </cell>
        </row>
        <row r="62">
          <cell r="E62">
            <v>40544</v>
          </cell>
          <cell r="F62">
            <v>1540.8399958133334</v>
          </cell>
        </row>
        <row r="63">
          <cell r="E63">
            <v>40575</v>
          </cell>
          <cell r="F63">
            <v>1570.8813455183329</v>
          </cell>
        </row>
        <row r="64">
          <cell r="E64">
            <v>40603</v>
          </cell>
          <cell r="F64">
            <v>1621.1215426583306</v>
          </cell>
        </row>
        <row r="65">
          <cell r="E65">
            <v>40634</v>
          </cell>
          <cell r="F65">
            <v>1687.3633215699986</v>
          </cell>
        </row>
        <row r="66">
          <cell r="E66">
            <v>40664</v>
          </cell>
          <cell r="F66">
            <v>1780.443132733333</v>
          </cell>
        </row>
        <row r="67">
          <cell r="E67">
            <v>40695</v>
          </cell>
          <cell r="F67">
            <v>1821.9747202991703</v>
          </cell>
        </row>
        <row r="68">
          <cell r="E68">
            <v>40725</v>
          </cell>
          <cell r="F68">
            <v>1849.270484158337</v>
          </cell>
        </row>
        <row r="69">
          <cell r="E69">
            <v>40756</v>
          </cell>
          <cell r="F69">
            <v>1882.2524604416694</v>
          </cell>
        </row>
        <row r="70">
          <cell r="E70">
            <v>40787</v>
          </cell>
          <cell r="F70">
            <v>1937.4334861383352</v>
          </cell>
        </row>
        <row r="71">
          <cell r="E71">
            <v>40817</v>
          </cell>
          <cell r="F71">
            <v>2004.0219793183339</v>
          </cell>
        </row>
        <row r="72">
          <cell r="E72">
            <v>40848</v>
          </cell>
          <cell r="F72">
            <v>2077.3516533033294</v>
          </cell>
        </row>
        <row r="73">
          <cell r="E73">
            <v>40878</v>
          </cell>
          <cell r="F73">
            <v>2097.1855392941625</v>
          </cell>
        </row>
        <row r="74">
          <cell r="E74">
            <v>40909</v>
          </cell>
          <cell r="F74">
            <v>2149.1525830099977</v>
          </cell>
        </row>
        <row r="75">
          <cell r="E75">
            <v>40940</v>
          </cell>
          <cell r="F75">
            <v>2168.7468070108312</v>
          </cell>
        </row>
        <row r="76">
          <cell r="E76">
            <v>40969</v>
          </cell>
          <cell r="F76">
            <v>2188.0558082441698</v>
          </cell>
        </row>
        <row r="77">
          <cell r="E77">
            <v>41000</v>
          </cell>
          <cell r="F77">
            <v>2182.6159930150047</v>
          </cell>
        </row>
        <row r="78">
          <cell r="E78">
            <v>41030</v>
          </cell>
          <cell r="F78">
            <v>2203.824732971671</v>
          </cell>
        </row>
        <row r="79">
          <cell r="E79">
            <v>41061</v>
          </cell>
          <cell r="F79">
            <v>2242.1159443216698</v>
          </cell>
        </row>
        <row r="80">
          <cell r="E80">
            <v>41091</v>
          </cell>
          <cell r="F80">
            <v>2293.7600414341691</v>
          </cell>
        </row>
        <row r="81">
          <cell r="E81">
            <v>41122</v>
          </cell>
          <cell r="F81">
            <v>2326.4213091658353</v>
          </cell>
        </row>
        <row r="82">
          <cell r="E82">
            <v>41153</v>
          </cell>
          <cell r="F82">
            <v>2316.5804811991675</v>
          </cell>
        </row>
        <row r="83">
          <cell r="E83">
            <v>41183</v>
          </cell>
          <cell r="F83">
            <v>2326.7681017925033</v>
          </cell>
        </row>
        <row r="84">
          <cell r="E84">
            <v>41214</v>
          </cell>
          <cell r="F84">
            <v>2313.6055350066745</v>
          </cell>
        </row>
        <row r="85">
          <cell r="E85">
            <v>41244</v>
          </cell>
          <cell r="F85">
            <v>2316.8378339650071</v>
          </cell>
        </row>
        <row r="86">
          <cell r="E86">
            <v>41275</v>
          </cell>
          <cell r="F86">
            <v>2334.4837807383406</v>
          </cell>
        </row>
        <row r="87">
          <cell r="E87">
            <v>41306</v>
          </cell>
          <cell r="F87">
            <v>2376.8975339875064</v>
          </cell>
        </row>
        <row r="88">
          <cell r="E88">
            <v>41334</v>
          </cell>
          <cell r="F88">
            <v>2369.7704863400018</v>
          </cell>
        </row>
        <row r="89">
          <cell r="E89">
            <v>41365</v>
          </cell>
          <cell r="F89">
            <v>2411.2592702600014</v>
          </cell>
        </row>
      </sheetData>
      <sheetData sheetId="1">
        <row r="41">
          <cell r="E41">
            <v>39904</v>
          </cell>
          <cell r="F41">
            <v>44.624840490833357</v>
          </cell>
        </row>
        <row r="42">
          <cell r="E42">
            <v>39934</v>
          </cell>
          <cell r="F42">
            <v>44.548843210000022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43.913446645000022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39.972839045833346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46.568289399999991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49.375460669999995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52.615218538333316</v>
          </cell>
        </row>
        <row r="61">
          <cell r="E61">
            <v>40513</v>
          </cell>
          <cell r="F61">
            <v>52.961488959166651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53.986736871666672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54.258452859166681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59.619350424999993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61.371806063333317</v>
          </cell>
        </row>
        <row r="70">
          <cell r="E70">
            <v>40787</v>
          </cell>
          <cell r="F70">
            <v>63.120787589999985</v>
          </cell>
        </row>
        <row r="71">
          <cell r="E71">
            <v>40817</v>
          </cell>
          <cell r="F71">
            <v>65.813949255833307</v>
          </cell>
        </row>
        <row r="72">
          <cell r="E72">
            <v>40848</v>
          </cell>
          <cell r="F72">
            <v>68.045285174166651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73.012894192499957</v>
          </cell>
        </row>
        <row r="75">
          <cell r="E75">
            <v>40940</v>
          </cell>
          <cell r="F75">
            <v>75.95906286499995</v>
          </cell>
        </row>
        <row r="76">
          <cell r="E76">
            <v>40969</v>
          </cell>
          <cell r="F76">
            <v>78.210583140833293</v>
          </cell>
        </row>
        <row r="77">
          <cell r="E77">
            <v>41000</v>
          </cell>
          <cell r="F77">
            <v>78.014176726666619</v>
          </cell>
        </row>
        <row r="78">
          <cell r="E78">
            <v>41030</v>
          </cell>
          <cell r="F78">
            <v>80.372545959999954</v>
          </cell>
        </row>
        <row r="79">
          <cell r="E79">
            <v>41061</v>
          </cell>
          <cell r="F79">
            <v>83.635861052499976</v>
          </cell>
        </row>
        <row r="80">
          <cell r="E80">
            <v>41091</v>
          </cell>
          <cell r="F80">
            <v>85.97532307583333</v>
          </cell>
        </row>
        <row r="81">
          <cell r="E81">
            <v>41122</v>
          </cell>
          <cell r="F81">
            <v>89.054122257500012</v>
          </cell>
        </row>
        <row r="82">
          <cell r="E82">
            <v>41153</v>
          </cell>
          <cell r="F82">
            <v>91.694556294999998</v>
          </cell>
        </row>
        <row r="83">
          <cell r="E83">
            <v>41183</v>
          </cell>
          <cell r="F83">
            <v>94.065379783333341</v>
          </cell>
        </row>
        <row r="84">
          <cell r="E84">
            <v>41214</v>
          </cell>
          <cell r="F84">
            <v>95.02188599583333</v>
          </cell>
        </row>
        <row r="85">
          <cell r="E85">
            <v>41244</v>
          </cell>
          <cell r="F85">
            <v>99.092085835000034</v>
          </cell>
        </row>
        <row r="86">
          <cell r="E86">
            <v>41275</v>
          </cell>
          <cell r="F86">
            <v>101.08694062416673</v>
          </cell>
        </row>
        <row r="87">
          <cell r="E87">
            <v>41306</v>
          </cell>
          <cell r="F87">
            <v>101.43669730833339</v>
          </cell>
        </row>
        <row r="88">
          <cell r="E88">
            <v>41334</v>
          </cell>
          <cell r="F88">
            <v>99.874298500000052</v>
          </cell>
        </row>
        <row r="89">
          <cell r="E89">
            <v>41365</v>
          </cell>
          <cell r="F89">
            <v>101.65419860500003</v>
          </cell>
        </row>
      </sheetData>
      <sheetData sheetId="2">
        <row r="41">
          <cell r="E41">
            <v>39904</v>
          </cell>
          <cell r="F41">
            <v>1171.5661133625003</v>
          </cell>
        </row>
        <row r="42">
          <cell r="E42">
            <v>39934</v>
          </cell>
          <cell r="F42">
            <v>1156.2825668891685</v>
          </cell>
        </row>
        <row r="43">
          <cell r="E43">
            <v>39965</v>
          </cell>
          <cell r="F43">
            <v>1140.6264679458359</v>
          </cell>
        </row>
        <row r="44">
          <cell r="E44">
            <v>39995</v>
          </cell>
          <cell r="F44">
            <v>1146.1626471058373</v>
          </cell>
        </row>
        <row r="45">
          <cell r="E45">
            <v>40026</v>
          </cell>
          <cell r="F45">
            <v>1145.3452232258371</v>
          </cell>
        </row>
        <row r="46">
          <cell r="E46">
            <v>40057</v>
          </cell>
          <cell r="F46">
            <v>1140.6453255608374</v>
          </cell>
        </row>
        <row r="47">
          <cell r="E47">
            <v>40087</v>
          </cell>
          <cell r="F47">
            <v>1134.9840937975032</v>
          </cell>
        </row>
        <row r="48">
          <cell r="E48">
            <v>40118</v>
          </cell>
          <cell r="F48">
            <v>1112.4658086566701</v>
          </cell>
        </row>
        <row r="49">
          <cell r="E49">
            <v>40148</v>
          </cell>
          <cell r="F49">
            <v>1116.9253928916698</v>
          </cell>
        </row>
        <row r="50">
          <cell r="E50">
            <v>40179</v>
          </cell>
          <cell r="F50">
            <v>1100.7957556533368</v>
          </cell>
        </row>
        <row r="51">
          <cell r="E51">
            <v>40210</v>
          </cell>
          <cell r="F51">
            <v>1105.9672416666704</v>
          </cell>
        </row>
        <row r="52">
          <cell r="E52">
            <v>40238</v>
          </cell>
          <cell r="F52">
            <v>1145.4753260208361</v>
          </cell>
        </row>
        <row r="53">
          <cell r="E53">
            <v>40269</v>
          </cell>
          <cell r="F53">
            <v>1155.8517391141668</v>
          </cell>
        </row>
        <row r="54">
          <cell r="E54">
            <v>40299</v>
          </cell>
          <cell r="F54">
            <v>1189.4416231024993</v>
          </cell>
        </row>
        <row r="55">
          <cell r="E55">
            <v>40330</v>
          </cell>
          <cell r="F55">
            <v>1218.8178287749979</v>
          </cell>
        </row>
        <row r="56">
          <cell r="E56">
            <v>40360</v>
          </cell>
          <cell r="F56">
            <v>1230.9299242574966</v>
          </cell>
        </row>
        <row r="57">
          <cell r="E57">
            <v>40391</v>
          </cell>
          <cell r="F57">
            <v>1267.5009736533304</v>
          </cell>
        </row>
        <row r="58">
          <cell r="E58">
            <v>40422</v>
          </cell>
          <cell r="F58">
            <v>1317.536024017498</v>
          </cell>
        </row>
        <row r="59">
          <cell r="E59">
            <v>40452</v>
          </cell>
          <cell r="F59">
            <v>1347.100369965</v>
          </cell>
        </row>
        <row r="60">
          <cell r="E60">
            <v>40483</v>
          </cell>
          <cell r="F60">
            <v>1399.2168487874987</v>
          </cell>
        </row>
        <row r="61">
          <cell r="E61">
            <v>40513</v>
          </cell>
          <cell r="F61">
            <v>1445.4646576641651</v>
          </cell>
        </row>
        <row r="62">
          <cell r="E62">
            <v>40544</v>
          </cell>
          <cell r="F62">
            <v>1478.1185033266645</v>
          </cell>
        </row>
        <row r="63">
          <cell r="E63">
            <v>40575</v>
          </cell>
          <cell r="F63">
            <v>1507.9789291358302</v>
          </cell>
        </row>
        <row r="64">
          <cell r="E64">
            <v>40603</v>
          </cell>
          <cell r="F64">
            <v>1558.8831709441617</v>
          </cell>
        </row>
        <row r="65">
          <cell r="E65">
            <v>40634</v>
          </cell>
          <cell r="F65">
            <v>1624.5581797983311</v>
          </cell>
        </row>
        <row r="66">
          <cell r="E66">
            <v>40664</v>
          </cell>
          <cell r="F66">
            <v>1714.4574000041666</v>
          </cell>
        </row>
        <row r="67">
          <cell r="E67">
            <v>40695</v>
          </cell>
          <cell r="F67">
            <v>1754.2557543758383</v>
          </cell>
        </row>
        <row r="68">
          <cell r="E68">
            <v>40725</v>
          </cell>
          <cell r="F68">
            <v>1780.7037461000043</v>
          </cell>
        </row>
        <row r="69">
          <cell r="E69">
            <v>40756</v>
          </cell>
          <cell r="F69">
            <v>1812.4469017466718</v>
          </cell>
        </row>
        <row r="70">
          <cell r="E70">
            <v>40787</v>
          </cell>
          <cell r="F70">
            <v>1865.9771529550051</v>
          </cell>
        </row>
        <row r="71">
          <cell r="E71">
            <v>40817</v>
          </cell>
          <cell r="F71">
            <v>1929.8488546625058</v>
          </cell>
        </row>
        <row r="72">
          <cell r="E72">
            <v>40848</v>
          </cell>
          <cell r="F72">
            <v>2000.6574675983372</v>
          </cell>
        </row>
        <row r="73">
          <cell r="E73">
            <v>40878</v>
          </cell>
          <cell r="F73">
            <v>2018.5999249633367</v>
          </cell>
        </row>
        <row r="74">
          <cell r="E74">
            <v>40909</v>
          </cell>
          <cell r="F74">
            <v>2067.4725096333368</v>
          </cell>
        </row>
        <row r="75">
          <cell r="E75">
            <v>40940</v>
          </cell>
          <cell r="F75">
            <v>2084.116290645004</v>
          </cell>
        </row>
        <row r="76">
          <cell r="E76">
            <v>40969</v>
          </cell>
          <cell r="F76">
            <v>2101.122620073339</v>
          </cell>
        </row>
        <row r="77">
          <cell r="E77">
            <v>41000</v>
          </cell>
          <cell r="F77">
            <v>2095.8863475483399</v>
          </cell>
        </row>
        <row r="78">
          <cell r="E78">
            <v>41030</v>
          </cell>
          <cell r="F78">
            <v>2114.6398173775028</v>
          </cell>
        </row>
        <row r="79">
          <cell r="E79">
            <v>41061</v>
          </cell>
          <cell r="F79">
            <v>2149.615965093335</v>
          </cell>
        </row>
        <row r="80">
          <cell r="E80">
            <v>41091</v>
          </cell>
          <cell r="F80">
            <v>2199.0986808050015</v>
          </cell>
        </row>
        <row r="81">
          <cell r="E81">
            <v>41122</v>
          </cell>
          <cell r="F81">
            <v>2228.6534807641683</v>
          </cell>
        </row>
        <row r="82">
          <cell r="E82">
            <v>41153</v>
          </cell>
          <cell r="F82">
            <v>2215.9065081641688</v>
          </cell>
        </row>
        <row r="83">
          <cell r="E83">
            <v>41183</v>
          </cell>
          <cell r="F83">
            <v>2223.6170047341689</v>
          </cell>
        </row>
        <row r="84">
          <cell r="E84">
            <v>41214</v>
          </cell>
          <cell r="F84">
            <v>2209.8954810783389</v>
          </cell>
        </row>
        <row r="85">
          <cell r="E85">
            <v>41244</v>
          </cell>
          <cell r="F85">
            <v>2209.0527932116715</v>
          </cell>
        </row>
        <row r="86">
          <cell r="E86">
            <v>41275</v>
          </cell>
          <cell r="F86">
            <v>2224.488891837505</v>
          </cell>
        </row>
        <row r="87">
          <cell r="E87">
            <v>41306</v>
          </cell>
          <cell r="F87">
            <v>2266.6412095483365</v>
          </cell>
        </row>
        <row r="88">
          <cell r="E88">
            <v>41334</v>
          </cell>
          <cell r="F88">
            <v>2261.2406475916691</v>
          </cell>
        </row>
        <row r="89">
          <cell r="E89">
            <v>41365</v>
          </cell>
          <cell r="F89">
            <v>2300.8222031508353</v>
          </cell>
        </row>
      </sheetData>
      <sheetData sheetId="3">
        <row r="41">
          <cell r="E41">
            <v>39904</v>
          </cell>
          <cell r="F41">
            <v>108.23684813750002</v>
          </cell>
        </row>
        <row r="42">
          <cell r="E42">
            <v>39934</v>
          </cell>
          <cell r="F42">
            <v>106.97367766666666</v>
          </cell>
        </row>
        <row r="43">
          <cell r="E43">
            <v>39965</v>
          </cell>
          <cell r="F43">
            <v>105.8798304825</v>
          </cell>
        </row>
        <row r="44">
          <cell r="E44">
            <v>39995</v>
          </cell>
          <cell r="F44">
            <v>104.12723220916661</v>
          </cell>
        </row>
        <row r="45">
          <cell r="E45">
            <v>40026</v>
          </cell>
          <cell r="F45">
            <v>103.66602865749996</v>
          </cell>
        </row>
        <row r="46">
          <cell r="E46">
            <v>40057</v>
          </cell>
          <cell r="F46">
            <v>103.48934158250002</v>
          </cell>
        </row>
        <row r="47">
          <cell r="E47">
            <v>40087</v>
          </cell>
          <cell r="F47">
            <v>102.4252727733333</v>
          </cell>
        </row>
        <row r="48">
          <cell r="E48">
            <v>40118</v>
          </cell>
          <cell r="F48">
            <v>103.33189182916668</v>
          </cell>
        </row>
        <row r="49">
          <cell r="E49">
            <v>40148</v>
          </cell>
          <cell r="F49">
            <v>104.126037385</v>
          </cell>
        </row>
        <row r="50">
          <cell r="E50">
            <v>40179</v>
          </cell>
          <cell r="F50">
            <v>103.82772087749998</v>
          </cell>
        </row>
        <row r="51">
          <cell r="E51">
            <v>40210</v>
          </cell>
          <cell r="F51">
            <v>104.89518587666664</v>
          </cell>
        </row>
        <row r="52">
          <cell r="E52">
            <v>40238</v>
          </cell>
          <cell r="F52">
            <v>107.85928405833327</v>
          </cell>
        </row>
        <row r="53">
          <cell r="E53">
            <v>40269</v>
          </cell>
          <cell r="F53">
            <v>111.49330946249994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119.53197662416666</v>
          </cell>
        </row>
        <row r="56">
          <cell r="E56">
            <v>40360</v>
          </cell>
          <cell r="F56">
            <v>123.14866238833336</v>
          </cell>
        </row>
        <row r="57">
          <cell r="E57">
            <v>40391</v>
          </cell>
          <cell r="F57">
            <v>128.01634433166666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144.73154127749979</v>
          </cell>
        </row>
        <row r="60">
          <cell r="E60">
            <v>40483</v>
          </cell>
          <cell r="F60">
            <v>147.22029632499974</v>
          </cell>
        </row>
        <row r="61">
          <cell r="E61">
            <v>40513</v>
          </cell>
          <cell r="F61">
            <v>164.24988747083296</v>
          </cell>
        </row>
        <row r="62">
          <cell r="E62">
            <v>40544</v>
          </cell>
          <cell r="F62">
            <v>170.92925679583297</v>
          </cell>
        </row>
        <row r="63">
          <cell r="E63">
            <v>40575</v>
          </cell>
          <cell r="F63">
            <v>174.68905516249961</v>
          </cell>
        </row>
        <row r="64">
          <cell r="E64">
            <v>40603</v>
          </cell>
          <cell r="F64">
            <v>178.0624197049996</v>
          </cell>
        </row>
        <row r="65">
          <cell r="E65">
            <v>40634</v>
          </cell>
          <cell r="F65">
            <v>208.26957367416631</v>
          </cell>
        </row>
        <row r="66">
          <cell r="E66">
            <v>40664</v>
          </cell>
          <cell r="F66">
            <v>232.61806543499961</v>
          </cell>
        </row>
        <row r="67">
          <cell r="E67">
            <v>40695</v>
          </cell>
          <cell r="F67">
            <v>234.65228583666632</v>
          </cell>
        </row>
        <row r="68">
          <cell r="E68">
            <v>40725</v>
          </cell>
          <cell r="F68">
            <v>235.29082795749957</v>
          </cell>
        </row>
        <row r="69">
          <cell r="E69">
            <v>40756</v>
          </cell>
          <cell r="F69">
            <v>235.94544352666628</v>
          </cell>
        </row>
        <row r="70">
          <cell r="E70">
            <v>40787</v>
          </cell>
          <cell r="F70">
            <v>256.27566247749968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301.0781457033334</v>
          </cell>
        </row>
        <row r="73">
          <cell r="E73">
            <v>40878</v>
          </cell>
          <cell r="F73">
            <v>287.02773121000018</v>
          </cell>
        </row>
        <row r="74">
          <cell r="E74">
            <v>40909</v>
          </cell>
          <cell r="F74">
            <v>319.75642538333346</v>
          </cell>
        </row>
        <row r="75">
          <cell r="E75">
            <v>40940</v>
          </cell>
          <cell r="F75">
            <v>322.5328192075001</v>
          </cell>
        </row>
        <row r="76">
          <cell r="E76">
            <v>40969</v>
          </cell>
          <cell r="F76">
            <v>350.40453398416679</v>
          </cell>
        </row>
        <row r="77">
          <cell r="E77">
            <v>41000</v>
          </cell>
          <cell r="F77">
            <v>339.28650951250023</v>
          </cell>
        </row>
        <row r="78">
          <cell r="E78">
            <v>41030</v>
          </cell>
          <cell r="F78">
            <v>363.61690601666697</v>
          </cell>
        </row>
        <row r="79">
          <cell r="E79">
            <v>41061</v>
          </cell>
          <cell r="F79">
            <v>395.97467956333338</v>
          </cell>
        </row>
        <row r="80">
          <cell r="E80">
            <v>41091</v>
          </cell>
          <cell r="F80">
            <v>434.92215518083344</v>
          </cell>
        </row>
        <row r="81">
          <cell r="E81">
            <v>41122</v>
          </cell>
          <cell r="F81">
            <v>447.01563345416679</v>
          </cell>
        </row>
        <row r="82">
          <cell r="E82">
            <v>41153</v>
          </cell>
          <cell r="F82">
            <v>457.73835255166688</v>
          </cell>
        </row>
        <row r="83">
          <cell r="E83">
            <v>41183</v>
          </cell>
          <cell r="F83">
            <v>463.70374365916672</v>
          </cell>
        </row>
        <row r="84">
          <cell r="E84">
            <v>41214</v>
          </cell>
          <cell r="F84">
            <v>458.22415463083343</v>
          </cell>
        </row>
        <row r="85">
          <cell r="E85">
            <v>41244</v>
          </cell>
          <cell r="F85">
            <v>467.1922228100002</v>
          </cell>
        </row>
        <row r="86">
          <cell r="E86">
            <v>41275</v>
          </cell>
          <cell r="F86">
            <v>469.61397692333361</v>
          </cell>
        </row>
        <row r="87">
          <cell r="E87">
            <v>41306</v>
          </cell>
          <cell r="F87">
            <v>491.80632539916695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499.75254314916668</v>
          </cell>
        </row>
      </sheetData>
      <sheetData sheetId="4">
        <row r="41">
          <cell r="E41">
            <v>39904</v>
          </cell>
          <cell r="F41">
            <v>158.44464894916669</v>
          </cell>
        </row>
        <row r="42">
          <cell r="E42">
            <v>39934</v>
          </cell>
          <cell r="F42">
            <v>155.45096442749994</v>
          </cell>
        </row>
        <row r="43">
          <cell r="E43">
            <v>39965</v>
          </cell>
          <cell r="F43">
            <v>154.58004805916667</v>
          </cell>
        </row>
        <row r="44">
          <cell r="E44">
            <v>39995</v>
          </cell>
          <cell r="F44">
            <v>152.33286942166669</v>
          </cell>
        </row>
        <row r="45">
          <cell r="E45">
            <v>40026</v>
          </cell>
          <cell r="F45">
            <v>149.79457146166666</v>
          </cell>
        </row>
        <row r="46">
          <cell r="E46">
            <v>40057</v>
          </cell>
          <cell r="F46">
            <v>148.30078338833343</v>
          </cell>
        </row>
        <row r="47">
          <cell r="E47">
            <v>40087</v>
          </cell>
          <cell r="F47">
            <v>145.31851997583328</v>
          </cell>
        </row>
        <row r="48">
          <cell r="E48">
            <v>40118</v>
          </cell>
          <cell r="F48">
            <v>140.89374188249997</v>
          </cell>
        </row>
        <row r="49">
          <cell r="E49">
            <v>40148</v>
          </cell>
          <cell r="F49">
            <v>141.71161079333331</v>
          </cell>
        </row>
        <row r="50">
          <cell r="E50">
            <v>40179</v>
          </cell>
          <cell r="F50">
            <v>136.93899356083341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145.54691871666677</v>
          </cell>
        </row>
        <row r="53">
          <cell r="E53">
            <v>40269</v>
          </cell>
          <cell r="F53">
            <v>148.45631624166668</v>
          </cell>
        </row>
        <row r="54">
          <cell r="E54">
            <v>40299</v>
          </cell>
          <cell r="F54">
            <v>152.5350931025001</v>
          </cell>
        </row>
        <row r="55">
          <cell r="E55">
            <v>40330</v>
          </cell>
          <cell r="F55">
            <v>158.65980679166674</v>
          </cell>
        </row>
        <row r="56">
          <cell r="E56">
            <v>40360</v>
          </cell>
          <cell r="F56">
            <v>165.53823414250002</v>
          </cell>
        </row>
        <row r="57">
          <cell r="E57">
            <v>40391</v>
          </cell>
          <cell r="F57">
            <v>173.2021787149998</v>
          </cell>
        </row>
        <row r="58">
          <cell r="E58">
            <v>40422</v>
          </cell>
          <cell r="F58">
            <v>182.12112057083314</v>
          </cell>
        </row>
        <row r="59">
          <cell r="E59">
            <v>40452</v>
          </cell>
          <cell r="F59">
            <v>190.57028911083296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204.82857695166626</v>
          </cell>
        </row>
        <row r="62">
          <cell r="E62">
            <v>40544</v>
          </cell>
          <cell r="F62">
            <v>211.31790591833285</v>
          </cell>
        </row>
        <row r="63">
          <cell r="E63">
            <v>40575</v>
          </cell>
          <cell r="F63">
            <v>215.77044458499972</v>
          </cell>
        </row>
        <row r="64">
          <cell r="E64">
            <v>40603</v>
          </cell>
          <cell r="F64">
            <v>220.10886486083322</v>
          </cell>
        </row>
        <row r="65">
          <cell r="E65">
            <v>40634</v>
          </cell>
          <cell r="F65">
            <v>227.94592264333315</v>
          </cell>
        </row>
        <row r="66">
          <cell r="E66">
            <v>40664</v>
          </cell>
          <cell r="F66">
            <v>241.01367808999998</v>
          </cell>
        </row>
        <row r="67">
          <cell r="E67">
            <v>40695</v>
          </cell>
          <cell r="F67">
            <v>246.9946524308333</v>
          </cell>
        </row>
        <row r="68">
          <cell r="E68">
            <v>40725</v>
          </cell>
          <cell r="F68">
            <v>251.61491688166666</v>
          </cell>
        </row>
        <row r="69">
          <cell r="E69">
            <v>40756</v>
          </cell>
          <cell r="F69">
            <v>258.82514893083379</v>
          </cell>
        </row>
        <row r="70">
          <cell r="E70">
            <v>40787</v>
          </cell>
          <cell r="F70">
            <v>263.01789049083357</v>
          </cell>
        </row>
        <row r="71">
          <cell r="E71">
            <v>40817</v>
          </cell>
          <cell r="F71">
            <v>269.75378371250025</v>
          </cell>
        </row>
        <row r="72">
          <cell r="E72">
            <v>40848</v>
          </cell>
          <cell r="F72">
            <v>276.36208953916679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292.42751126666673</v>
          </cell>
        </row>
        <row r="75">
          <cell r="E75">
            <v>40940</v>
          </cell>
          <cell r="F75">
            <v>298.59908017416655</v>
          </cell>
        </row>
        <row r="76">
          <cell r="E76">
            <v>40969</v>
          </cell>
          <cell r="F76">
            <v>301.86634290999956</v>
          </cell>
        </row>
        <row r="77">
          <cell r="E77">
            <v>41000</v>
          </cell>
          <cell r="F77">
            <v>303.6634880724996</v>
          </cell>
        </row>
        <row r="78">
          <cell r="E78">
            <v>41030</v>
          </cell>
          <cell r="F78">
            <v>302.59702938833294</v>
          </cell>
        </row>
        <row r="79">
          <cell r="E79">
            <v>41061</v>
          </cell>
          <cell r="F79">
            <v>304.45927342916639</v>
          </cell>
        </row>
        <row r="80">
          <cell r="E80">
            <v>41091</v>
          </cell>
          <cell r="F80">
            <v>310.53483897583294</v>
          </cell>
        </row>
        <row r="81">
          <cell r="E81">
            <v>41122</v>
          </cell>
          <cell r="F81">
            <v>314.37774910916642</v>
          </cell>
        </row>
        <row r="82">
          <cell r="E82">
            <v>41153</v>
          </cell>
          <cell r="F82">
            <v>315.71859838249981</v>
          </cell>
        </row>
        <row r="83">
          <cell r="E83">
            <v>41183</v>
          </cell>
          <cell r="F83">
            <v>316.71742277000004</v>
          </cell>
        </row>
        <row r="84">
          <cell r="E84">
            <v>41214</v>
          </cell>
          <cell r="F84">
            <v>315.22416307416671</v>
          </cell>
        </row>
        <row r="85">
          <cell r="E85">
            <v>41244</v>
          </cell>
          <cell r="F85">
            <v>310.78834924666671</v>
          </cell>
        </row>
        <row r="86">
          <cell r="E86">
            <v>41275</v>
          </cell>
          <cell r="F86">
            <v>309.86016355166686</v>
          </cell>
        </row>
        <row r="87">
          <cell r="E87">
            <v>41306</v>
          </cell>
          <cell r="F87">
            <v>308.08899651166683</v>
          </cell>
        </row>
        <row r="88">
          <cell r="E88">
            <v>41334</v>
          </cell>
          <cell r="F88">
            <v>306.5675005808335</v>
          </cell>
        </row>
        <row r="89">
          <cell r="E89">
            <v>41365</v>
          </cell>
          <cell r="F89">
            <v>308.19546292500024</v>
          </cell>
        </row>
      </sheetData>
      <sheetData sheetId="5">
        <row r="41">
          <cell r="E41">
            <v>39904</v>
          </cell>
          <cell r="F41">
            <v>374.4731770099998</v>
          </cell>
        </row>
        <row r="42">
          <cell r="E42">
            <v>39934</v>
          </cell>
          <cell r="F42">
            <v>364.67342921249974</v>
          </cell>
        </row>
        <row r="43">
          <cell r="E43">
            <v>39965</v>
          </cell>
          <cell r="F43">
            <v>355.7747520474997</v>
          </cell>
        </row>
        <row r="44">
          <cell r="E44">
            <v>39995</v>
          </cell>
          <cell r="F44">
            <v>348.87273567749889</v>
          </cell>
        </row>
        <row r="45">
          <cell r="E45">
            <v>40026</v>
          </cell>
          <cell r="F45">
            <v>342.1397065983324</v>
          </cell>
        </row>
        <row r="46">
          <cell r="E46">
            <v>40057</v>
          </cell>
          <cell r="F46">
            <v>340.6928801191653</v>
          </cell>
        </row>
        <row r="47">
          <cell r="E47">
            <v>40087</v>
          </cell>
          <cell r="F47">
            <v>335.70715674999883</v>
          </cell>
        </row>
        <row r="48">
          <cell r="E48">
            <v>40118</v>
          </cell>
          <cell r="F48">
            <v>330.205213514999</v>
          </cell>
        </row>
        <row r="49">
          <cell r="E49">
            <v>40148</v>
          </cell>
          <cell r="F49">
            <v>331.92369987249901</v>
          </cell>
        </row>
        <row r="50">
          <cell r="E50">
            <v>40179</v>
          </cell>
          <cell r="F50">
            <v>327.51506123499911</v>
          </cell>
        </row>
        <row r="51">
          <cell r="E51">
            <v>40210</v>
          </cell>
          <cell r="F51">
            <v>330.24981929249947</v>
          </cell>
        </row>
        <row r="52">
          <cell r="E52">
            <v>40238</v>
          </cell>
          <cell r="F52">
            <v>340.44759326666576</v>
          </cell>
        </row>
        <row r="53">
          <cell r="E53">
            <v>40269</v>
          </cell>
          <cell r="F53">
            <v>349.72462327499915</v>
          </cell>
        </row>
        <row r="54">
          <cell r="E54">
            <v>40299</v>
          </cell>
          <cell r="F54">
            <v>361.39553611749915</v>
          </cell>
        </row>
        <row r="55">
          <cell r="E55">
            <v>40330</v>
          </cell>
          <cell r="F55">
            <v>378.41429268166593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401.67378689083239</v>
          </cell>
        </row>
        <row r="58">
          <cell r="E58">
            <v>40422</v>
          </cell>
          <cell r="F58">
            <v>416.30677683999903</v>
          </cell>
        </row>
        <row r="59">
          <cell r="E59">
            <v>40452</v>
          </cell>
          <cell r="F59">
            <v>436.30894215583243</v>
          </cell>
        </row>
        <row r="60">
          <cell r="E60">
            <v>40483</v>
          </cell>
          <cell r="F60">
            <v>457.63758531499849</v>
          </cell>
        </row>
        <row r="61">
          <cell r="E61">
            <v>40513</v>
          </cell>
          <cell r="F61">
            <v>483.10762549833242</v>
          </cell>
        </row>
        <row r="62">
          <cell r="E62">
            <v>40544</v>
          </cell>
          <cell r="F62">
            <v>499.7633372199993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537.60255921333385</v>
          </cell>
        </row>
        <row r="65">
          <cell r="E65">
            <v>40634</v>
          </cell>
          <cell r="F65">
            <v>559.44047551083429</v>
          </cell>
        </row>
        <row r="66">
          <cell r="E66">
            <v>40664</v>
          </cell>
          <cell r="F66">
            <v>591.45196241666781</v>
          </cell>
        </row>
        <row r="67">
          <cell r="E67">
            <v>40695</v>
          </cell>
          <cell r="F67">
            <v>603.647283100001</v>
          </cell>
        </row>
        <row r="68">
          <cell r="E68">
            <v>40725</v>
          </cell>
          <cell r="F68">
            <v>619.12943766166848</v>
          </cell>
        </row>
        <row r="69">
          <cell r="E69">
            <v>40756</v>
          </cell>
          <cell r="F69">
            <v>639.95656529000166</v>
          </cell>
        </row>
        <row r="70">
          <cell r="E70">
            <v>40787</v>
          </cell>
          <cell r="F70">
            <v>665.88445407750191</v>
          </cell>
        </row>
        <row r="71">
          <cell r="E71">
            <v>40817</v>
          </cell>
          <cell r="F71">
            <v>677.69682605500213</v>
          </cell>
        </row>
        <row r="72">
          <cell r="E72">
            <v>40848</v>
          </cell>
          <cell r="F72">
            <v>701.27902998166917</v>
          </cell>
        </row>
        <row r="73">
          <cell r="E73">
            <v>40878</v>
          </cell>
          <cell r="F73">
            <v>697.40574438750173</v>
          </cell>
        </row>
        <row r="74">
          <cell r="E74">
            <v>40909</v>
          </cell>
          <cell r="F74">
            <v>711.47279446166795</v>
          </cell>
        </row>
        <row r="75">
          <cell r="E75">
            <v>40940</v>
          </cell>
          <cell r="F75">
            <v>719.65456621500073</v>
          </cell>
        </row>
        <row r="76">
          <cell r="E76">
            <v>40969</v>
          </cell>
          <cell r="F76">
            <v>732.27895677000072</v>
          </cell>
        </row>
        <row r="77">
          <cell r="E77">
            <v>41000</v>
          </cell>
          <cell r="F77">
            <v>736.18982992416647</v>
          </cell>
        </row>
        <row r="78">
          <cell r="E78">
            <v>41030</v>
          </cell>
          <cell r="F78">
            <v>740.77312986833294</v>
          </cell>
        </row>
        <row r="79">
          <cell r="E79">
            <v>41061</v>
          </cell>
          <cell r="F79">
            <v>751.69637260333309</v>
          </cell>
        </row>
        <row r="80">
          <cell r="E80">
            <v>41091</v>
          </cell>
          <cell r="F80">
            <v>759.86085317916616</v>
          </cell>
        </row>
        <row r="81">
          <cell r="E81">
            <v>41122</v>
          </cell>
          <cell r="F81">
            <v>769.63683474333357</v>
          </cell>
        </row>
        <row r="82">
          <cell r="E82">
            <v>41153</v>
          </cell>
          <cell r="F82">
            <v>761.67334498250057</v>
          </cell>
        </row>
        <row r="83">
          <cell r="E83">
            <v>41183</v>
          </cell>
          <cell r="F83">
            <v>763.70329249250017</v>
          </cell>
        </row>
        <row r="84">
          <cell r="E84">
            <v>41214</v>
          </cell>
          <cell r="F84">
            <v>752.92003164833341</v>
          </cell>
        </row>
        <row r="85">
          <cell r="E85">
            <v>41244</v>
          </cell>
          <cell r="F85">
            <v>756.9931666308338</v>
          </cell>
        </row>
        <row r="86">
          <cell r="E86">
            <v>41275</v>
          </cell>
          <cell r="F86">
            <v>754.34537407583423</v>
          </cell>
        </row>
        <row r="87">
          <cell r="E87">
            <v>41306</v>
          </cell>
          <cell r="F87">
            <v>748.9977581241684</v>
          </cell>
        </row>
        <row r="88">
          <cell r="E88">
            <v>41334</v>
          </cell>
          <cell r="F88">
            <v>731.49593750750137</v>
          </cell>
        </row>
        <row r="89">
          <cell r="E89">
            <v>41365</v>
          </cell>
          <cell r="F89">
            <v>738.52722302416839</v>
          </cell>
        </row>
      </sheetData>
      <sheetData sheetId="6">
        <row r="41">
          <cell r="E41">
            <v>39904</v>
          </cell>
          <cell r="F41">
            <v>530.411439265833</v>
          </cell>
        </row>
        <row r="42">
          <cell r="E42">
            <v>39934</v>
          </cell>
          <cell r="F42">
            <v>529.18449558249949</v>
          </cell>
        </row>
        <row r="43">
          <cell r="E43">
            <v>39965</v>
          </cell>
          <cell r="F43">
            <v>524.3918373566662</v>
          </cell>
        </row>
        <row r="44">
          <cell r="E44">
            <v>39995</v>
          </cell>
          <cell r="F44">
            <v>540.82980979749948</v>
          </cell>
        </row>
        <row r="45">
          <cell r="E45">
            <v>40026</v>
          </cell>
          <cell r="F45">
            <v>549.74491650833306</v>
          </cell>
        </row>
        <row r="46">
          <cell r="E46">
            <v>40057</v>
          </cell>
          <cell r="F46">
            <v>548.16232047083315</v>
          </cell>
        </row>
        <row r="47">
          <cell r="E47">
            <v>40087</v>
          </cell>
          <cell r="F47">
            <v>551.53314429833335</v>
          </cell>
        </row>
        <row r="48">
          <cell r="E48">
            <v>40118</v>
          </cell>
          <cell r="F48">
            <v>538.03496142999973</v>
          </cell>
        </row>
        <row r="49">
          <cell r="E49">
            <v>40148</v>
          </cell>
          <cell r="F49">
            <v>539.1640448408333</v>
          </cell>
        </row>
        <row r="50">
          <cell r="E50">
            <v>40179</v>
          </cell>
          <cell r="F50">
            <v>532.51397998000004</v>
          </cell>
        </row>
        <row r="51">
          <cell r="E51">
            <v>40210</v>
          </cell>
          <cell r="F51">
            <v>531.29129518250022</v>
          </cell>
        </row>
        <row r="52">
          <cell r="E52">
            <v>40238</v>
          </cell>
          <cell r="F52">
            <v>551.62152997916689</v>
          </cell>
        </row>
        <row r="53">
          <cell r="E53">
            <v>40269</v>
          </cell>
          <cell r="F53">
            <v>546.17749013500054</v>
          </cell>
        </row>
        <row r="54">
          <cell r="E54">
            <v>40299</v>
          </cell>
          <cell r="F54">
            <v>559.9818278750007</v>
          </cell>
        </row>
        <row r="55">
          <cell r="E55">
            <v>40330</v>
          </cell>
          <cell r="F55">
            <v>562.21175267750084</v>
          </cell>
        </row>
        <row r="56">
          <cell r="E56">
            <v>40360</v>
          </cell>
          <cell r="F56">
            <v>555.23502557833433</v>
          </cell>
        </row>
        <row r="57">
          <cell r="E57">
            <v>40391</v>
          </cell>
          <cell r="F57">
            <v>564.60866371583404</v>
          </cell>
        </row>
        <row r="58">
          <cell r="E58">
            <v>40422</v>
          </cell>
          <cell r="F58">
            <v>584.25553640916746</v>
          </cell>
        </row>
        <row r="59">
          <cell r="E59">
            <v>40452</v>
          </cell>
          <cell r="F59">
            <v>575.48959742083355</v>
          </cell>
        </row>
        <row r="60">
          <cell r="E60">
            <v>40483</v>
          </cell>
          <cell r="F60">
            <v>594.59453582416688</v>
          </cell>
        </row>
        <row r="61">
          <cell r="E61">
            <v>40513</v>
          </cell>
          <cell r="F61">
            <v>593.27856774333384</v>
          </cell>
        </row>
        <row r="62">
          <cell r="E62">
            <v>40544</v>
          </cell>
          <cell r="F62">
            <v>596.10800339250045</v>
          </cell>
        </row>
        <row r="63">
          <cell r="E63">
            <v>40575</v>
          </cell>
          <cell r="F63">
            <v>600.58519318833351</v>
          </cell>
        </row>
        <row r="64">
          <cell r="E64">
            <v>40603</v>
          </cell>
          <cell r="F64">
            <v>623.1093271650002</v>
          </cell>
        </row>
        <row r="65">
          <cell r="E65">
            <v>40634</v>
          </cell>
          <cell r="F65">
            <v>628.90220797000006</v>
          </cell>
        </row>
        <row r="66">
          <cell r="E66">
            <v>40664</v>
          </cell>
          <cell r="F66">
            <v>649.37369406249979</v>
          </cell>
        </row>
        <row r="67">
          <cell r="E67">
            <v>40695</v>
          </cell>
          <cell r="F67">
            <v>668.96153300833328</v>
          </cell>
        </row>
        <row r="68">
          <cell r="E68">
            <v>40725</v>
          </cell>
          <cell r="F68">
            <v>674.66856359916699</v>
          </cell>
        </row>
        <row r="69">
          <cell r="E69">
            <v>40756</v>
          </cell>
          <cell r="F69">
            <v>677.71974399916689</v>
          </cell>
        </row>
        <row r="70">
          <cell r="E70">
            <v>40787</v>
          </cell>
          <cell r="F70">
            <v>680.79914590916667</v>
          </cell>
        </row>
        <row r="71">
          <cell r="E71">
            <v>40817</v>
          </cell>
          <cell r="F71">
            <v>713.20004039916614</v>
          </cell>
        </row>
        <row r="72">
          <cell r="E72">
            <v>40848</v>
          </cell>
          <cell r="F72">
            <v>721.93820237416776</v>
          </cell>
        </row>
        <row r="73">
          <cell r="E73">
            <v>40878</v>
          </cell>
          <cell r="F73">
            <v>747.37865197500071</v>
          </cell>
        </row>
        <row r="74">
          <cell r="E74">
            <v>40909</v>
          </cell>
          <cell r="F74">
            <v>743.81577852166777</v>
          </cell>
        </row>
        <row r="75">
          <cell r="E75">
            <v>40940</v>
          </cell>
          <cell r="F75">
            <v>743.3298250483349</v>
          </cell>
        </row>
        <row r="76">
          <cell r="E76">
            <v>40969</v>
          </cell>
          <cell r="F76">
            <v>716.57278640916866</v>
          </cell>
        </row>
        <row r="77">
          <cell r="E77">
            <v>41000</v>
          </cell>
          <cell r="F77">
            <v>716.74652003916788</v>
          </cell>
        </row>
        <row r="78">
          <cell r="E78">
            <v>41030</v>
          </cell>
          <cell r="F78">
            <v>707.65275210416803</v>
          </cell>
        </row>
        <row r="79">
          <cell r="E79">
            <v>41061</v>
          </cell>
          <cell r="F79">
            <v>697.48563949750144</v>
          </cell>
        </row>
        <row r="80">
          <cell r="E80">
            <v>41091</v>
          </cell>
          <cell r="F80">
            <v>693.78083346916765</v>
          </cell>
        </row>
        <row r="81">
          <cell r="E81">
            <v>41122</v>
          </cell>
          <cell r="F81">
            <v>697.62326345750068</v>
          </cell>
        </row>
        <row r="82">
          <cell r="E82">
            <v>41153</v>
          </cell>
          <cell r="F82">
            <v>680.77621224750112</v>
          </cell>
        </row>
        <row r="83">
          <cell r="E83">
            <v>41183</v>
          </cell>
          <cell r="F83">
            <v>679.49254581250239</v>
          </cell>
        </row>
        <row r="84">
          <cell r="E84">
            <v>41214</v>
          </cell>
          <cell r="F84">
            <v>683.52713172500137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690.66937728666778</v>
          </cell>
        </row>
        <row r="87">
          <cell r="E87">
            <v>41306</v>
          </cell>
          <cell r="F87">
            <v>717.74812951333422</v>
          </cell>
        </row>
        <row r="88">
          <cell r="E88">
            <v>41334</v>
          </cell>
          <cell r="F88">
            <v>732.8521060758336</v>
          </cell>
        </row>
        <row r="89">
          <cell r="E89">
            <v>41365</v>
          </cell>
          <cell r="F89">
            <v>754.34697405249938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rturas"/>
      <sheetName val="Rec_naturales"/>
      <sheetName val="Baja_tek"/>
      <sheetName val="Tek_media"/>
      <sheetName val="Alta_tek"/>
    </sheetNames>
    <sheetDataSet>
      <sheetData sheetId="0">
        <row r="2">
          <cell r="A2" t="str">
            <v>Bogotá</v>
          </cell>
          <cell r="B2">
            <v>8374308829.7199564</v>
          </cell>
          <cell r="C2">
            <v>9507366065.2600002</v>
          </cell>
          <cell r="D2">
            <v>2055182948.3300183</v>
          </cell>
          <cell r="E2">
            <v>2553048355.3699703</v>
          </cell>
        </row>
        <row r="3">
          <cell r="A3" t="str">
            <v>Antioquia</v>
          </cell>
          <cell r="B3">
            <v>2205925152.2500124</v>
          </cell>
          <cell r="C3">
            <v>2523662072.6600032</v>
          </cell>
          <cell r="D3">
            <v>538432767.07999599</v>
          </cell>
          <cell r="E3">
            <v>613659621.21999633</v>
          </cell>
        </row>
        <row r="4">
          <cell r="A4" t="str">
            <v>Cundinamarca</v>
          </cell>
          <cell r="B4">
            <v>1946252380.8700078</v>
          </cell>
          <cell r="C4">
            <v>1911694317.4100065</v>
          </cell>
          <cell r="D4">
            <v>532092824.43999857</v>
          </cell>
          <cell r="E4">
            <v>529099680.33999699</v>
          </cell>
        </row>
        <row r="5">
          <cell r="A5" t="str">
            <v>Valle del Cauca</v>
          </cell>
          <cell r="B5">
            <v>1695726392.9599936</v>
          </cell>
          <cell r="C5">
            <v>1589199791.9700027</v>
          </cell>
          <cell r="D5">
            <v>354310144.45999801</v>
          </cell>
          <cell r="E5">
            <v>437154697.02000058</v>
          </cell>
        </row>
        <row r="6">
          <cell r="A6" t="str">
            <v>Bolívar</v>
          </cell>
          <cell r="B6">
            <v>1199754002.3999987</v>
          </cell>
          <cell r="C6">
            <v>1184623396.6500013</v>
          </cell>
          <cell r="D6">
            <v>293380448.55999929</v>
          </cell>
          <cell r="E6">
            <v>300853894.62999946</v>
          </cell>
        </row>
        <row r="7">
          <cell r="A7" t="str">
            <v>Atlántico</v>
          </cell>
          <cell r="B7">
            <v>911012603.58999002</v>
          </cell>
          <cell r="C7">
            <v>1000530011.3299897</v>
          </cell>
          <cell r="D7">
            <v>220578514.31999952</v>
          </cell>
          <cell r="E7">
            <v>282454308.70999902</v>
          </cell>
        </row>
        <row r="8">
          <cell r="A8" t="str">
            <v>Guajira</v>
          </cell>
          <cell r="B8">
            <v>332208512.46999872</v>
          </cell>
          <cell r="C8">
            <v>367962665.81000084</v>
          </cell>
          <cell r="D8">
            <v>87303944.259999737</v>
          </cell>
          <cell r="E8">
            <v>118611356.28999989</v>
          </cell>
        </row>
        <row r="9">
          <cell r="A9" t="str">
            <v>Santander</v>
          </cell>
          <cell r="B9">
            <v>299966455.56000119</v>
          </cell>
          <cell r="C9">
            <v>272600496.4800005</v>
          </cell>
          <cell r="D9">
            <v>70126426.510000125</v>
          </cell>
          <cell r="E9">
            <v>74920159.120000035</v>
          </cell>
        </row>
        <row r="10">
          <cell r="A10" t="str">
            <v>Risaralda</v>
          </cell>
          <cell r="B10">
            <v>159865459.94999966</v>
          </cell>
          <cell r="C10">
            <v>135292800.95000005</v>
          </cell>
          <cell r="D10">
            <v>41364084.610000029</v>
          </cell>
          <cell r="E10">
            <v>35641728.270000011</v>
          </cell>
        </row>
        <row r="11">
          <cell r="A11" t="str">
            <v>Caldas</v>
          </cell>
          <cell r="B11">
            <v>141477212.50999969</v>
          </cell>
          <cell r="C11">
            <v>127313718.91999999</v>
          </cell>
          <cell r="D11">
            <v>36036153.699999958</v>
          </cell>
          <cell r="E11">
            <v>31075556.789999988</v>
          </cell>
        </row>
        <row r="12">
          <cell r="A12" t="str">
            <v>Meta</v>
          </cell>
          <cell r="B12">
            <v>112797730.65000005</v>
          </cell>
          <cell r="C12">
            <v>121501434.30000007</v>
          </cell>
          <cell r="D12">
            <v>23331330.940000005</v>
          </cell>
          <cell r="E12">
            <v>26167182.640000023</v>
          </cell>
        </row>
        <row r="13">
          <cell r="A13" t="str">
            <v>Cauca</v>
          </cell>
          <cell r="B13">
            <v>142652962.24000016</v>
          </cell>
          <cell r="C13">
            <v>103248038.59999979</v>
          </cell>
          <cell r="D13">
            <v>24343825.879999995</v>
          </cell>
          <cell r="E13">
            <v>24833024.06999997</v>
          </cell>
        </row>
        <row r="14">
          <cell r="A14" t="str">
            <v>Cesar</v>
          </cell>
          <cell r="B14">
            <v>107599233.05000035</v>
          </cell>
          <cell r="C14">
            <v>94153683.26000008</v>
          </cell>
          <cell r="D14">
            <v>25705805.100000046</v>
          </cell>
          <cell r="E14">
            <v>20730189.839999959</v>
          </cell>
        </row>
        <row r="15">
          <cell r="A15" t="str">
            <v>Norte de Santander</v>
          </cell>
          <cell r="B15">
            <v>60686700.230000108</v>
          </cell>
          <cell r="C15">
            <v>75446021.939999983</v>
          </cell>
          <cell r="D15">
            <v>16926291.509999983</v>
          </cell>
          <cell r="E15">
            <v>21933873.389999997</v>
          </cell>
        </row>
        <row r="16">
          <cell r="A16" t="str">
            <v>Magdalena</v>
          </cell>
          <cell r="B16">
            <v>408378793.65999937</v>
          </cell>
          <cell r="C16">
            <v>73126923.390000015</v>
          </cell>
          <cell r="D16">
            <v>19720778.339999985</v>
          </cell>
          <cell r="E16">
            <v>23565937.750000011</v>
          </cell>
        </row>
        <row r="17">
          <cell r="A17" t="str">
            <v>Nariño</v>
          </cell>
          <cell r="B17">
            <v>127723877.68999998</v>
          </cell>
          <cell r="C17">
            <v>72553128.800000116</v>
          </cell>
          <cell r="D17">
            <v>20596380.709999982</v>
          </cell>
          <cell r="E17">
            <v>18131171.839999996</v>
          </cell>
        </row>
        <row r="18">
          <cell r="A18" t="str">
            <v>Casanare</v>
          </cell>
          <cell r="B18">
            <v>63615099.669999972</v>
          </cell>
          <cell r="C18">
            <v>63096117.969999984</v>
          </cell>
          <cell r="D18">
            <v>24093234.910000019</v>
          </cell>
          <cell r="E18">
            <v>20968867.560000014</v>
          </cell>
        </row>
        <row r="19">
          <cell r="A19" t="str">
            <v>Boyacá</v>
          </cell>
          <cell r="B19">
            <v>79190326.779999956</v>
          </cell>
          <cell r="C19">
            <v>50923429.160000056</v>
          </cell>
          <cell r="D19">
            <v>23922390.909999985</v>
          </cell>
          <cell r="E19">
            <v>16659929.249999996</v>
          </cell>
        </row>
        <row r="20">
          <cell r="A20" t="str">
            <v>Quindío</v>
          </cell>
          <cell r="B20">
            <v>34060675.970000066</v>
          </cell>
          <cell r="C20">
            <v>23494107.570000049</v>
          </cell>
          <cell r="D20">
            <v>6884428.0599999968</v>
          </cell>
          <cell r="E20">
            <v>4737124.5999999894</v>
          </cell>
        </row>
        <row r="21">
          <cell r="A21" t="str">
            <v>Córdoba</v>
          </cell>
          <cell r="B21">
            <v>22223015.319999982</v>
          </cell>
          <cell r="C21">
            <v>17541037.649999999</v>
          </cell>
          <cell r="D21">
            <v>2694071.8299999973</v>
          </cell>
          <cell r="E21">
            <v>2722027.669999999</v>
          </cell>
        </row>
        <row r="22">
          <cell r="A22" t="str">
            <v>Huila</v>
          </cell>
          <cell r="B22">
            <v>15909876.580000006</v>
          </cell>
          <cell r="C22">
            <v>16043897.630000006</v>
          </cell>
          <cell r="D22">
            <v>4391673.7799999993</v>
          </cell>
          <cell r="E22">
            <v>3671805.7900000014</v>
          </cell>
        </row>
        <row r="23">
          <cell r="A23" t="str">
            <v>Tolima</v>
          </cell>
          <cell r="B23">
            <v>26676456.370000008</v>
          </cell>
          <cell r="C23">
            <v>11720401.360000003</v>
          </cell>
          <cell r="D23">
            <v>10923145.630000003</v>
          </cell>
          <cell r="E23">
            <v>3502611.64</v>
          </cell>
        </row>
        <row r="24">
          <cell r="A24" t="str">
            <v>Aráuca</v>
          </cell>
          <cell r="B24">
            <v>2159951.4300000002</v>
          </cell>
          <cell r="C24">
            <v>3491391.7700000019</v>
          </cell>
          <cell r="D24">
            <v>1219711.72</v>
          </cell>
          <cell r="E24">
            <v>1274963.3399999999</v>
          </cell>
        </row>
        <row r="25">
          <cell r="A25" t="str">
            <v>Sucre</v>
          </cell>
          <cell r="B25">
            <v>3278559.66</v>
          </cell>
          <cell r="C25">
            <v>3145351.6100000008</v>
          </cell>
          <cell r="D25">
            <v>312544.42000000004</v>
          </cell>
          <cell r="E25">
            <v>489721.87000000011</v>
          </cell>
        </row>
        <row r="26">
          <cell r="A26" t="str">
            <v>San Andrés</v>
          </cell>
          <cell r="B26">
            <v>846276.38000000024</v>
          </cell>
          <cell r="C26">
            <v>1161267.51</v>
          </cell>
          <cell r="D26">
            <v>63492.79</v>
          </cell>
          <cell r="E26">
            <v>323310.32</v>
          </cell>
        </row>
        <row r="27">
          <cell r="A27" t="str">
            <v>Chocó</v>
          </cell>
          <cell r="B27">
            <v>83557.62000000001</v>
          </cell>
          <cell r="C27">
            <v>904242.17000000016</v>
          </cell>
          <cell r="D27">
            <v>0</v>
          </cell>
          <cell r="E27">
            <v>24803.17</v>
          </cell>
        </row>
        <row r="28">
          <cell r="A28" t="str">
            <v>Putumayo</v>
          </cell>
          <cell r="B28">
            <v>2440312.5</v>
          </cell>
          <cell r="C28">
            <v>602786.43000000005</v>
          </cell>
          <cell r="D28">
            <v>123660.19</v>
          </cell>
          <cell r="E28">
            <v>163302.12999999998</v>
          </cell>
        </row>
        <row r="29">
          <cell r="A29" t="str">
            <v>Amazonas</v>
          </cell>
          <cell r="B29">
            <v>487464.42999999993</v>
          </cell>
          <cell r="C29">
            <v>355755.28</v>
          </cell>
          <cell r="D29">
            <v>228658.57999999996</v>
          </cell>
          <cell r="E29">
            <v>34892.42</v>
          </cell>
        </row>
        <row r="30">
          <cell r="A30" t="str">
            <v>Guaviare</v>
          </cell>
          <cell r="B30">
            <v>0</v>
          </cell>
          <cell r="C30">
            <v>335331.06</v>
          </cell>
          <cell r="D30">
            <v>0</v>
          </cell>
          <cell r="E30">
            <v>335331.06</v>
          </cell>
        </row>
        <row r="31">
          <cell r="A31" t="str">
            <v>Vaupés</v>
          </cell>
          <cell r="B31">
            <v>398386.78</v>
          </cell>
          <cell r="C31">
            <v>299003.78000000003</v>
          </cell>
          <cell r="D31">
            <v>52567.72</v>
          </cell>
          <cell r="E31">
            <v>299003.78000000003</v>
          </cell>
        </row>
        <row r="32">
          <cell r="A32" t="str">
            <v>Vichada</v>
          </cell>
          <cell r="B32">
            <v>66039.58</v>
          </cell>
          <cell r="C32">
            <v>210730.6699999999</v>
          </cell>
          <cell r="D32">
            <v>2772.21</v>
          </cell>
          <cell r="E32">
            <v>34614.28</v>
          </cell>
        </row>
        <row r="33">
          <cell r="A33" t="str">
            <v>Caquetá</v>
          </cell>
          <cell r="B33">
            <v>188139.79</v>
          </cell>
          <cell r="C33">
            <v>61166.499999999993</v>
          </cell>
          <cell r="D33">
            <v>102960.84</v>
          </cell>
          <cell r="E33">
            <v>14250.27</v>
          </cell>
        </row>
      </sheetData>
      <sheetData sheetId="1">
        <row r="2">
          <cell r="A2" t="str">
            <v>Antioquia</v>
          </cell>
          <cell r="B2">
            <v>298418792.13000029</v>
          </cell>
          <cell r="C2">
            <v>393611689.84999907</v>
          </cell>
          <cell r="D2">
            <v>65733473.040000014</v>
          </cell>
          <cell r="E2">
            <v>117808916.4599999</v>
          </cell>
        </row>
        <row r="3">
          <cell r="A3" t="str">
            <v>Bogotá</v>
          </cell>
          <cell r="B3">
            <v>331031833.67000026</v>
          </cell>
          <cell r="C3">
            <v>361777186.90999937</v>
          </cell>
          <cell r="D3">
            <v>75211976.219999954</v>
          </cell>
          <cell r="E3">
            <v>96570777.480000034</v>
          </cell>
        </row>
        <row r="4">
          <cell r="A4" t="str">
            <v>Valle del Cauca</v>
          </cell>
          <cell r="B4">
            <v>250799024.48999992</v>
          </cell>
          <cell r="C4">
            <v>285341684.91000021</v>
          </cell>
          <cell r="D4">
            <v>40561839.110000007</v>
          </cell>
          <cell r="E4">
            <v>88607171.839999974</v>
          </cell>
        </row>
        <row r="5">
          <cell r="A5" t="str">
            <v>Santander</v>
          </cell>
          <cell r="B5">
            <v>108308484.85999985</v>
          </cell>
          <cell r="C5">
            <v>111880476.71000001</v>
          </cell>
          <cell r="D5">
            <v>19434783.529999997</v>
          </cell>
          <cell r="E5">
            <v>34695527.479999997</v>
          </cell>
        </row>
        <row r="6">
          <cell r="A6" t="str">
            <v>Cundinamarca</v>
          </cell>
          <cell r="B6">
            <v>111402973.50000001</v>
          </cell>
          <cell r="C6">
            <v>95959815.350000113</v>
          </cell>
          <cell r="D6">
            <v>19102249.400000002</v>
          </cell>
          <cell r="E6">
            <v>33162898.510000017</v>
          </cell>
        </row>
        <row r="7">
          <cell r="A7" t="str">
            <v>Atlántico</v>
          </cell>
          <cell r="B7">
            <v>72284991.319999963</v>
          </cell>
          <cell r="C7">
            <v>83923372.889999956</v>
          </cell>
          <cell r="D7">
            <v>14769472.289999994</v>
          </cell>
          <cell r="E7">
            <v>17346531.139999993</v>
          </cell>
        </row>
        <row r="8">
          <cell r="A8" t="str">
            <v>Bolívar</v>
          </cell>
          <cell r="B8">
            <v>31106100.710000016</v>
          </cell>
          <cell r="C8">
            <v>45053071.979999989</v>
          </cell>
          <cell r="D8">
            <v>11859447.660000002</v>
          </cell>
          <cell r="E8">
            <v>5338432.4800000023</v>
          </cell>
        </row>
        <row r="9">
          <cell r="A9" t="str">
            <v>Nariño</v>
          </cell>
          <cell r="B9">
            <v>55660637.849999949</v>
          </cell>
          <cell r="C9">
            <v>35896120.669999994</v>
          </cell>
          <cell r="D9">
            <v>12071741.649999999</v>
          </cell>
          <cell r="E9">
            <v>7254814.5599999884</v>
          </cell>
        </row>
        <row r="10">
          <cell r="A10" t="str">
            <v>Quindío</v>
          </cell>
          <cell r="B10">
            <v>13036655.009999992</v>
          </cell>
          <cell r="C10">
            <v>7579784.46</v>
          </cell>
          <cell r="D10">
            <v>3201714.6799999997</v>
          </cell>
          <cell r="E10">
            <v>2014156.54</v>
          </cell>
        </row>
        <row r="11">
          <cell r="A11" t="str">
            <v>Córdoba</v>
          </cell>
          <cell r="B11">
            <v>2998246.06</v>
          </cell>
          <cell r="C11">
            <v>6448336.5700000003</v>
          </cell>
          <cell r="D11">
            <v>0</v>
          </cell>
          <cell r="E11">
            <v>1629849.33</v>
          </cell>
        </row>
        <row r="12">
          <cell r="A12" t="str">
            <v>Risaralda</v>
          </cell>
          <cell r="B12">
            <v>19652827.699999996</v>
          </cell>
          <cell r="C12">
            <v>6216305.9900000002</v>
          </cell>
          <cell r="D12">
            <v>5593489.8300000001</v>
          </cell>
          <cell r="E12">
            <v>1302524.5699999998</v>
          </cell>
        </row>
        <row r="13">
          <cell r="A13" t="str">
            <v>Caldas</v>
          </cell>
          <cell r="B13">
            <v>10751445.720000003</v>
          </cell>
          <cell r="C13">
            <v>5335013.0799999991</v>
          </cell>
          <cell r="D13">
            <v>1340683.6899999997</v>
          </cell>
          <cell r="E13">
            <v>1580345.5099999998</v>
          </cell>
        </row>
        <row r="14">
          <cell r="A14" t="str">
            <v>Tolima</v>
          </cell>
          <cell r="B14">
            <v>4762712.5799999991</v>
          </cell>
          <cell r="C14">
            <v>3840554.2100000004</v>
          </cell>
          <cell r="D14">
            <v>1359304.65</v>
          </cell>
          <cell r="E14">
            <v>1172501.77</v>
          </cell>
        </row>
        <row r="15">
          <cell r="A15" t="str">
            <v>Cauca</v>
          </cell>
          <cell r="B15">
            <v>13651650.15</v>
          </cell>
          <cell r="C15">
            <v>3532297.82</v>
          </cell>
          <cell r="D15">
            <v>3149112.6999999993</v>
          </cell>
          <cell r="E15">
            <v>48888.09</v>
          </cell>
        </row>
        <row r="16">
          <cell r="A16" t="str">
            <v>Magdalena</v>
          </cell>
          <cell r="B16">
            <v>10215639.029999999</v>
          </cell>
          <cell r="C16">
            <v>3510471.2800000003</v>
          </cell>
          <cell r="D16">
            <v>3004324.7</v>
          </cell>
          <cell r="E16">
            <v>754618.12</v>
          </cell>
        </row>
        <row r="17">
          <cell r="A17" t="str">
            <v>Huila</v>
          </cell>
          <cell r="B17">
            <v>1545599.8399999999</v>
          </cell>
          <cell r="C17">
            <v>3195280.51</v>
          </cell>
          <cell r="D17">
            <v>705655.12</v>
          </cell>
          <cell r="E17">
            <v>1470432.59</v>
          </cell>
        </row>
        <row r="18">
          <cell r="A18" t="str">
            <v>Boyacá</v>
          </cell>
          <cell r="B18">
            <v>1507539.5999999999</v>
          </cell>
          <cell r="C18">
            <v>1382095.2700000005</v>
          </cell>
          <cell r="D18">
            <v>1072983.46</v>
          </cell>
          <cell r="E18">
            <v>324852.40999999997</v>
          </cell>
        </row>
        <row r="19">
          <cell r="A19" t="str">
            <v>Norte de Santander</v>
          </cell>
          <cell r="B19">
            <v>2891639.72</v>
          </cell>
          <cell r="C19">
            <v>895598.38</v>
          </cell>
          <cell r="D19">
            <v>413648.10000000009</v>
          </cell>
          <cell r="E19">
            <v>120975.6</v>
          </cell>
        </row>
        <row r="20">
          <cell r="A20" t="str">
            <v>Sucre</v>
          </cell>
          <cell r="B20">
            <v>1393010.6600000001</v>
          </cell>
          <cell r="C20">
            <v>581264.85</v>
          </cell>
          <cell r="D20">
            <v>0</v>
          </cell>
          <cell r="E20">
            <v>33991.199999999997</v>
          </cell>
        </row>
        <row r="21">
          <cell r="A21" t="str">
            <v>Guajira</v>
          </cell>
          <cell r="B21">
            <v>809276.06000000017</v>
          </cell>
          <cell r="C21">
            <v>252195.34</v>
          </cell>
          <cell r="D21">
            <v>596.63</v>
          </cell>
          <cell r="E21">
            <v>852.68</v>
          </cell>
        </row>
        <row r="22">
          <cell r="A22" t="str">
            <v>Meta</v>
          </cell>
          <cell r="B22">
            <v>108806.6</v>
          </cell>
          <cell r="C22">
            <v>212200.8</v>
          </cell>
          <cell r="D22">
            <v>0</v>
          </cell>
          <cell r="E22">
            <v>0</v>
          </cell>
        </row>
        <row r="23">
          <cell r="A23" t="str">
            <v>Cesar</v>
          </cell>
          <cell r="B23">
            <v>143885.91999999998</v>
          </cell>
          <cell r="C23">
            <v>180234.81</v>
          </cell>
          <cell r="D23">
            <v>581.39</v>
          </cell>
          <cell r="E23">
            <v>180234.81</v>
          </cell>
        </row>
        <row r="24">
          <cell r="A24" t="str">
            <v>Casanare</v>
          </cell>
          <cell r="B24">
            <v>1206.6600000000001</v>
          </cell>
          <cell r="C24">
            <v>62265.319999999992</v>
          </cell>
          <cell r="D24">
            <v>1206.6600000000001</v>
          </cell>
          <cell r="E24">
            <v>16237.630000000001</v>
          </cell>
        </row>
        <row r="25">
          <cell r="A25" t="str">
            <v>Aráuca</v>
          </cell>
          <cell r="B25">
            <v>0</v>
          </cell>
          <cell r="C25">
            <v>3215.49</v>
          </cell>
          <cell r="D25">
            <v>0</v>
          </cell>
          <cell r="E25">
            <v>0</v>
          </cell>
        </row>
        <row r="26">
          <cell r="A26" t="str">
            <v>Putumayo</v>
          </cell>
          <cell r="B26">
            <v>75623.259999999995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San Andrés</v>
          </cell>
          <cell r="B27">
            <v>629677.98</v>
          </cell>
          <cell r="C27">
            <v>0</v>
          </cell>
          <cell r="D27">
            <v>0</v>
          </cell>
          <cell r="E27">
            <v>0</v>
          </cell>
        </row>
      </sheetData>
      <sheetData sheetId="2">
        <row r="2">
          <cell r="A2" t="str">
            <v>Bogotá</v>
          </cell>
          <cell r="B2">
            <v>8008106414.3499346</v>
          </cell>
          <cell r="C2">
            <v>9109339333.6199608</v>
          </cell>
          <cell r="D2">
            <v>1971785706.210016</v>
          </cell>
          <cell r="E2">
            <v>2446764372.9200034</v>
          </cell>
        </row>
        <row r="3">
          <cell r="A3" t="str">
            <v>Antioquia</v>
          </cell>
          <cell r="B3">
            <v>1904347321.8000052</v>
          </cell>
          <cell r="C3">
            <v>2125663088.2100039</v>
          </cell>
          <cell r="D3">
            <v>472273538.45999879</v>
          </cell>
          <cell r="E3">
            <v>495200399.76000035</v>
          </cell>
        </row>
        <row r="4">
          <cell r="A4" t="str">
            <v>Cundinamarca</v>
          </cell>
          <cell r="B4">
            <v>1826942007.5599854</v>
          </cell>
          <cell r="C4">
            <v>1803523340.4600089</v>
          </cell>
          <cell r="D4">
            <v>510545060.48999894</v>
          </cell>
          <cell r="E4">
            <v>491714499.80999625</v>
          </cell>
        </row>
        <row r="5">
          <cell r="A5" t="str">
            <v>Valle del Cauca</v>
          </cell>
          <cell r="B5">
            <v>1442785952.4499974</v>
          </cell>
          <cell r="C5">
            <v>1302127780.8999972</v>
          </cell>
          <cell r="D5">
            <v>312783235.49999928</v>
          </cell>
          <cell r="E5">
            <v>348030180.01999921</v>
          </cell>
        </row>
        <row r="6">
          <cell r="A6" t="str">
            <v>Bolívar</v>
          </cell>
          <cell r="B6">
            <v>1168232265.6200092</v>
          </cell>
          <cell r="C6">
            <v>1139057012.3100014</v>
          </cell>
          <cell r="D6">
            <v>281496651.11000013</v>
          </cell>
          <cell r="E6">
            <v>295343004.34999996</v>
          </cell>
        </row>
        <row r="7">
          <cell r="A7" t="str">
            <v>Atlántico</v>
          </cell>
          <cell r="B7">
            <v>837660184.37998927</v>
          </cell>
          <cell r="C7">
            <v>915248005.57999694</v>
          </cell>
          <cell r="D7">
            <v>205305510.77999988</v>
          </cell>
          <cell r="E7">
            <v>264724871.8300007</v>
          </cell>
        </row>
        <row r="8">
          <cell r="A8" t="str">
            <v>Guajira</v>
          </cell>
          <cell r="B8">
            <v>331379051.78999901</v>
          </cell>
          <cell r="C8">
            <v>367697542.92000133</v>
          </cell>
          <cell r="D8">
            <v>87296943.129999727</v>
          </cell>
          <cell r="E8">
            <v>118607600.08000009</v>
          </cell>
        </row>
        <row r="9">
          <cell r="A9" t="str">
            <v>Santander</v>
          </cell>
          <cell r="B9">
            <v>191543583.83999911</v>
          </cell>
          <cell r="C9">
            <v>160221031.44000003</v>
          </cell>
          <cell r="D9">
            <v>50679400.829999983</v>
          </cell>
          <cell r="E9">
            <v>40208976.609999932</v>
          </cell>
        </row>
        <row r="10">
          <cell r="A10" t="str">
            <v>Risaralda</v>
          </cell>
          <cell r="B10">
            <v>140020980.14000022</v>
          </cell>
          <cell r="C10">
            <v>128971608.3300004</v>
          </cell>
          <cell r="D10">
            <v>35735060.100000054</v>
          </cell>
          <cell r="E10">
            <v>34328276.579999954</v>
          </cell>
        </row>
        <row r="11">
          <cell r="A11" t="str">
            <v>Caldas</v>
          </cell>
          <cell r="B11">
            <v>130664151.12999985</v>
          </cell>
          <cell r="C11">
            <v>121916523.40000018</v>
          </cell>
          <cell r="D11">
            <v>34689175.299999967</v>
          </cell>
          <cell r="E11">
            <v>29446949.039999962</v>
          </cell>
        </row>
        <row r="12">
          <cell r="A12" t="str">
            <v>Meta</v>
          </cell>
          <cell r="B12">
            <v>112674309.21000007</v>
          </cell>
          <cell r="C12">
            <v>121279504.54000005</v>
          </cell>
          <cell r="D12">
            <v>23331330.940000001</v>
          </cell>
          <cell r="E12">
            <v>26164716.640000027</v>
          </cell>
        </row>
        <row r="13">
          <cell r="A13" t="str">
            <v>Cauca</v>
          </cell>
          <cell r="B13">
            <v>128991129.21999964</v>
          </cell>
          <cell r="C13">
            <v>99655546.569999844</v>
          </cell>
          <cell r="D13">
            <v>21193802.829999987</v>
          </cell>
          <cell r="E13">
            <v>24749601.559999984</v>
          </cell>
        </row>
        <row r="14">
          <cell r="A14" t="str">
            <v>Cesar</v>
          </cell>
          <cell r="B14">
            <v>107450466.20000049</v>
          </cell>
          <cell r="C14">
            <v>93969660.160000101</v>
          </cell>
          <cell r="D14">
            <v>25704720.929999989</v>
          </cell>
          <cell r="E14">
            <v>20548781.149999958</v>
          </cell>
        </row>
        <row r="15">
          <cell r="A15" t="str">
            <v>Norte de Santander</v>
          </cell>
          <cell r="B15">
            <v>57684561.120000012</v>
          </cell>
          <cell r="C15">
            <v>74317327.449999928</v>
          </cell>
          <cell r="D15">
            <v>16510824.269999996</v>
          </cell>
          <cell r="E15">
            <v>21654463.629999988</v>
          </cell>
        </row>
        <row r="16">
          <cell r="A16" t="str">
            <v>Magdalena</v>
          </cell>
          <cell r="B16">
            <v>398105254.42999917</v>
          </cell>
          <cell r="C16">
            <v>69541865.10999991</v>
          </cell>
          <cell r="D16">
            <v>16702198.530000018</v>
          </cell>
          <cell r="E16">
            <v>22802855.629999995</v>
          </cell>
        </row>
        <row r="17">
          <cell r="A17" t="str">
            <v>Casanare</v>
          </cell>
          <cell r="B17">
            <v>63598962.779999986</v>
          </cell>
          <cell r="C17">
            <v>63031782.769999929</v>
          </cell>
          <cell r="D17">
            <v>24092028.250000022</v>
          </cell>
          <cell r="E17">
            <v>20952414.210000005</v>
          </cell>
        </row>
        <row r="18">
          <cell r="A18" t="str">
            <v>Boyacá</v>
          </cell>
          <cell r="B18">
            <v>77656574.549999923</v>
          </cell>
          <cell r="C18">
            <v>49523159.980000049</v>
          </cell>
          <cell r="D18">
            <v>22840826.93</v>
          </cell>
          <cell r="E18">
            <v>16335076.839999992</v>
          </cell>
        </row>
        <row r="19">
          <cell r="A19" t="str">
            <v>Nariño</v>
          </cell>
          <cell r="B19">
            <v>70464107.139999926</v>
          </cell>
          <cell r="C19">
            <v>36652293.009999946</v>
          </cell>
          <cell r="D19">
            <v>8523207.0200000051</v>
          </cell>
          <cell r="E19">
            <v>10871990.550000004</v>
          </cell>
        </row>
        <row r="20">
          <cell r="A20" t="str">
            <v>Quindío</v>
          </cell>
          <cell r="B20">
            <v>20998365.849999998</v>
          </cell>
          <cell r="C20">
            <v>15896220.199999973</v>
          </cell>
          <cell r="D20">
            <v>3669465.6899999995</v>
          </cell>
          <cell r="E20">
            <v>2722648.120000002</v>
          </cell>
        </row>
        <row r="21">
          <cell r="A21" t="str">
            <v>Huila</v>
          </cell>
          <cell r="B21">
            <v>14331054.990000008</v>
          </cell>
          <cell r="C21">
            <v>12848372.760000007</v>
          </cell>
          <cell r="D21">
            <v>3669534.9899999984</v>
          </cell>
          <cell r="E21">
            <v>2201231.8199999998</v>
          </cell>
        </row>
        <row r="22">
          <cell r="A22" t="str">
            <v>Córdoba</v>
          </cell>
          <cell r="B22">
            <v>19220006.559999969</v>
          </cell>
          <cell r="C22">
            <v>11092176.42999999</v>
          </cell>
          <cell r="D22">
            <v>2694071.8299999982</v>
          </cell>
          <cell r="E22">
            <v>1091654.6299999999</v>
          </cell>
        </row>
        <row r="23">
          <cell r="A23" t="str">
            <v>Tolima</v>
          </cell>
          <cell r="B23">
            <v>21838375.43</v>
          </cell>
          <cell r="C23">
            <v>7868883.9999999991</v>
          </cell>
          <cell r="D23">
            <v>9563777.7599999979</v>
          </cell>
          <cell r="E23">
            <v>2330105.7399999993</v>
          </cell>
        </row>
        <row r="24">
          <cell r="A24" t="str">
            <v>Aráuca</v>
          </cell>
          <cell r="B24">
            <v>2156857.0400000005</v>
          </cell>
          <cell r="C24">
            <v>3488176.2800000012</v>
          </cell>
          <cell r="D24">
            <v>1216617.33</v>
          </cell>
          <cell r="E24">
            <v>1274963.3399999999</v>
          </cell>
        </row>
        <row r="25">
          <cell r="A25" t="str">
            <v>Sucre</v>
          </cell>
          <cell r="B25">
            <v>1885548.9999999998</v>
          </cell>
          <cell r="C25">
            <v>2561737.6600000006</v>
          </cell>
          <cell r="D25">
            <v>312544.42</v>
          </cell>
          <cell r="E25">
            <v>455660.63000000018</v>
          </cell>
        </row>
        <row r="26">
          <cell r="A26" t="str">
            <v>San Andrés</v>
          </cell>
          <cell r="B26">
            <v>216598.40000000002</v>
          </cell>
          <cell r="C26">
            <v>1160615.1300000001</v>
          </cell>
          <cell r="D26">
            <v>63492.79</v>
          </cell>
          <cell r="E26">
            <v>323310.32</v>
          </cell>
        </row>
        <row r="27">
          <cell r="A27" t="str">
            <v>Chocó</v>
          </cell>
          <cell r="B27">
            <v>83496.430000000022</v>
          </cell>
          <cell r="C27">
            <v>904242.17000000016</v>
          </cell>
          <cell r="D27">
            <v>0</v>
          </cell>
          <cell r="E27">
            <v>24803.17</v>
          </cell>
        </row>
        <row r="28">
          <cell r="A28" t="str">
            <v>Putumayo</v>
          </cell>
          <cell r="B28">
            <v>2364689.2399999998</v>
          </cell>
          <cell r="C28">
            <v>602786.43000000005</v>
          </cell>
          <cell r="D28">
            <v>123660.19</v>
          </cell>
          <cell r="E28">
            <v>163302.13</v>
          </cell>
        </row>
        <row r="29">
          <cell r="A29" t="str">
            <v>Amazonas</v>
          </cell>
          <cell r="B29">
            <v>487464.43</v>
          </cell>
          <cell r="C29">
            <v>355755.28</v>
          </cell>
          <cell r="D29">
            <v>228658.57999999996</v>
          </cell>
          <cell r="E29">
            <v>34892.42</v>
          </cell>
        </row>
        <row r="30">
          <cell r="A30" t="str">
            <v>Guaviare</v>
          </cell>
          <cell r="B30">
            <v>0</v>
          </cell>
          <cell r="C30">
            <v>335331.06</v>
          </cell>
          <cell r="D30">
            <v>0</v>
          </cell>
          <cell r="E30">
            <v>335331.06</v>
          </cell>
        </row>
        <row r="31">
          <cell r="A31" t="str">
            <v>Vaupés</v>
          </cell>
          <cell r="B31">
            <v>396434.56000000006</v>
          </cell>
          <cell r="C31">
            <v>299003.78000000003</v>
          </cell>
          <cell r="D31">
            <v>52567.72</v>
          </cell>
          <cell r="E31">
            <v>299003.78000000003</v>
          </cell>
        </row>
        <row r="32">
          <cell r="A32" t="str">
            <v>Vichada</v>
          </cell>
          <cell r="B32">
            <v>64635.33</v>
          </cell>
          <cell r="C32">
            <v>210730.66999999995</v>
          </cell>
          <cell r="D32">
            <v>2772.21</v>
          </cell>
          <cell r="E32">
            <v>34614.28</v>
          </cell>
        </row>
        <row r="33">
          <cell r="A33" t="str">
            <v>Caquetá</v>
          </cell>
          <cell r="B33">
            <v>188139.79</v>
          </cell>
          <cell r="C33">
            <v>61166.500000000015</v>
          </cell>
          <cell r="D33">
            <v>102960.84</v>
          </cell>
          <cell r="E33">
            <v>14250.27</v>
          </cell>
        </row>
      </sheetData>
      <sheetData sheetId="3">
        <row r="2">
          <cell r="A2" t="str">
            <v>Bogotá</v>
          </cell>
          <cell r="B2">
            <v>1628703687.880018</v>
          </cell>
          <cell r="C2">
            <v>2019427531.9500074</v>
          </cell>
          <cell r="D2">
            <v>364492325.10000157</v>
          </cell>
          <cell r="E2">
            <v>477621601.75999957</v>
          </cell>
        </row>
        <row r="3">
          <cell r="A3" t="str">
            <v>Bolívar</v>
          </cell>
          <cell r="B3">
            <v>759356291</v>
          </cell>
          <cell r="C3">
            <v>753521646.30999875</v>
          </cell>
          <cell r="D3">
            <v>194971614.22999999</v>
          </cell>
          <cell r="E3">
            <v>191486161.85999995</v>
          </cell>
        </row>
        <row r="4">
          <cell r="A4" t="str">
            <v>Valle del Cauca</v>
          </cell>
          <cell r="B4">
            <v>511814234.81000036</v>
          </cell>
          <cell r="C4">
            <v>466866411.66999853</v>
          </cell>
          <cell r="D4">
            <v>113240064.98999999</v>
          </cell>
          <cell r="E4">
            <v>126383100.51999986</v>
          </cell>
        </row>
        <row r="5">
          <cell r="A5" t="str">
            <v>Antioquia</v>
          </cell>
          <cell r="B5">
            <v>328126458.5400005</v>
          </cell>
          <cell r="C5">
            <v>347884145.72999799</v>
          </cell>
          <cell r="D5">
            <v>81643124.340000048</v>
          </cell>
          <cell r="E5">
            <v>96900628.340000093</v>
          </cell>
        </row>
        <row r="6">
          <cell r="A6" t="str">
            <v>Atlántico</v>
          </cell>
          <cell r="B6">
            <v>237487428.3500005</v>
          </cell>
          <cell r="C6">
            <v>281445444.39000058</v>
          </cell>
          <cell r="D6">
            <v>56077762.850000061</v>
          </cell>
          <cell r="E6">
            <v>78166522.820000023</v>
          </cell>
        </row>
        <row r="7">
          <cell r="A7" t="str">
            <v>Cundinamarca</v>
          </cell>
          <cell r="B7">
            <v>198123093.97000057</v>
          </cell>
          <cell r="C7">
            <v>230309672.41</v>
          </cell>
          <cell r="D7">
            <v>52418322.839999996</v>
          </cell>
          <cell r="E7">
            <v>66450942.689999908</v>
          </cell>
        </row>
        <row r="8">
          <cell r="A8" t="str">
            <v>Guajira</v>
          </cell>
          <cell r="B8">
            <v>157752768.2200003</v>
          </cell>
          <cell r="C8">
            <v>140102672.56999993</v>
          </cell>
          <cell r="D8">
            <v>35145574.429999948</v>
          </cell>
          <cell r="E8">
            <v>39893163.220000021</v>
          </cell>
        </row>
        <row r="9">
          <cell r="A9" t="str">
            <v>Meta</v>
          </cell>
          <cell r="B9">
            <v>94028319.970000014</v>
          </cell>
          <cell r="C9">
            <v>106780209.81</v>
          </cell>
          <cell r="D9">
            <v>18203397.650000002</v>
          </cell>
          <cell r="E9">
            <v>21582322.810000002</v>
          </cell>
        </row>
        <row r="10">
          <cell r="A10" t="str">
            <v>Santander</v>
          </cell>
          <cell r="B10">
            <v>36624488.810000025</v>
          </cell>
          <cell r="C10">
            <v>44688713.029999956</v>
          </cell>
          <cell r="D10">
            <v>7745262.8599999994</v>
          </cell>
          <cell r="E10">
            <v>11643465.489999996</v>
          </cell>
        </row>
        <row r="11">
          <cell r="A11" t="str">
            <v>Risaralda</v>
          </cell>
          <cell r="B11">
            <v>30419465.099999957</v>
          </cell>
          <cell r="C11">
            <v>37823209.439999945</v>
          </cell>
          <cell r="D11">
            <v>7204867.1700000018</v>
          </cell>
          <cell r="E11">
            <v>10211044.070000008</v>
          </cell>
        </row>
        <row r="12">
          <cell r="A12" t="str">
            <v>Magdalena</v>
          </cell>
          <cell r="B12">
            <v>265600655.87999976</v>
          </cell>
          <cell r="C12">
            <v>37511408.490000017</v>
          </cell>
          <cell r="D12">
            <v>1528860.3199999996</v>
          </cell>
          <cell r="E12">
            <v>9778214.3800000008</v>
          </cell>
        </row>
        <row r="13">
          <cell r="A13" t="str">
            <v>Norte de Santander</v>
          </cell>
          <cell r="B13">
            <v>13321531.19999999</v>
          </cell>
          <cell r="C13">
            <v>25162214.220000032</v>
          </cell>
          <cell r="D13">
            <v>6282269.629999998</v>
          </cell>
          <cell r="E13">
            <v>8861866.2399999946</v>
          </cell>
        </row>
        <row r="14">
          <cell r="A14" t="str">
            <v>Nariño</v>
          </cell>
          <cell r="B14">
            <v>31393242.04999996</v>
          </cell>
          <cell r="C14">
            <v>24326266.980000023</v>
          </cell>
          <cell r="D14">
            <v>5095661.3699999992</v>
          </cell>
          <cell r="E14">
            <v>6493346.9499999983</v>
          </cell>
        </row>
        <row r="15">
          <cell r="A15" t="str">
            <v>Cauca</v>
          </cell>
          <cell r="B15">
            <v>26890304.940000001</v>
          </cell>
          <cell r="C15">
            <v>23109661.259999964</v>
          </cell>
          <cell r="D15">
            <v>4428791.4999999981</v>
          </cell>
          <cell r="E15">
            <v>6346016.330000001</v>
          </cell>
        </row>
        <row r="16">
          <cell r="A16" t="str">
            <v>Caldas</v>
          </cell>
          <cell r="B16">
            <v>21125100.179999989</v>
          </cell>
          <cell r="C16">
            <v>19029002.999999996</v>
          </cell>
          <cell r="D16">
            <v>5133530.8000000007</v>
          </cell>
          <cell r="E16">
            <v>4876696.5999999987</v>
          </cell>
        </row>
        <row r="17">
          <cell r="A17" t="str">
            <v>Cesar</v>
          </cell>
          <cell r="B17">
            <v>11141097.430000013</v>
          </cell>
          <cell r="C17">
            <v>12324266.439999983</v>
          </cell>
          <cell r="D17">
            <v>3713799.9300000016</v>
          </cell>
          <cell r="E17">
            <v>3392937.8600000008</v>
          </cell>
        </row>
        <row r="18">
          <cell r="A18" t="str">
            <v>Quindío</v>
          </cell>
          <cell r="B18">
            <v>9285884.7699999958</v>
          </cell>
          <cell r="C18">
            <v>7604658.3799999999</v>
          </cell>
          <cell r="D18">
            <v>1923231.0399999998</v>
          </cell>
          <cell r="E18">
            <v>1167821.9000000001</v>
          </cell>
        </row>
        <row r="19">
          <cell r="A19" t="str">
            <v>Boyacá</v>
          </cell>
          <cell r="B19">
            <v>19301636.860000018</v>
          </cell>
          <cell r="C19">
            <v>3919480.0100000012</v>
          </cell>
          <cell r="D19">
            <v>12679725.650000004</v>
          </cell>
          <cell r="E19">
            <v>2008878.8699999996</v>
          </cell>
        </row>
        <row r="20">
          <cell r="A20" t="str">
            <v>Córdoba</v>
          </cell>
          <cell r="B20">
            <v>904583.29999999946</v>
          </cell>
          <cell r="C20">
            <v>1231666.6899999997</v>
          </cell>
          <cell r="D20">
            <v>355572.5400000001</v>
          </cell>
          <cell r="E20">
            <v>259033.68</v>
          </cell>
        </row>
        <row r="21">
          <cell r="A21" t="str">
            <v>Tolima</v>
          </cell>
          <cell r="B21">
            <v>10429611.200000003</v>
          </cell>
          <cell r="C21">
            <v>1072321.3999999994</v>
          </cell>
          <cell r="D21">
            <v>5334414.62</v>
          </cell>
          <cell r="E21">
            <v>705094.55999999982</v>
          </cell>
        </row>
        <row r="22">
          <cell r="A22" t="str">
            <v>Sucre</v>
          </cell>
          <cell r="B22">
            <v>426864.83</v>
          </cell>
          <cell r="C22">
            <v>1004959.2999999999</v>
          </cell>
          <cell r="D22">
            <v>165845</v>
          </cell>
          <cell r="E22">
            <v>80340.13</v>
          </cell>
        </row>
        <row r="23">
          <cell r="A23" t="str">
            <v>Putumayo</v>
          </cell>
          <cell r="B23">
            <v>161654.46000000002</v>
          </cell>
          <cell r="C23">
            <v>541845.74</v>
          </cell>
          <cell r="D23">
            <v>25881.69</v>
          </cell>
          <cell r="E23">
            <v>163302.12999999998</v>
          </cell>
        </row>
        <row r="24">
          <cell r="A24" t="str">
            <v>Huila</v>
          </cell>
          <cell r="B24">
            <v>471148.21000000008</v>
          </cell>
          <cell r="C24">
            <v>481273.3400000002</v>
          </cell>
          <cell r="D24">
            <v>216057.06000000003</v>
          </cell>
          <cell r="E24">
            <v>26065.109999999997</v>
          </cell>
        </row>
        <row r="25">
          <cell r="A25" t="str">
            <v>Casanare</v>
          </cell>
          <cell r="B25">
            <v>180784.78000000009</v>
          </cell>
          <cell r="C25">
            <v>471972.46999999991</v>
          </cell>
          <cell r="D25">
            <v>75670.920000000013</v>
          </cell>
          <cell r="E25">
            <v>139082.65000000002</v>
          </cell>
        </row>
        <row r="26">
          <cell r="A26" t="str">
            <v>Amazonas</v>
          </cell>
          <cell r="B26">
            <v>128589.6</v>
          </cell>
          <cell r="C26">
            <v>80168.28</v>
          </cell>
          <cell r="D26">
            <v>109340.11</v>
          </cell>
          <cell r="E26">
            <v>0</v>
          </cell>
        </row>
        <row r="27">
          <cell r="A27" t="str">
            <v>Caquetá</v>
          </cell>
          <cell r="B27">
            <v>49636.04</v>
          </cell>
          <cell r="C27">
            <v>31089.739999999998</v>
          </cell>
          <cell r="D27">
            <v>49636.04</v>
          </cell>
          <cell r="E27">
            <v>0</v>
          </cell>
        </row>
        <row r="28">
          <cell r="A28" t="str">
            <v>San Andrés</v>
          </cell>
          <cell r="B28">
            <v>0</v>
          </cell>
          <cell r="C28">
            <v>2782.91</v>
          </cell>
          <cell r="D28">
            <v>0</v>
          </cell>
          <cell r="E28">
            <v>0</v>
          </cell>
        </row>
        <row r="29">
          <cell r="A29" t="str">
            <v>Vichada</v>
          </cell>
          <cell r="B29">
            <v>26540.400000000001</v>
          </cell>
          <cell r="C29">
            <v>948.6</v>
          </cell>
          <cell r="D29">
            <v>2772.21</v>
          </cell>
          <cell r="E29">
            <v>0</v>
          </cell>
        </row>
        <row r="30">
          <cell r="A30" t="str">
            <v>Chocó</v>
          </cell>
          <cell r="B30">
            <v>0</v>
          </cell>
          <cell r="C30">
            <v>56.74</v>
          </cell>
          <cell r="D30">
            <v>0</v>
          </cell>
          <cell r="E30">
            <v>0</v>
          </cell>
        </row>
        <row r="31">
          <cell r="A31" t="str">
            <v>Aráuca</v>
          </cell>
          <cell r="B31">
            <v>40295.050000000003</v>
          </cell>
          <cell r="C31">
            <v>0</v>
          </cell>
          <cell r="D31">
            <v>36377.050000000003</v>
          </cell>
          <cell r="E31">
            <v>0</v>
          </cell>
        </row>
      </sheetData>
      <sheetData sheetId="4">
        <row r="2">
          <cell r="A2" t="str">
            <v>Bogotá</v>
          </cell>
          <cell r="B2">
            <v>1117679925.6000061</v>
          </cell>
          <cell r="C2">
            <v>1086565289.7400143</v>
          </cell>
          <cell r="D2">
            <v>276488184.40999877</v>
          </cell>
          <cell r="E2">
            <v>296023732.5400008</v>
          </cell>
        </row>
        <row r="3">
          <cell r="A3" t="str">
            <v>Antioquia</v>
          </cell>
          <cell r="B3">
            <v>481185260.70000356</v>
          </cell>
          <cell r="C3">
            <v>493749497.5299992</v>
          </cell>
          <cell r="D3">
            <v>125773811.00000019</v>
          </cell>
          <cell r="E3">
            <v>116997184.37999895</v>
          </cell>
        </row>
        <row r="4">
          <cell r="A4" t="str">
            <v>Cundinamarca</v>
          </cell>
          <cell r="B4">
            <v>221318118.43000013</v>
          </cell>
          <cell r="C4">
            <v>258241146.66000035</v>
          </cell>
          <cell r="D4">
            <v>57642624.519999892</v>
          </cell>
          <cell r="E4">
            <v>64570739.150000043</v>
          </cell>
        </row>
        <row r="5">
          <cell r="A5" t="str">
            <v>Atlántico</v>
          </cell>
          <cell r="B5">
            <v>233055789.65999871</v>
          </cell>
          <cell r="C5">
            <v>257895708.8600007</v>
          </cell>
          <cell r="D5">
            <v>52721653.680000179</v>
          </cell>
          <cell r="E5">
            <v>67101085.689999573</v>
          </cell>
        </row>
        <row r="6">
          <cell r="A6" t="str">
            <v>Valle del Cauca</v>
          </cell>
          <cell r="B6">
            <v>183518959.90000165</v>
          </cell>
          <cell r="C6">
            <v>179325290.23000088</v>
          </cell>
          <cell r="D6">
            <v>40609830.919999994</v>
          </cell>
          <cell r="E6">
            <v>43804019.139999963</v>
          </cell>
        </row>
        <row r="7">
          <cell r="A7" t="str">
            <v>Bolívar</v>
          </cell>
          <cell r="B7">
            <v>110707862.11000054</v>
          </cell>
          <cell r="C7">
            <v>103520417.21000001</v>
          </cell>
          <cell r="D7">
            <v>25657299.619999968</v>
          </cell>
          <cell r="E7">
            <v>23699659.050000057</v>
          </cell>
        </row>
        <row r="8">
          <cell r="A8" t="str">
            <v>Caldas</v>
          </cell>
          <cell r="B8">
            <v>46173580.110000014</v>
          </cell>
          <cell r="C8">
            <v>42913851.12000002</v>
          </cell>
          <cell r="D8">
            <v>10558709.540000001</v>
          </cell>
          <cell r="E8">
            <v>8237496.150000006</v>
          </cell>
        </row>
        <row r="9">
          <cell r="A9" t="str">
            <v>Cauca</v>
          </cell>
          <cell r="B9">
            <v>57620490.359999985</v>
          </cell>
          <cell r="C9">
            <v>39535910.710000083</v>
          </cell>
          <cell r="D9">
            <v>8495908.1700000055</v>
          </cell>
          <cell r="E9">
            <v>9719364.1699999962</v>
          </cell>
        </row>
        <row r="10">
          <cell r="A10" t="str">
            <v>Santander</v>
          </cell>
          <cell r="B10">
            <v>28823470.28999998</v>
          </cell>
          <cell r="C10">
            <v>24910655.119999975</v>
          </cell>
          <cell r="D10">
            <v>10241196.679999994</v>
          </cell>
          <cell r="E10">
            <v>6460606.0299999984</v>
          </cell>
        </row>
        <row r="11">
          <cell r="A11" t="str">
            <v>Risaralda</v>
          </cell>
          <cell r="B11">
            <v>24240761.710000005</v>
          </cell>
          <cell r="C11">
            <v>21143376.780000031</v>
          </cell>
          <cell r="D11">
            <v>4514168.53</v>
          </cell>
          <cell r="E11">
            <v>4679994.3800000083</v>
          </cell>
        </row>
        <row r="12">
          <cell r="A12" t="str">
            <v>Boyacá</v>
          </cell>
          <cell r="B12">
            <v>10238888.049999995</v>
          </cell>
          <cell r="C12">
            <v>19069968.009999994</v>
          </cell>
          <cell r="D12">
            <v>2667942.5300000003</v>
          </cell>
          <cell r="E12">
            <v>2868788.3</v>
          </cell>
        </row>
        <row r="13">
          <cell r="A13" t="str">
            <v>Guajira</v>
          </cell>
          <cell r="B13">
            <v>17674872.27999996</v>
          </cell>
          <cell r="C13">
            <v>19057899.130000021</v>
          </cell>
          <cell r="D13">
            <v>3312094.7099999995</v>
          </cell>
          <cell r="E13">
            <v>5708094.5799999973</v>
          </cell>
        </row>
        <row r="14">
          <cell r="A14" t="str">
            <v>Norte de Santander</v>
          </cell>
          <cell r="B14">
            <v>10787820.380000001</v>
          </cell>
          <cell r="C14">
            <v>18545024.219999984</v>
          </cell>
          <cell r="D14">
            <v>2683701.2500000009</v>
          </cell>
          <cell r="E14">
            <v>5812874.9999999972</v>
          </cell>
        </row>
        <row r="15">
          <cell r="A15" t="str">
            <v>Casanare</v>
          </cell>
          <cell r="B15">
            <v>12957099.020000014</v>
          </cell>
          <cell r="C15">
            <v>8813179.4499999974</v>
          </cell>
          <cell r="D15">
            <v>4461621.4299999988</v>
          </cell>
          <cell r="E15">
            <v>1845387.8200000003</v>
          </cell>
        </row>
        <row r="16">
          <cell r="A16" t="str">
            <v>Nariño</v>
          </cell>
          <cell r="B16">
            <v>10091598.640000004</v>
          </cell>
          <cell r="C16">
            <v>5638567.6100000031</v>
          </cell>
          <cell r="D16">
            <v>1356471.4800000002</v>
          </cell>
          <cell r="E16">
            <v>1283256.9299999992</v>
          </cell>
        </row>
        <row r="17">
          <cell r="A17" t="str">
            <v>Magdalena</v>
          </cell>
          <cell r="B17">
            <v>25649431.150000017</v>
          </cell>
          <cell r="C17">
            <v>5394861.6999999974</v>
          </cell>
          <cell r="D17">
            <v>7065435.4900000039</v>
          </cell>
          <cell r="E17">
            <v>649106.95000000054</v>
          </cell>
        </row>
        <row r="18">
          <cell r="A18" t="str">
            <v>Cesar</v>
          </cell>
          <cell r="B18">
            <v>4132702.3999999962</v>
          </cell>
          <cell r="C18">
            <v>4084117.9399999985</v>
          </cell>
          <cell r="D18">
            <v>973764.55999999959</v>
          </cell>
          <cell r="E18">
            <v>967792.51000000047</v>
          </cell>
        </row>
        <row r="19">
          <cell r="A19" t="str">
            <v>Meta</v>
          </cell>
          <cell r="B19">
            <v>2202867.6500000008</v>
          </cell>
          <cell r="C19">
            <v>2856838.2000000007</v>
          </cell>
          <cell r="D19">
            <v>426017.32999999996</v>
          </cell>
          <cell r="E19">
            <v>818745.6</v>
          </cell>
        </row>
        <row r="20">
          <cell r="A20" t="str">
            <v>Córdoba</v>
          </cell>
          <cell r="B20">
            <v>1545233.6</v>
          </cell>
          <cell r="C20">
            <v>2444378.8300000005</v>
          </cell>
          <cell r="D20">
            <v>386886.70999999996</v>
          </cell>
          <cell r="E20">
            <v>276554.85000000003</v>
          </cell>
        </row>
        <row r="21">
          <cell r="A21" t="str">
            <v>Tolima</v>
          </cell>
          <cell r="B21">
            <v>1915378.5100000007</v>
          </cell>
          <cell r="C21">
            <v>2031278.7900000003</v>
          </cell>
          <cell r="D21">
            <v>613809.74000000011</v>
          </cell>
          <cell r="E21">
            <v>672432.94000000006</v>
          </cell>
        </row>
        <row r="22">
          <cell r="A22" t="str">
            <v>Quindío</v>
          </cell>
          <cell r="B22">
            <v>2932950.2900000019</v>
          </cell>
          <cell r="C22">
            <v>1162687.3099999991</v>
          </cell>
          <cell r="D22">
            <v>861845.75999999954</v>
          </cell>
          <cell r="E22">
            <v>234149.93999999994</v>
          </cell>
        </row>
        <row r="23">
          <cell r="A23" t="str">
            <v>Huila</v>
          </cell>
          <cell r="B23">
            <v>1527826.9500000002</v>
          </cell>
          <cell r="C23">
            <v>758850.88000000024</v>
          </cell>
          <cell r="D23">
            <v>106076.54000000001</v>
          </cell>
          <cell r="E23">
            <v>103971.35</v>
          </cell>
        </row>
        <row r="24">
          <cell r="A24" t="str">
            <v>San Andrés</v>
          </cell>
          <cell r="B24">
            <v>8030.6399999999994</v>
          </cell>
          <cell r="C24">
            <v>719202.01000000013</v>
          </cell>
          <cell r="D24">
            <v>0</v>
          </cell>
          <cell r="E24">
            <v>0</v>
          </cell>
        </row>
        <row r="25">
          <cell r="A25" t="str">
            <v>Sucre</v>
          </cell>
          <cell r="B25">
            <v>98259.94</v>
          </cell>
          <cell r="C25">
            <v>372822.86000000004</v>
          </cell>
          <cell r="D25">
            <v>21993.690000000002</v>
          </cell>
          <cell r="E25">
            <v>41455.589999999997</v>
          </cell>
        </row>
        <row r="26">
          <cell r="A26" t="str">
            <v>Aráuca</v>
          </cell>
          <cell r="B26">
            <v>56620.42</v>
          </cell>
          <cell r="C26">
            <v>271819.38</v>
          </cell>
          <cell r="D26">
            <v>56620.42</v>
          </cell>
          <cell r="E26">
            <v>5846.17</v>
          </cell>
        </row>
        <row r="27">
          <cell r="A27" t="str">
            <v>Amazonas</v>
          </cell>
          <cell r="B27">
            <v>69857.84</v>
          </cell>
          <cell r="C27">
            <v>127238.65999999999</v>
          </cell>
          <cell r="D27">
            <v>835.68</v>
          </cell>
          <cell r="E27">
            <v>2677.41</v>
          </cell>
        </row>
        <row r="28">
          <cell r="A28" t="str">
            <v>Putumayo</v>
          </cell>
          <cell r="B28">
            <v>110688.89</v>
          </cell>
          <cell r="C28">
            <v>39189.949999999997</v>
          </cell>
          <cell r="D28">
            <v>10737.01</v>
          </cell>
          <cell r="E28">
            <v>0</v>
          </cell>
        </row>
        <row r="29">
          <cell r="A29" t="str">
            <v>Chocó</v>
          </cell>
          <cell r="B29">
            <v>31726.79</v>
          </cell>
          <cell r="C29">
            <v>25330.41</v>
          </cell>
          <cell r="D29">
            <v>0</v>
          </cell>
          <cell r="E29">
            <v>24803.170000000002</v>
          </cell>
        </row>
        <row r="30">
          <cell r="A30" t="str">
            <v>Caquetá</v>
          </cell>
          <cell r="B30">
            <v>16431.05</v>
          </cell>
          <cell r="C30">
            <v>11607.419999999998</v>
          </cell>
          <cell r="D30">
            <v>0</v>
          </cell>
          <cell r="E30">
            <v>0</v>
          </cell>
        </row>
        <row r="31">
          <cell r="A31" t="str">
            <v>Vichada</v>
          </cell>
          <cell r="B31">
            <v>0</v>
          </cell>
          <cell r="C31">
            <v>2200.67</v>
          </cell>
          <cell r="D31">
            <v>0</v>
          </cell>
          <cell r="E31">
            <v>0</v>
          </cell>
        </row>
        <row r="32">
          <cell r="A32" t="str">
            <v>Guaviare</v>
          </cell>
          <cell r="B32">
            <v>0</v>
          </cell>
          <cell r="C32">
            <v>202</v>
          </cell>
          <cell r="D32">
            <v>0</v>
          </cell>
          <cell r="E32">
            <v>202</v>
          </cell>
        </row>
        <row r="33">
          <cell r="A33" t="str">
            <v>Vaupés</v>
          </cell>
          <cell r="B33">
            <v>359506.79000000004</v>
          </cell>
          <cell r="C33">
            <v>0</v>
          </cell>
          <cell r="D33">
            <v>15639.95</v>
          </cell>
          <cell r="E33">
            <v>0</v>
          </cell>
        </row>
      </sheetData>
      <sheetData sheetId="5">
        <row r="2">
          <cell r="A2" t="str">
            <v>Bogotá</v>
          </cell>
          <cell r="B2">
            <v>2918351097.2699866</v>
          </cell>
          <cell r="C2">
            <v>2696759773.9900346</v>
          </cell>
          <cell r="D2">
            <v>724824869.58999896</v>
          </cell>
          <cell r="E2">
            <v>809200295.7899996</v>
          </cell>
        </row>
        <row r="3">
          <cell r="A3" t="str">
            <v>Antioquia</v>
          </cell>
          <cell r="B3">
            <v>926350718.9399997</v>
          </cell>
          <cell r="C3">
            <v>888514522.86000884</v>
          </cell>
          <cell r="D3">
            <v>232145853.23000014</v>
          </cell>
          <cell r="E3">
            <v>230866181.90999958</v>
          </cell>
        </row>
        <row r="4">
          <cell r="A4" t="str">
            <v>Cundinamarca</v>
          </cell>
          <cell r="B4">
            <v>1082800348.099998</v>
          </cell>
          <cell r="C4">
            <v>886028645.50000834</v>
          </cell>
          <cell r="D4">
            <v>279847432.03999954</v>
          </cell>
          <cell r="E4">
            <v>231231636.24000072</v>
          </cell>
        </row>
        <row r="5">
          <cell r="A5" t="str">
            <v>Valle del Cauca</v>
          </cell>
          <cell r="B5">
            <v>608179114.78000033</v>
          </cell>
          <cell r="C5">
            <v>545427929.73999822</v>
          </cell>
          <cell r="D5">
            <v>132460119.78000003</v>
          </cell>
          <cell r="E5">
            <v>145023009.66</v>
          </cell>
        </row>
        <row r="6">
          <cell r="A6" t="str">
            <v>Atlántico</v>
          </cell>
          <cell r="B6">
            <v>318572581.56000143</v>
          </cell>
          <cell r="C6">
            <v>327960321.15999818</v>
          </cell>
          <cell r="D6">
            <v>82630158.439999968</v>
          </cell>
          <cell r="E6">
            <v>106356569.56000005</v>
          </cell>
        </row>
        <row r="7">
          <cell r="A7" t="str">
            <v>Bolívar</v>
          </cell>
          <cell r="B7">
            <v>280855095.83000088</v>
          </cell>
          <cell r="C7">
            <v>267407121.51999974</v>
          </cell>
          <cell r="D7">
            <v>54955588.450000092</v>
          </cell>
          <cell r="E7">
            <v>76111556.960000083</v>
          </cell>
        </row>
        <row r="8">
          <cell r="A8" t="str">
            <v>Guajira</v>
          </cell>
          <cell r="B8">
            <v>143556743.59999993</v>
          </cell>
          <cell r="C8">
            <v>193786152.94999957</v>
          </cell>
          <cell r="D8">
            <v>44779039.290000044</v>
          </cell>
          <cell r="E8">
            <v>69287893.179999948</v>
          </cell>
        </row>
        <row r="9">
          <cell r="A9" t="str">
            <v>Santander</v>
          </cell>
          <cell r="B9">
            <v>84527256.919999838</v>
          </cell>
          <cell r="C9">
            <v>66367653.279999979</v>
          </cell>
          <cell r="D9">
            <v>19731143.38000001</v>
          </cell>
          <cell r="E9">
            <v>14474070.149999985</v>
          </cell>
        </row>
        <row r="10">
          <cell r="A10" t="str">
            <v>Cesar</v>
          </cell>
          <cell r="B10">
            <v>86875345.289999872</v>
          </cell>
          <cell r="C10">
            <v>60218241.580000073</v>
          </cell>
          <cell r="D10">
            <v>19717905.630000032</v>
          </cell>
          <cell r="E10">
            <v>14384248.170000002</v>
          </cell>
        </row>
        <row r="11">
          <cell r="A11" t="str">
            <v>Risaralda</v>
          </cell>
          <cell r="B11">
            <v>63531345.739999913</v>
          </cell>
          <cell r="C11">
            <v>56771775.429999776</v>
          </cell>
          <cell r="D11">
            <v>15382580.230000006</v>
          </cell>
          <cell r="E11">
            <v>15362050.899999984</v>
          </cell>
        </row>
        <row r="12">
          <cell r="A12" t="str">
            <v>Caldas</v>
          </cell>
          <cell r="B12">
            <v>59596103.729999892</v>
          </cell>
          <cell r="C12">
            <v>56379483.780000076</v>
          </cell>
          <cell r="D12">
            <v>17967266.050000001</v>
          </cell>
          <cell r="E12">
            <v>15229441.170000013</v>
          </cell>
        </row>
        <row r="13">
          <cell r="A13" t="str">
            <v>Casanare</v>
          </cell>
          <cell r="B13">
            <v>33394065.050000004</v>
          </cell>
          <cell r="C13">
            <v>50322765.629999906</v>
          </cell>
          <cell r="D13">
            <v>9697491.5400000028</v>
          </cell>
          <cell r="E13">
            <v>17778622.23</v>
          </cell>
        </row>
        <row r="14">
          <cell r="A14" t="str">
            <v>Cauca</v>
          </cell>
          <cell r="B14">
            <v>33368852.249999989</v>
          </cell>
          <cell r="C14">
            <v>31067759.520000011</v>
          </cell>
          <cell r="D14">
            <v>7583737.6699999981</v>
          </cell>
          <cell r="E14">
            <v>7421220.9299999997</v>
          </cell>
        </row>
        <row r="15">
          <cell r="A15" t="str">
            <v>Norte de Santander</v>
          </cell>
          <cell r="B15">
            <v>31662278.440000001</v>
          </cell>
          <cell r="C15">
            <v>29807923.969999999</v>
          </cell>
          <cell r="D15">
            <v>7011564.2299999967</v>
          </cell>
          <cell r="E15">
            <v>6813577.209999999</v>
          </cell>
        </row>
        <row r="16">
          <cell r="A16" t="str">
            <v>Magdalena</v>
          </cell>
          <cell r="B16">
            <v>105136728.83999997</v>
          </cell>
          <cell r="C16">
            <v>24919183.469999965</v>
          </cell>
          <cell r="D16">
            <v>7861170.8599999975</v>
          </cell>
          <cell r="E16">
            <v>11497991.960000003</v>
          </cell>
        </row>
        <row r="17">
          <cell r="A17" t="str">
            <v>Boyacá</v>
          </cell>
          <cell r="B17">
            <v>45417403.5</v>
          </cell>
          <cell r="C17">
            <v>19871786.690000013</v>
          </cell>
          <cell r="D17">
            <v>7126353.3999999985</v>
          </cell>
          <cell r="E17">
            <v>6885491.0999999978</v>
          </cell>
        </row>
        <row r="18">
          <cell r="A18" t="str">
            <v>Meta</v>
          </cell>
          <cell r="B18">
            <v>14306285.770000001</v>
          </cell>
          <cell r="C18">
            <v>8779744.8699999917</v>
          </cell>
          <cell r="D18">
            <v>4544869.6900000004</v>
          </cell>
          <cell r="E18">
            <v>2053997.2400000002</v>
          </cell>
        </row>
        <row r="19">
          <cell r="A19" t="str">
            <v>Córdoba</v>
          </cell>
          <cell r="B19">
            <v>15868038.129999995</v>
          </cell>
          <cell r="C19">
            <v>6582472.8799999999</v>
          </cell>
          <cell r="D19">
            <v>1743102.0199999993</v>
          </cell>
          <cell r="E19">
            <v>338507.57000000007</v>
          </cell>
        </row>
        <row r="20">
          <cell r="A20" t="str">
            <v>Quindío</v>
          </cell>
          <cell r="B20">
            <v>7889737.329999988</v>
          </cell>
          <cell r="C20">
            <v>6246143.2400000021</v>
          </cell>
          <cell r="D20">
            <v>579099.0199999999</v>
          </cell>
          <cell r="E20">
            <v>1276117.75</v>
          </cell>
        </row>
        <row r="21">
          <cell r="A21" t="str">
            <v>Nariño</v>
          </cell>
          <cell r="B21">
            <v>28139315.430000003</v>
          </cell>
          <cell r="C21">
            <v>5965040.8000000017</v>
          </cell>
          <cell r="D21">
            <v>1909603.0299999998</v>
          </cell>
          <cell r="E21">
            <v>3003365.5500000003</v>
          </cell>
        </row>
        <row r="22">
          <cell r="A22" t="str">
            <v>Huila</v>
          </cell>
          <cell r="B22">
            <v>11816794.069999998</v>
          </cell>
          <cell r="C22">
            <v>5370336.1500000013</v>
          </cell>
          <cell r="D22">
            <v>3298722.9400000023</v>
          </cell>
          <cell r="E22">
            <v>812462.32999999984</v>
          </cell>
        </row>
        <row r="23">
          <cell r="A23" t="str">
            <v>Tolima</v>
          </cell>
          <cell r="B23">
            <v>8850820.7200000025</v>
          </cell>
          <cell r="C23">
            <v>4173271.5700000008</v>
          </cell>
          <cell r="D23">
            <v>3428490.3500000006</v>
          </cell>
          <cell r="E23">
            <v>853961.61999999976</v>
          </cell>
        </row>
        <row r="24">
          <cell r="A24" t="str">
            <v>Aráuca</v>
          </cell>
          <cell r="B24">
            <v>1957898.5099999998</v>
          </cell>
          <cell r="C24">
            <v>2955547.0100000007</v>
          </cell>
          <cell r="D24">
            <v>1045575.86</v>
          </cell>
          <cell r="E24">
            <v>1187810.3699999999</v>
          </cell>
        </row>
        <row r="25">
          <cell r="A25" t="str">
            <v>Sucre</v>
          </cell>
          <cell r="B25">
            <v>1236583.49</v>
          </cell>
          <cell r="C25">
            <v>1123153.6799999997</v>
          </cell>
          <cell r="D25">
            <v>84054</v>
          </cell>
          <cell r="E25">
            <v>313303.82999999996</v>
          </cell>
        </row>
        <row r="26">
          <cell r="A26" t="str">
            <v>Chocó</v>
          </cell>
          <cell r="B26">
            <v>51394.869999999995</v>
          </cell>
          <cell r="C26">
            <v>878510.72000000009</v>
          </cell>
          <cell r="D26">
            <v>0</v>
          </cell>
          <cell r="E26">
            <v>0</v>
          </cell>
        </row>
        <row r="27">
          <cell r="A27" t="str">
            <v>Guaviare</v>
          </cell>
          <cell r="B27">
            <v>0</v>
          </cell>
          <cell r="C27">
            <v>335129.06</v>
          </cell>
          <cell r="D27">
            <v>0</v>
          </cell>
          <cell r="E27">
            <v>335129.06</v>
          </cell>
        </row>
        <row r="28">
          <cell r="A28" t="str">
            <v>San Andrés</v>
          </cell>
          <cell r="B28">
            <v>129851.34000000001</v>
          </cell>
          <cell r="C28">
            <v>328733.01</v>
          </cell>
          <cell r="D28">
            <v>0</v>
          </cell>
          <cell r="E28">
            <v>323310.32</v>
          </cell>
        </row>
        <row r="29">
          <cell r="A29" t="str">
            <v>Vichada</v>
          </cell>
          <cell r="B29">
            <v>37614.519999999997</v>
          </cell>
          <cell r="C29">
            <v>205377.26999999993</v>
          </cell>
          <cell r="D29">
            <v>0</v>
          </cell>
          <cell r="E29">
            <v>34614.28</v>
          </cell>
        </row>
        <row r="30">
          <cell r="A30" t="str">
            <v>Amazonas</v>
          </cell>
          <cell r="B30">
            <v>241494.24</v>
          </cell>
          <cell r="C30">
            <v>141511.35999999996</v>
          </cell>
          <cell r="D30">
            <v>118482.79000000002</v>
          </cell>
          <cell r="E30">
            <v>32215.010000000002</v>
          </cell>
        </row>
        <row r="31">
          <cell r="A31" t="str">
            <v>Caquetá</v>
          </cell>
          <cell r="B31">
            <v>7607.73</v>
          </cell>
          <cell r="C31">
            <v>18469.34</v>
          </cell>
          <cell r="D31">
            <v>0</v>
          </cell>
          <cell r="E31">
            <v>14250.27</v>
          </cell>
        </row>
        <row r="32">
          <cell r="A32" t="str">
            <v>Putumayo</v>
          </cell>
          <cell r="B32">
            <v>2074843.77</v>
          </cell>
          <cell r="C32">
            <v>15369.36</v>
          </cell>
          <cell r="D32">
            <v>71359.72</v>
          </cell>
          <cell r="E32">
            <v>0</v>
          </cell>
        </row>
        <row r="33">
          <cell r="A33" t="str">
            <v>Vaupés</v>
          </cell>
          <cell r="B33">
            <v>36927.769999999997</v>
          </cell>
          <cell r="C33">
            <v>0</v>
          </cell>
          <cell r="D33">
            <v>36927.769999999997</v>
          </cell>
          <cell r="E33">
            <v>0</v>
          </cell>
        </row>
      </sheetData>
      <sheetData sheetId="6">
        <row r="2">
          <cell r="A2" t="str">
            <v>Bogotá</v>
          </cell>
          <cell r="B2">
            <v>2343371703.5999851</v>
          </cell>
          <cell r="C2">
            <v>3306586737.9399662</v>
          </cell>
          <cell r="D2">
            <v>605980327.1099968</v>
          </cell>
          <cell r="E2">
            <v>863918742.82999504</v>
          </cell>
        </row>
        <row r="3">
          <cell r="A3" t="str">
            <v>Cundinamarca</v>
          </cell>
          <cell r="B3">
            <v>324700447.06000036</v>
          </cell>
          <cell r="C3">
            <v>428943875.89000034</v>
          </cell>
          <cell r="D3">
            <v>120636681.08999991</v>
          </cell>
          <cell r="E3">
            <v>129461181.72999988</v>
          </cell>
        </row>
        <row r="4">
          <cell r="A4" t="str">
            <v>Antioquia</v>
          </cell>
          <cell r="B4">
            <v>168684883.62000039</v>
          </cell>
          <cell r="C4">
            <v>395514922.09000146</v>
          </cell>
          <cell r="D4">
            <v>32710749.889999993</v>
          </cell>
          <cell r="E4">
            <v>50436405.129999898</v>
          </cell>
        </row>
        <row r="5">
          <cell r="A5" t="str">
            <v>Valle del Cauca</v>
          </cell>
          <cell r="B5">
            <v>139273642.9600001</v>
          </cell>
          <cell r="C5">
            <v>110508149.2599998</v>
          </cell>
          <cell r="D5">
            <v>26473219.810000021</v>
          </cell>
          <cell r="E5">
            <v>32820050.699999999</v>
          </cell>
        </row>
        <row r="6">
          <cell r="A6" t="str">
            <v>Atlántico</v>
          </cell>
          <cell r="B6">
            <v>48544384.810000159</v>
          </cell>
          <cell r="C6">
            <v>47946531.16999986</v>
          </cell>
          <cell r="D6">
            <v>13875935.810000017</v>
          </cell>
          <cell r="E6">
            <v>13100693.760000009</v>
          </cell>
        </row>
        <row r="7">
          <cell r="A7" t="str">
            <v>Santander</v>
          </cell>
          <cell r="B7">
            <v>41568367.819999941</v>
          </cell>
          <cell r="C7">
            <v>24254010.010000028</v>
          </cell>
          <cell r="D7">
            <v>12961797.909999996</v>
          </cell>
          <cell r="E7">
            <v>7630834.9399999976</v>
          </cell>
        </row>
        <row r="8">
          <cell r="A8" t="str">
            <v>Cesar</v>
          </cell>
          <cell r="B8">
            <v>5301321.0799999973</v>
          </cell>
          <cell r="C8">
            <v>17343034.200000007</v>
          </cell>
          <cell r="D8">
            <v>1299250.8099999991</v>
          </cell>
          <cell r="E8">
            <v>1803802.6099999999</v>
          </cell>
        </row>
        <row r="9">
          <cell r="A9" t="str">
            <v>Guajira</v>
          </cell>
          <cell r="B9">
            <v>12394667.690000003</v>
          </cell>
          <cell r="C9">
            <v>14750818.270000009</v>
          </cell>
          <cell r="D9">
            <v>4060234.6999999997</v>
          </cell>
          <cell r="E9">
            <v>3718449.0999999982</v>
          </cell>
        </row>
        <row r="10">
          <cell r="A10" t="str">
            <v>Bolívar</v>
          </cell>
          <cell r="B10">
            <v>17313016.68000003</v>
          </cell>
          <cell r="C10">
            <v>14607827.270000022</v>
          </cell>
          <cell r="D10">
            <v>5912148.8100000024</v>
          </cell>
          <cell r="E10">
            <v>4045626.4799999991</v>
          </cell>
        </row>
        <row r="11">
          <cell r="A11" t="str">
            <v>Risaralda</v>
          </cell>
          <cell r="B11">
            <v>21829407.59000003</v>
          </cell>
          <cell r="C11">
            <v>13233246.679999966</v>
          </cell>
          <cell r="D11">
            <v>8633444.1699999943</v>
          </cell>
          <cell r="E11">
            <v>4075187.2299999991</v>
          </cell>
        </row>
        <row r="12">
          <cell r="A12" t="str">
            <v>Boyacá</v>
          </cell>
          <cell r="B12">
            <v>2698646.14</v>
          </cell>
          <cell r="C12">
            <v>6661925.2700000005</v>
          </cell>
          <cell r="D12">
            <v>366805.35000000015</v>
          </cell>
          <cell r="E12">
            <v>4571918.5699999994</v>
          </cell>
        </row>
        <row r="13">
          <cell r="A13" t="str">
            <v>Huila</v>
          </cell>
          <cell r="B13">
            <v>515285.75999999995</v>
          </cell>
          <cell r="C13">
            <v>6237912.3899999987</v>
          </cell>
          <cell r="D13">
            <v>48678.45</v>
          </cell>
          <cell r="E13">
            <v>1258733.03</v>
          </cell>
        </row>
        <row r="14">
          <cell r="A14" t="str">
            <v>Cauca</v>
          </cell>
          <cell r="B14">
            <v>11111481.670000004</v>
          </cell>
          <cell r="C14">
            <v>5942215.0799999963</v>
          </cell>
          <cell r="D14">
            <v>685365.49</v>
          </cell>
          <cell r="E14">
            <v>1263000.1299999994</v>
          </cell>
        </row>
        <row r="15">
          <cell r="A15" t="str">
            <v>Caldas</v>
          </cell>
          <cell r="B15">
            <v>3769367.1099999971</v>
          </cell>
          <cell r="C15">
            <v>3594185.4999999995</v>
          </cell>
          <cell r="D15">
            <v>1029668.9099999996</v>
          </cell>
          <cell r="E15">
            <v>1103315.1200000006</v>
          </cell>
        </row>
        <row r="16">
          <cell r="A16" t="str">
            <v>Casanare</v>
          </cell>
          <cell r="B16">
            <v>17067013.930000007</v>
          </cell>
          <cell r="C16">
            <v>3423865.2199999997</v>
          </cell>
          <cell r="D16">
            <v>9857244.3600000031</v>
          </cell>
          <cell r="E16">
            <v>1189321.5100000002</v>
          </cell>
        </row>
        <row r="17">
          <cell r="A17" t="str">
            <v>Meta</v>
          </cell>
          <cell r="B17">
            <v>2136835.8199999994</v>
          </cell>
          <cell r="C17">
            <v>2862711.66</v>
          </cell>
          <cell r="D17">
            <v>157046.26999999999</v>
          </cell>
          <cell r="E17">
            <v>1709650.99</v>
          </cell>
        </row>
        <row r="18">
          <cell r="A18" t="str">
            <v>Magdalena</v>
          </cell>
          <cell r="B18">
            <v>1718438.5599999998</v>
          </cell>
          <cell r="C18">
            <v>1716411.45</v>
          </cell>
          <cell r="D18">
            <v>246731.86</v>
          </cell>
          <cell r="E18">
            <v>877542.34</v>
          </cell>
        </row>
        <row r="19">
          <cell r="A19" t="str">
            <v>Quindío</v>
          </cell>
          <cell r="B19">
            <v>889793.45999999892</v>
          </cell>
          <cell r="C19">
            <v>882731.27</v>
          </cell>
          <cell r="D19">
            <v>305289.87</v>
          </cell>
          <cell r="E19">
            <v>44558.529999999992</v>
          </cell>
        </row>
        <row r="20">
          <cell r="A20" t="str">
            <v>Córdoba</v>
          </cell>
          <cell r="B20">
            <v>902151.53000000026</v>
          </cell>
          <cell r="C20">
            <v>833658.03000000014</v>
          </cell>
          <cell r="D20">
            <v>208510.55999999997</v>
          </cell>
          <cell r="E20">
            <v>217558.53000000003</v>
          </cell>
        </row>
        <row r="21">
          <cell r="A21" t="str">
            <v>Norte de Santander</v>
          </cell>
          <cell r="B21">
            <v>1912931.1000000003</v>
          </cell>
          <cell r="C21">
            <v>802165.04000000027</v>
          </cell>
          <cell r="D21">
            <v>533289.16</v>
          </cell>
          <cell r="E21">
            <v>166145.18000000002</v>
          </cell>
        </row>
        <row r="22">
          <cell r="A22" t="str">
            <v>Nariño</v>
          </cell>
          <cell r="B22">
            <v>839951.01999999967</v>
          </cell>
          <cell r="C22">
            <v>722417.62</v>
          </cell>
          <cell r="D22">
            <v>161471.13999999998</v>
          </cell>
          <cell r="E22">
            <v>92021.119999999995</v>
          </cell>
        </row>
        <row r="23">
          <cell r="A23" t="str">
            <v>Tolima</v>
          </cell>
          <cell r="B23">
            <v>642565</v>
          </cell>
          <cell r="C23">
            <v>592012.24000000011</v>
          </cell>
          <cell r="D23">
            <v>187063.04999999996</v>
          </cell>
          <cell r="E23">
            <v>98616.62</v>
          </cell>
        </row>
        <row r="24">
          <cell r="A24" t="str">
            <v>Vaupés</v>
          </cell>
          <cell r="B24">
            <v>0</v>
          </cell>
          <cell r="C24">
            <v>299003.78000000003</v>
          </cell>
          <cell r="D24">
            <v>0</v>
          </cell>
          <cell r="E24">
            <v>299003.78000000003</v>
          </cell>
        </row>
        <row r="25">
          <cell r="A25" t="str">
            <v>Aráuca</v>
          </cell>
          <cell r="B25">
            <v>102043.06</v>
          </cell>
          <cell r="C25">
            <v>260809.88999999998</v>
          </cell>
          <cell r="D25">
            <v>78044</v>
          </cell>
          <cell r="E25">
            <v>81306.8</v>
          </cell>
        </row>
        <row r="26">
          <cell r="A26" t="str">
            <v>San Andrés</v>
          </cell>
          <cell r="B26">
            <v>78716.420000000013</v>
          </cell>
          <cell r="C26">
            <v>109897.20000000001</v>
          </cell>
          <cell r="D26">
            <v>63492.79</v>
          </cell>
          <cell r="E26">
            <v>0</v>
          </cell>
        </row>
        <row r="27">
          <cell r="A27" t="str">
            <v>Sucre</v>
          </cell>
          <cell r="B27">
            <v>123840.74</v>
          </cell>
          <cell r="C27">
            <v>60801.82</v>
          </cell>
          <cell r="D27">
            <v>40651.729999999996</v>
          </cell>
          <cell r="E27">
            <v>20561.080000000002</v>
          </cell>
        </row>
        <row r="28">
          <cell r="A28" t="str">
            <v>Amazonas</v>
          </cell>
          <cell r="B28">
            <v>47522.75</v>
          </cell>
          <cell r="C28">
            <v>6836.98</v>
          </cell>
          <cell r="D28">
            <v>0</v>
          </cell>
          <cell r="E28">
            <v>0</v>
          </cell>
        </row>
        <row r="29">
          <cell r="A29" t="str">
            <v>Putumayo</v>
          </cell>
          <cell r="B29">
            <v>17502.120000000003</v>
          </cell>
          <cell r="C29">
            <v>6381.3799999999992</v>
          </cell>
          <cell r="D29">
            <v>15681.77</v>
          </cell>
          <cell r="E29">
            <v>0</v>
          </cell>
        </row>
        <row r="30">
          <cell r="A30" t="str">
            <v>Vichada</v>
          </cell>
          <cell r="B30">
            <v>480.41</v>
          </cell>
          <cell r="C30">
            <v>2204.13</v>
          </cell>
          <cell r="D30">
            <v>0</v>
          </cell>
          <cell r="E30">
            <v>0</v>
          </cell>
        </row>
        <row r="31">
          <cell r="A31" t="str">
            <v>Chocó</v>
          </cell>
          <cell r="B31">
            <v>374.77</v>
          </cell>
          <cell r="C31">
            <v>344.29999999999995</v>
          </cell>
          <cell r="D31">
            <v>0</v>
          </cell>
          <cell r="E31">
            <v>0</v>
          </cell>
        </row>
        <row r="32">
          <cell r="A32" t="str">
            <v>Caquetá</v>
          </cell>
          <cell r="B32">
            <v>114464.97</v>
          </cell>
          <cell r="C32">
            <v>0</v>
          </cell>
          <cell r="D32">
            <v>53324.800000000003</v>
          </cell>
          <cell r="E32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J24" sqref="J24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9" t="s">
        <v>0</v>
      </c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20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6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7"/>
      <c r="R14" s="9"/>
    </row>
    <row r="15" spans="1:18" ht="16.5" customHeight="1">
      <c r="A15" s="14"/>
      <c r="B15" s="9"/>
      <c r="C15" s="9"/>
      <c r="D15" s="93" t="s">
        <v>74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08"/>
      <c r="R15" s="9"/>
    </row>
    <row r="16" spans="1:18" ht="16.5" customHeight="1">
      <c r="A16" s="14"/>
      <c r="B16" s="9"/>
      <c r="C16" s="9"/>
      <c r="D16" s="93" t="s">
        <v>117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08"/>
      <c r="R16" s="9"/>
    </row>
    <row r="17" spans="1:18" ht="16.5" customHeight="1">
      <c r="A17" s="14"/>
      <c r="B17" s="9"/>
      <c r="C17" s="9"/>
      <c r="D17" s="93" t="s">
        <v>71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07"/>
      <c r="R17" s="9"/>
    </row>
    <row r="18" spans="1:18" ht="16.5" customHeight="1">
      <c r="A18" s="14"/>
      <c r="B18" s="9"/>
      <c r="C18" s="9"/>
      <c r="D18" s="93" t="s">
        <v>72</v>
      </c>
      <c r="E18" s="9"/>
      <c r="F18" s="9"/>
      <c r="G18" s="9"/>
      <c r="H18" s="9"/>
      <c r="I18" s="9"/>
      <c r="J18" s="9"/>
      <c r="K18" s="9"/>
      <c r="L18" s="93" t="s">
        <v>115</v>
      </c>
      <c r="M18" s="9"/>
      <c r="N18" s="9"/>
      <c r="O18" s="9"/>
      <c r="P18" s="9"/>
      <c r="Q18" s="107"/>
      <c r="R18" s="9"/>
    </row>
    <row r="19" spans="1:18" ht="16.5" customHeight="1">
      <c r="A19" s="14"/>
      <c r="B19" s="9"/>
      <c r="C19" s="9"/>
      <c r="D19" s="93" t="s">
        <v>70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07"/>
      <c r="R19" s="9"/>
    </row>
    <row r="20" spans="1:18" ht="16.5" customHeight="1">
      <c r="A20" s="14"/>
      <c r="B20" s="9"/>
      <c r="C20" s="9"/>
      <c r="D20" s="93" t="s">
        <v>76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07"/>
      <c r="R20" s="9"/>
    </row>
    <row r="21" spans="1:18" ht="16.5" customHeight="1">
      <c r="A21" s="14"/>
      <c r="B21" s="9"/>
      <c r="C21" s="9"/>
      <c r="D21" s="93" t="s">
        <v>73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07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/>
      <c r="M22" s="9"/>
      <c r="N22" s="9"/>
      <c r="O22" s="28"/>
      <c r="P22" s="9"/>
      <c r="Q22" s="107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/>
      <c r="M23" s="9"/>
      <c r="N23" s="28"/>
      <c r="O23" s="28"/>
      <c r="P23" s="9"/>
      <c r="Q23" s="107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/>
      <c r="M24" s="9"/>
      <c r="N24" s="33"/>
      <c r="O24" s="28"/>
      <c r="P24" s="9"/>
      <c r="Q24" s="107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/>
      <c r="M25" s="9"/>
      <c r="N25" s="33"/>
      <c r="O25" s="28"/>
      <c r="P25" s="9"/>
      <c r="Q25" s="107"/>
      <c r="R25" s="9"/>
    </row>
    <row r="26" spans="1:18" ht="16.5" customHeight="1">
      <c r="A26" s="14"/>
      <c r="B26" s="9"/>
      <c r="C26" s="9"/>
      <c r="D26" s="93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7"/>
      <c r="R26" s="9"/>
    </row>
    <row r="27" spans="1:18" ht="16.5" customHeight="1">
      <c r="A27" s="14"/>
      <c r="B27" s="9"/>
      <c r="C27" s="9"/>
      <c r="D27" s="93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9"/>
      <c r="R27" s="9"/>
    </row>
    <row r="28" spans="1:18" ht="16.5" customHeight="1">
      <c r="A28" s="14"/>
      <c r="B28" s="9"/>
      <c r="C28" s="9"/>
      <c r="D28" s="93" t="s">
        <v>126</v>
      </c>
      <c r="E28" s="9"/>
      <c r="F28" s="9"/>
      <c r="G28" s="9"/>
      <c r="H28" s="9"/>
      <c r="I28" s="9"/>
      <c r="J28" s="9"/>
      <c r="K28" s="28"/>
      <c r="L28" s="93" t="s">
        <v>48</v>
      </c>
      <c r="M28" s="1"/>
      <c r="N28" s="9"/>
      <c r="O28" s="25"/>
      <c r="P28" s="9"/>
      <c r="Q28" s="109"/>
      <c r="R28" s="9"/>
    </row>
    <row r="29" spans="1:18" ht="16.5" customHeight="1">
      <c r="A29" s="14"/>
      <c r="B29" s="9"/>
      <c r="C29" s="9"/>
      <c r="D29" s="93" t="s">
        <v>129</v>
      </c>
      <c r="E29" s="32"/>
      <c r="F29" s="9"/>
      <c r="G29" s="9"/>
      <c r="H29" s="9"/>
      <c r="I29" s="9"/>
      <c r="J29" s="9"/>
      <c r="K29" s="28"/>
      <c r="L29" s="93" t="s">
        <v>75</v>
      </c>
      <c r="M29" s="28"/>
      <c r="N29" s="9"/>
      <c r="O29" s="25"/>
      <c r="P29" s="9"/>
      <c r="Q29" s="109"/>
      <c r="R29" s="9"/>
    </row>
    <row r="30" spans="1:18" ht="16.5" customHeight="1">
      <c r="A30" s="14"/>
      <c r="B30" s="9"/>
      <c r="C30" s="9"/>
      <c r="D30" s="93" t="s">
        <v>128</v>
      </c>
      <c r="E30" s="32"/>
      <c r="F30" s="9"/>
      <c r="G30" s="9"/>
      <c r="H30" s="9"/>
      <c r="I30" s="9"/>
      <c r="J30" s="9"/>
      <c r="K30" s="28"/>
      <c r="L30" s="93" t="s">
        <v>30</v>
      </c>
      <c r="M30" s="9"/>
      <c r="N30" s="9"/>
      <c r="O30" s="25"/>
      <c r="P30" s="9"/>
      <c r="Q30" s="109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47</v>
      </c>
      <c r="M31" s="9"/>
      <c r="N31" s="9"/>
      <c r="O31" s="25"/>
      <c r="P31" s="9"/>
      <c r="Q31" s="109"/>
      <c r="R31" s="9"/>
    </row>
    <row r="32" spans="1:18" ht="16.5" customHeight="1">
      <c r="A32" s="14"/>
      <c r="B32" s="9"/>
      <c r="C32" s="9"/>
      <c r="D32" s="93" t="s">
        <v>118</v>
      </c>
      <c r="E32" s="32"/>
      <c r="F32" s="9"/>
      <c r="G32" s="9"/>
      <c r="H32" s="9"/>
      <c r="I32" s="9"/>
      <c r="J32" s="9"/>
      <c r="K32" s="28"/>
      <c r="L32" s="93" t="s">
        <v>43</v>
      </c>
      <c r="M32" s="9"/>
      <c r="N32" s="9"/>
      <c r="O32" s="25"/>
      <c r="P32" s="9"/>
      <c r="Q32" s="109"/>
      <c r="R32" s="9"/>
    </row>
    <row r="33" spans="1:18" ht="16.5" customHeight="1">
      <c r="A33" s="14"/>
      <c r="B33" s="9"/>
      <c r="C33" s="9"/>
      <c r="D33" s="93" t="s">
        <v>77</v>
      </c>
      <c r="E33" s="32"/>
      <c r="F33" s="9"/>
      <c r="G33" s="9"/>
      <c r="H33" s="9"/>
      <c r="I33" s="9"/>
      <c r="J33" s="9"/>
      <c r="K33" s="28"/>
      <c r="L33" s="93" t="s">
        <v>44</v>
      </c>
      <c r="M33" s="9"/>
      <c r="N33" s="9"/>
      <c r="O33" s="25"/>
      <c r="P33" s="9"/>
      <c r="Q33" s="109"/>
      <c r="R33" s="9"/>
    </row>
    <row r="34" spans="1:18" ht="16.5" customHeight="1">
      <c r="A34" s="14"/>
      <c r="B34" s="9"/>
      <c r="C34" s="9"/>
      <c r="D34" s="93" t="s">
        <v>79</v>
      </c>
      <c r="E34" s="85"/>
      <c r="F34" s="9"/>
      <c r="G34" s="9"/>
      <c r="H34" s="9"/>
      <c r="I34" s="9"/>
      <c r="J34" s="9"/>
      <c r="K34" s="28"/>
      <c r="L34" s="93" t="s">
        <v>45</v>
      </c>
      <c r="M34" s="9"/>
      <c r="N34" s="9"/>
      <c r="O34" s="25"/>
      <c r="P34" s="9"/>
      <c r="Q34" s="109"/>
      <c r="R34" s="9"/>
    </row>
    <row r="35" spans="1:18" ht="16.5" customHeight="1">
      <c r="A35" s="14"/>
      <c r="B35" s="9"/>
      <c r="C35" s="9"/>
      <c r="E35" s="85"/>
      <c r="F35" s="9"/>
      <c r="G35" s="9"/>
      <c r="H35" s="9"/>
      <c r="I35" s="9"/>
      <c r="M35" s="9"/>
      <c r="N35" s="9"/>
      <c r="O35" s="25"/>
      <c r="P35" s="9"/>
      <c r="Q35" s="109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M36" s="9"/>
      <c r="N36" s="9"/>
      <c r="O36" s="25"/>
      <c r="P36" s="9"/>
      <c r="Q36" s="109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0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activeCell="M18" sqref="M18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1"/>
      <c r="M1" s="111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1"/>
      <c r="M2" s="111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1"/>
      <c r="M3" s="111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1"/>
      <c r="L4" s="111"/>
      <c r="M4" s="111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1"/>
      <c r="L5" s="111"/>
      <c r="M5" s="111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1"/>
      <c r="L6" s="111"/>
      <c r="M6" s="111"/>
    </row>
    <row r="7" spans="1:13">
      <c r="A7" s="14"/>
      <c r="B7" s="8"/>
      <c r="C7" s="121"/>
      <c r="D7" s="121"/>
      <c r="E7" s="121"/>
      <c r="F7" s="121"/>
      <c r="G7" s="121"/>
      <c r="H7" s="121"/>
      <c r="I7" s="121"/>
      <c r="J7" s="16"/>
      <c r="K7" s="111"/>
      <c r="L7" s="111"/>
      <c r="M7" s="111"/>
    </row>
    <row r="8" spans="1:13">
      <c r="A8" s="14"/>
      <c r="B8" s="121" t="s">
        <v>22</v>
      </c>
      <c r="C8" s="121"/>
      <c r="D8" s="121"/>
      <c r="E8" s="121"/>
      <c r="F8" s="121"/>
      <c r="G8" s="121"/>
      <c r="H8" s="121"/>
      <c r="I8" s="8"/>
      <c r="J8" s="16"/>
      <c r="K8" s="111"/>
      <c r="L8" s="111"/>
      <c r="M8" s="111"/>
    </row>
    <row r="9" spans="1:13" ht="15.75" customHeight="1">
      <c r="A9" s="14"/>
      <c r="B9" s="121" t="s">
        <v>23</v>
      </c>
      <c r="C9" s="121"/>
      <c r="D9" s="121"/>
      <c r="E9" s="121"/>
      <c r="F9" s="121"/>
      <c r="G9" s="121"/>
      <c r="H9" s="121"/>
      <c r="I9" s="3"/>
      <c r="J9" s="16"/>
      <c r="K9" s="111"/>
      <c r="L9" s="111"/>
      <c r="M9" s="111"/>
    </row>
    <row r="10" spans="1:13">
      <c r="A10" s="14"/>
      <c r="B10" s="9"/>
      <c r="C10" s="117"/>
      <c r="D10" s="117"/>
      <c r="E10" s="117"/>
      <c r="F10" s="117"/>
      <c r="G10" s="117"/>
      <c r="H10" s="117"/>
      <c r="I10" s="117"/>
      <c r="J10" s="16"/>
      <c r="K10" s="111"/>
      <c r="L10" s="111"/>
      <c r="M10" s="2"/>
    </row>
    <row r="11" spans="1:13" ht="12" customHeight="1">
      <c r="A11" s="14"/>
      <c r="B11" s="9"/>
      <c r="C11" s="117"/>
      <c r="D11" s="117"/>
      <c r="E11" s="117"/>
      <c r="F11" s="117"/>
      <c r="G11" s="117"/>
      <c r="H11" s="117"/>
      <c r="I11" s="117"/>
      <c r="J11" s="16"/>
      <c r="K11" s="111"/>
      <c r="L11" s="111"/>
      <c r="M11" s="111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1"/>
      <c r="L12" s="111"/>
      <c r="M12" s="111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1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1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1"/>
      <c r="L15" s="111"/>
      <c r="M15" s="111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1"/>
      <c r="L16" s="111"/>
      <c r="M16" s="111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1"/>
      <c r="L17" s="111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1"/>
      <c r="L18" s="111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1"/>
      <c r="L19" s="111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1"/>
      <c r="L20" s="111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1"/>
      <c r="L21" s="111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1"/>
      <c r="L22" s="111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1"/>
      <c r="L23" s="111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1"/>
      <c r="L24" s="111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1"/>
      <c r="L25" s="111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1"/>
      <c r="L26" s="111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1"/>
      <c r="L27" s="7" t="s">
        <v>133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1"/>
      <c r="L28" s="7" t="s">
        <v>133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1"/>
      <c r="L29" s="7" t="s">
        <v>133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1"/>
      <c r="L30" s="7" t="s">
        <v>133</v>
      </c>
    </row>
    <row r="31" spans="1:12">
      <c r="A31" s="14"/>
      <c r="B31" s="102" t="s">
        <v>137</v>
      </c>
      <c r="C31" s="4"/>
      <c r="D31" s="4"/>
      <c r="E31" s="4"/>
      <c r="F31" s="5"/>
      <c r="G31" s="6"/>
      <c r="H31" s="6"/>
      <c r="I31" s="6"/>
      <c r="J31" s="16"/>
      <c r="K31" s="111"/>
      <c r="L31" s="111"/>
    </row>
    <row r="32" spans="1:12">
      <c r="A32" s="14"/>
      <c r="B32" s="102" t="s">
        <v>138</v>
      </c>
      <c r="C32" s="4"/>
      <c r="D32" s="4"/>
      <c r="E32" s="4"/>
      <c r="F32" s="5"/>
      <c r="G32" s="6"/>
      <c r="H32" s="6"/>
      <c r="I32" s="6"/>
      <c r="J32" s="16"/>
      <c r="K32" s="111"/>
      <c r="L32" s="111"/>
    </row>
    <row r="33" spans="1:12">
      <c r="A33" s="14"/>
      <c r="B33" s="102" t="s">
        <v>139</v>
      </c>
      <c r="C33" s="4"/>
      <c r="D33" s="4"/>
      <c r="E33" s="4"/>
      <c r="F33" s="5"/>
      <c r="G33" s="6"/>
      <c r="H33" s="6"/>
      <c r="I33" s="6"/>
      <c r="J33" s="16"/>
      <c r="K33" s="111"/>
      <c r="L33" s="111"/>
    </row>
    <row r="34" spans="1:12">
      <c r="A34" s="14"/>
      <c r="B34" s="102" t="s">
        <v>140</v>
      </c>
      <c r="C34" s="4"/>
      <c r="D34" s="4"/>
      <c r="E34" s="4"/>
      <c r="F34" s="5"/>
      <c r="G34" s="6"/>
      <c r="H34" s="6"/>
      <c r="I34" s="6"/>
      <c r="J34" s="16"/>
      <c r="K34" s="111"/>
      <c r="L34" s="111"/>
    </row>
    <row r="35" spans="1:12">
      <c r="A35" s="17"/>
      <c r="B35" s="36" t="s">
        <v>141</v>
      </c>
      <c r="C35" s="103"/>
      <c r="D35" s="103"/>
      <c r="E35" s="103"/>
      <c r="F35" s="103"/>
      <c r="G35" s="103"/>
      <c r="H35" s="104"/>
      <c r="I35" s="104"/>
      <c r="J35" s="105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H16" sqref="H1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4" t="s">
        <v>142</v>
      </c>
      <c r="D10" s="124"/>
      <c r="E10" s="123" t="s">
        <v>134</v>
      </c>
      <c r="F10" s="123" t="s">
        <v>135</v>
      </c>
      <c r="G10" s="124" t="s">
        <v>143</v>
      </c>
      <c r="H10" s="124"/>
      <c r="I10" s="122" t="str">
        <f>+E10</f>
        <v>% Cambio   '13/'12</v>
      </c>
      <c r="J10" s="122" t="str">
        <f>+F10</f>
        <v>% del total '13</v>
      </c>
      <c r="K10" s="16"/>
    </row>
    <row r="11" spans="1:14">
      <c r="A11" s="14"/>
      <c r="B11" s="9"/>
      <c r="C11" s="34">
        <v>2012</v>
      </c>
      <c r="D11" s="34">
        <v>2013</v>
      </c>
      <c r="E11" s="123"/>
      <c r="F11" s="123"/>
      <c r="G11" s="115">
        <v>2012</v>
      </c>
      <c r="H11" s="115">
        <v>2013</v>
      </c>
      <c r="I11" s="122"/>
      <c r="J11" s="122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f>+[7]Total_impo!A2</f>
        <v>8374.3088297199902</v>
      </c>
      <c r="D13" s="24">
        <f>+[7]Total_impo!B2</f>
        <v>9507.3660652599792</v>
      </c>
      <c r="E13" s="24">
        <f>IF(OR(OR(D13=0,C13=0),D13=""),"",(D13/C13-1)*100)</f>
        <v>13.530158232507826</v>
      </c>
      <c r="F13" s="22">
        <f t="shared" ref="F13:F19" si="0">(D13/D$13)*100</f>
        <v>100</v>
      </c>
      <c r="G13" s="24">
        <f>+[7]Total_impo!C2</f>
        <v>2055.182948330003</v>
      </c>
      <c r="H13" s="24">
        <f>+[7]Total_impo!D2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 t="s">
        <v>40</v>
      </c>
      <c r="B14" s="88" t="str">
        <f>CONCATENATE(A14,[7]resumen_ciiu!A2)</f>
        <v xml:space="preserve">   Productos químicos</v>
      </c>
      <c r="C14" s="21">
        <f>+[7]resumen_ciiu!B2</f>
        <v>1220.7878494800038</v>
      </c>
      <c r="D14" s="24">
        <f>+[7]resumen_ciiu!C2</f>
        <v>1411.9886480799985</v>
      </c>
      <c r="E14" s="21">
        <f t="shared" ref="E14:E19" si="1">IF(OR(OR(D14=0,C14=0),D14=""),"",(D14/C14-1)*100)</f>
        <v>15.662082374217334</v>
      </c>
      <c r="F14" s="21">
        <f t="shared" si="0"/>
        <v>14.851522896961134</v>
      </c>
      <c r="G14" s="21">
        <f>+[7]resumen_ciiu!D2</f>
        <v>306.37071631000236</v>
      </c>
      <c r="H14" s="24">
        <f>+[7]resumen_ciiu!E2</f>
        <v>460.89516308000015</v>
      </c>
      <c r="I14" s="21">
        <f t="shared" ref="I14:I18" si="2">IF(OR(OR(H14=0,G14=0),H14=""),"",(H14/G14-1)*100)</f>
        <v>50.437081138538595</v>
      </c>
      <c r="J14" s="21">
        <f>(H14/H$13)*100</f>
        <v>18.052739271881318</v>
      </c>
      <c r="K14" s="16"/>
    </row>
    <row r="15" spans="1:14">
      <c r="A15" s="14" t="s">
        <v>40</v>
      </c>
      <c r="B15" s="88" t="str">
        <f>CONCATENATE(A15,[7]resumen_ciiu!A3)</f>
        <v xml:space="preserve">   Refinación del petróleo</v>
      </c>
      <c r="C15" s="21">
        <f>+[7]resumen_ciiu!B3</f>
        <v>962.32179483000027</v>
      </c>
      <c r="D15" s="24">
        <f>+[7]resumen_ciiu!C3</f>
        <v>1380.5798881099981</v>
      </c>
      <c r="E15" s="21">
        <f t="shared" si="1"/>
        <v>43.463433492523727</v>
      </c>
      <c r="F15" s="21">
        <f t="shared" si="0"/>
        <v>14.52116052578066</v>
      </c>
      <c r="G15" s="21">
        <f>+[7]resumen_ciiu!D3</f>
        <v>202.33627828000019</v>
      </c>
      <c r="H15" s="24">
        <f>+[7]resumen_ciiu!E3</f>
        <v>293.86862576999948</v>
      </c>
      <c r="I15" s="21">
        <f t="shared" si="2"/>
        <v>45.237734067310242</v>
      </c>
      <c r="J15" s="21">
        <f t="shared" ref="J15:J19" si="3">(H15/H$13)*100</f>
        <v>11.51049979730645</v>
      </c>
      <c r="K15" s="16"/>
    </row>
    <row r="16" spans="1:14">
      <c r="A16" s="14" t="s">
        <v>40</v>
      </c>
      <c r="B16" s="88" t="str">
        <f>CONCATENATE(A16,[7]resumen_ciiu!A4)</f>
        <v xml:space="preserve">   Equipos de transporte</v>
      </c>
      <c r="C16" s="21">
        <f>+[7]resumen_ciiu!B4</f>
        <v>323.62994523000111</v>
      </c>
      <c r="D16" s="24">
        <f>+[7]resumen_ciiu!C4</f>
        <v>971.59180708999793</v>
      </c>
      <c r="E16" s="21">
        <f t="shared" si="1"/>
        <v>200.21690557698415</v>
      </c>
      <c r="F16" s="21">
        <f t="shared" si="0"/>
        <v>10.219358341951354</v>
      </c>
      <c r="G16" s="21">
        <f>+[7]resumen_ciiu!D4</f>
        <v>74.37124845999989</v>
      </c>
      <c r="H16" s="24">
        <f>+[7]resumen_ciiu!E4</f>
        <v>171.06405015000061</v>
      </c>
      <c r="I16" s="21">
        <f t="shared" si="2"/>
        <v>130.01368632665398</v>
      </c>
      <c r="J16" s="21">
        <f t="shared" si="3"/>
        <v>6.7003842598668362</v>
      </c>
      <c r="K16" s="16"/>
    </row>
    <row r="17" spans="1:13">
      <c r="A17" s="14" t="s">
        <v>40</v>
      </c>
      <c r="B17" s="88" t="str">
        <f>CONCATENATE(A17,[7]resumen_ciiu!A5)</f>
        <v xml:space="preserve">   Vehículos automotores</v>
      </c>
      <c r="C17" s="21">
        <f>+[7]resumen_ciiu!B5</f>
        <v>1135.5434769800063</v>
      </c>
      <c r="D17" s="24">
        <f>+[7]resumen_ciiu!C5</f>
        <v>911.32150647999947</v>
      </c>
      <c r="E17" s="21">
        <f t="shared" si="1"/>
        <v>-19.745784731759308</v>
      </c>
      <c r="F17" s="21">
        <f t="shared" si="0"/>
        <v>9.5854256607408672</v>
      </c>
      <c r="G17" s="21">
        <f>+[7]resumen_ciiu!D5</f>
        <v>300.47134539000018</v>
      </c>
      <c r="H17" s="24">
        <f>+[7]resumen_ciiu!E5</f>
        <v>275.65771381999934</v>
      </c>
      <c r="I17" s="21">
        <f t="shared" si="2"/>
        <v>-8.2582355857573333</v>
      </c>
      <c r="J17" s="21">
        <f t="shared" si="3"/>
        <v>10.797199091046974</v>
      </c>
      <c r="K17" s="16"/>
    </row>
    <row r="18" spans="1:13" ht="15.75" customHeight="1">
      <c r="A18" s="14" t="s">
        <v>40</v>
      </c>
      <c r="B18" s="88" t="str">
        <f>CONCATENATE(A18,[7]resumen_ciiu!A6)</f>
        <v xml:space="preserve">   Maquinaria y equipo</v>
      </c>
      <c r="C18" s="21">
        <f>+[7]resumen_ciiu!B6</f>
        <v>920.7122630599855</v>
      </c>
      <c r="D18" s="24">
        <f>+[7]resumen_ciiu!C6</f>
        <v>897.66604715999449</v>
      </c>
      <c r="E18" s="21">
        <f t="shared" si="1"/>
        <v>-2.5030855810909913</v>
      </c>
      <c r="F18" s="21">
        <f t="shared" si="0"/>
        <v>9.4417953510812662</v>
      </c>
      <c r="G18" s="21">
        <f>+[7]resumen_ciiu!D6</f>
        <v>219.28086714</v>
      </c>
      <c r="H18" s="24">
        <f>+[7]resumen_ciiu!E6</f>
        <v>261.84733701999994</v>
      </c>
      <c r="I18" s="21">
        <f t="shared" si="2"/>
        <v>19.411848573557201</v>
      </c>
      <c r="J18" s="21">
        <f t="shared" si="3"/>
        <v>10.256262341026117</v>
      </c>
      <c r="K18" s="16"/>
    </row>
    <row r="19" spans="1:13">
      <c r="A19" s="14" t="s">
        <v>40</v>
      </c>
      <c r="B19" s="9" t="s">
        <v>41</v>
      </c>
      <c r="C19" s="21">
        <f>+C13-SUM(C14:C18)</f>
        <v>3811.3135001399933</v>
      </c>
      <c r="D19" s="24">
        <f>+D13-SUM(D14:D18)</f>
        <v>3934.2181683399904</v>
      </c>
      <c r="E19" s="21">
        <f t="shared" si="1"/>
        <v>3.2247325809194871</v>
      </c>
      <c r="F19" s="21">
        <f t="shared" si="0"/>
        <v>41.380737223484715</v>
      </c>
      <c r="G19" s="21">
        <f>+G13-SUM(G14:G18)</f>
        <v>952.35249275000047</v>
      </c>
      <c r="H19" s="24">
        <f t="shared" ref="H19" si="4">+H13-SUM(H14:H18)</f>
        <v>1089.7154655300005</v>
      </c>
      <c r="I19" s="21">
        <f t="shared" ref="I19" si="5">IF(OR(OR(H19=0,G19=0),H19=""),"",(H19/G19-1)*100)</f>
        <v>14.423543155050989</v>
      </c>
      <c r="J19" s="21">
        <f t="shared" si="3"/>
        <v>42.682915238872305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tr">
        <f>IF(F20="","",1)</f>
        <v/>
      </c>
    </row>
    <row r="21" spans="1:13">
      <c r="A21" s="14"/>
      <c r="B21" s="10" t="s">
        <v>53</v>
      </c>
      <c r="C21" s="24">
        <f>+C13</f>
        <v>8374.3088297199902</v>
      </c>
      <c r="D21" s="24">
        <f>+D13</f>
        <v>9507.3660652599792</v>
      </c>
      <c r="E21" s="24">
        <f>IF(OR(OR(D21=0,C21=0),D21=""),"",(D21/C21-1)*100)</f>
        <v>13.530158232507826</v>
      </c>
      <c r="F21" s="22">
        <f>(D21/D$21)*100</f>
        <v>100</v>
      </c>
      <c r="G21" s="24">
        <f>+G13</f>
        <v>2055.182948330003</v>
      </c>
      <c r="H21" s="24">
        <f>+H13</f>
        <v>2553.0483553700001</v>
      </c>
      <c r="I21" s="24">
        <f>IF(OR(OR(H21=0,G21=0),H21=""),"",(H21/G21-1)*100)</f>
        <v>24.224870464430026</v>
      </c>
      <c r="J21" s="22">
        <f>(H21/H$21)*100</f>
        <v>100</v>
      </c>
      <c r="K21" s="16"/>
    </row>
    <row r="22" spans="1:13">
      <c r="A22" s="14"/>
      <c r="B22" s="9" t="s">
        <v>26</v>
      </c>
      <c r="C22" s="21">
        <f>+[7]resumen_tecnologia!C2</f>
        <v>331.03183366999968</v>
      </c>
      <c r="D22" s="24">
        <f>+[7]resumen_tecnologia!D2</f>
        <v>361.7771869099987</v>
      </c>
      <c r="E22" s="21">
        <f t="shared" ref="E22:E28" si="6">IF(OR(OR(D22=0,C22=0),D22=""),"",(D22/C22-1)*100)</f>
        <v>9.2877331159179519</v>
      </c>
      <c r="F22" s="21">
        <f>(D22/D$21)*100</f>
        <v>3.805230433189446</v>
      </c>
      <c r="G22" s="21">
        <f>+[7]resumen_tecnologia!E2</f>
        <v>75.211976220000025</v>
      </c>
      <c r="H22" s="24">
        <f>+[7]resumen_tecnologia!F2</f>
        <v>96.570777479999975</v>
      </c>
      <c r="I22" s="21">
        <f t="shared" ref="I22:I28" si="7">IF(OR(OR(H22=0,G22=0),H22=""),"",(H22/G22-1)*100)</f>
        <v>28.398138612292321</v>
      </c>
      <c r="J22" s="21">
        <f>(H22/H$21)*100</f>
        <v>3.7825675051111389</v>
      </c>
      <c r="K22" s="16"/>
    </row>
    <row r="23" spans="1:13">
      <c r="A23" s="14"/>
      <c r="B23" s="9" t="s">
        <v>27</v>
      </c>
      <c r="C23" s="21">
        <f>SUM(C24:C27)</f>
        <v>8008.1064143500707</v>
      </c>
      <c r="D23" s="24">
        <f>SUM(D24:D27)</f>
        <v>9109.3393336200861</v>
      </c>
      <c r="E23" s="21">
        <f t="shared" si="6"/>
        <v>13.751477094468534</v>
      </c>
      <c r="F23" s="21">
        <f t="shared" ref="F23:F28" si="8">(D23/D$21)*100</f>
        <v>95.813491045703103</v>
      </c>
      <c r="G23" s="21">
        <f t="shared" ref="G23:H23" si="9">SUM(G24:G27)</f>
        <v>1971.7857062099974</v>
      </c>
      <c r="H23" s="24">
        <f t="shared" si="9"/>
        <v>2446.7643729199867</v>
      </c>
      <c r="I23" s="21">
        <f t="shared" si="7"/>
        <v>24.088756968573112</v>
      </c>
      <c r="J23" s="21">
        <f t="shared" ref="J23:J28" si="10">(H23/H$21)*100</f>
        <v>95.836977304935928</v>
      </c>
      <c r="K23" s="16"/>
    </row>
    <row r="24" spans="1:13">
      <c r="A24" s="14"/>
      <c r="B24" s="9" t="s">
        <v>36</v>
      </c>
      <c r="C24" s="21">
        <f>+[7]resumen_tecnologia!C3</f>
        <v>1628.7036878800002</v>
      </c>
      <c r="D24" s="24">
        <f>+[7]resumen_tecnologia!D3</f>
        <v>2019.4275319499989</v>
      </c>
      <c r="E24" s="21">
        <f t="shared" si="6"/>
        <v>23.989866725149</v>
      </c>
      <c r="F24" s="21">
        <f t="shared" si="8"/>
        <v>21.240662430460201</v>
      </c>
      <c r="G24" s="21">
        <f>+[7]resumen_tecnologia!E3</f>
        <v>364.49232509999996</v>
      </c>
      <c r="H24" s="22">
        <f>+[7]resumen_tecnologia!F3</f>
        <v>477.62160175999969</v>
      </c>
      <c r="I24" s="21">
        <f t="shared" si="7"/>
        <v>31.037492114261191</v>
      </c>
      <c r="J24" s="21">
        <f t="shared" si="10"/>
        <v>18.707894848735855</v>
      </c>
      <c r="K24" s="16"/>
    </row>
    <row r="25" spans="1:13">
      <c r="A25" s="14"/>
      <c r="B25" s="9" t="s">
        <v>37</v>
      </c>
      <c r="C25" s="21">
        <f>+[7]resumen_tecnologia!C5</f>
        <v>1117.6799255999745</v>
      </c>
      <c r="D25" s="24">
        <f>+[7]resumen_tecnologia!D5</f>
        <v>1086.5652897399987</v>
      </c>
      <c r="E25" s="21">
        <f t="shared" si="6"/>
        <v>-2.783859237990105</v>
      </c>
      <c r="F25" s="21">
        <f t="shared" si="8"/>
        <v>11.428667859022703</v>
      </c>
      <c r="G25" s="21">
        <f>+[7]resumen_tecnologia!E5</f>
        <v>276.48818440999844</v>
      </c>
      <c r="H25" s="24">
        <f>+[7]resumen_tecnologia!F5</f>
        <v>296.02373254000031</v>
      </c>
      <c r="I25" s="21">
        <f t="shared" si="7"/>
        <v>7.0655996283128797</v>
      </c>
      <c r="J25" s="21">
        <f t="shared" si="10"/>
        <v>11.594912878064118</v>
      </c>
      <c r="K25" s="16"/>
    </row>
    <row r="26" spans="1:13">
      <c r="A26" s="14"/>
      <c r="B26" s="9" t="s">
        <v>38</v>
      </c>
      <c r="C26" s="21">
        <f>+[7]resumen_tecnologia!C6</f>
        <v>2918.3510972700524</v>
      </c>
      <c r="D26" s="24">
        <f>+[7]resumen_tecnologia!D6</f>
        <v>2696.7597739900416</v>
      </c>
      <c r="E26" s="21">
        <f t="shared" si="6"/>
        <v>-7.593031677624273</v>
      </c>
      <c r="F26" s="21">
        <f t="shared" si="8"/>
        <v>28.364951506853529</v>
      </c>
      <c r="G26" s="21">
        <f>+[7]resumen_tecnologia!E6</f>
        <v>724.82486959000221</v>
      </c>
      <c r="H26" s="24">
        <f>+[7]resumen_tecnologia!F6</f>
        <v>809.20029579000106</v>
      </c>
      <c r="I26" s="21">
        <f t="shared" si="7"/>
        <v>11.640801763290188</v>
      </c>
      <c r="J26" s="21">
        <f t="shared" si="10"/>
        <v>31.695455124770948</v>
      </c>
      <c r="K26" s="16"/>
    </row>
    <row r="27" spans="1:13">
      <c r="A27" s="14"/>
      <c r="B27" s="9" t="s">
        <v>39</v>
      </c>
      <c r="C27" s="21">
        <f>+[7]resumen_tecnologia!C4</f>
        <v>2343.3717036000435</v>
      </c>
      <c r="D27" s="24">
        <f>+[7]resumen_tecnologia!D4</f>
        <v>3306.5867379400479</v>
      </c>
      <c r="E27" s="21">
        <f t="shared" si="6"/>
        <v>41.103809219009065</v>
      </c>
      <c r="F27" s="21">
        <f t="shared" si="8"/>
        <v>34.77920924936668</v>
      </c>
      <c r="G27" s="21">
        <f>+[7]resumen_tecnologia!E4</f>
        <v>605.98032710999678</v>
      </c>
      <c r="H27" s="24">
        <f>+[7]resumen_tecnologia!F4</f>
        <v>863.91874282998549</v>
      </c>
      <c r="I27" s="21">
        <f t="shared" si="7"/>
        <v>42.565476828287863</v>
      </c>
      <c r="J27" s="21">
        <f t="shared" si="10"/>
        <v>33.838714453364993</v>
      </c>
      <c r="K27" s="16"/>
    </row>
    <row r="28" spans="1:13">
      <c r="A28" s="14"/>
      <c r="B28" s="9" t="s">
        <v>78</v>
      </c>
      <c r="C28" s="21">
        <f>+[7]resumen_tecnologia!C7</f>
        <v>35.167532600000044</v>
      </c>
      <c r="D28" s="24">
        <f>+[7]resumen_tecnologia!D7</f>
        <v>36.243516200000229</v>
      </c>
      <c r="E28" s="21">
        <f t="shared" si="6"/>
        <v>3.0595936662334511</v>
      </c>
      <c r="F28" s="21">
        <f t="shared" si="8"/>
        <v>0.38121511206383901</v>
      </c>
      <c r="G28" s="21">
        <f>+[7]resumen_tecnologia!E7</f>
        <v>8.1852659000000028</v>
      </c>
      <c r="H28" s="24">
        <f>+[7]resumen_tecnologia!F7</f>
        <v>9.7109862600000039</v>
      </c>
      <c r="I28" s="21">
        <f t="shared" si="7"/>
        <v>18.639838688685728</v>
      </c>
      <c r="J28" s="21">
        <f t="shared" si="10"/>
        <v>0.38036828560548908</v>
      </c>
      <c r="K28" s="16"/>
    </row>
    <row r="29" spans="1:13">
      <c r="A29" s="14"/>
      <c r="B29" s="9" t="s">
        <v>132</v>
      </c>
      <c r="C29" s="21">
        <f>+[7]resumen_tecnologia!C8</f>
        <v>3.0490999999999999E-3</v>
      </c>
      <c r="D29" s="24">
        <f>+[7]resumen_tecnologia!D8</f>
        <v>6.0285299999999998E-3</v>
      </c>
      <c r="E29" s="21">
        <f t="shared" ref="E29" si="11">IF(OR(OR(D29=0,C29=0),D29=""),"",(D29/C29-1)*100)</f>
        <v>97.71506346134926</v>
      </c>
      <c r="F29" s="21">
        <f t="shared" ref="F29" si="12">(D29/D$21)*100</f>
        <v>6.3409044719844285E-5</v>
      </c>
      <c r="G29" s="21">
        <f>+[7]resumen_tecnologia!E8</f>
        <v>0</v>
      </c>
      <c r="H29" s="24">
        <f>+[7]resumen_tecnologia!F8</f>
        <v>2.2187099999999996E-3</v>
      </c>
      <c r="I29" s="21" t="str">
        <f t="shared" ref="I29" si="13">IF(OR(OR(H29=0,G29=0),H29=""),"",(H29/G29-1)*100)</f>
        <v/>
      </c>
      <c r="J29" s="21">
        <f t="shared" ref="J29" si="14">(H29/H$21)*100</f>
        <v>8.6904346928378231E-5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tr">
        <f>IF(F30="","",1)</f>
        <v/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f>D22</f>
        <v>361.7771869099987</v>
      </c>
      <c r="E43" s="20"/>
      <c r="G43" s="20"/>
      <c r="H43" s="80"/>
    </row>
    <row r="44" spans="1:11">
      <c r="B44" s="20"/>
      <c r="C44" s="20" t="s">
        <v>30</v>
      </c>
      <c r="D44" s="80">
        <f>D23</f>
        <v>9109.3393336200861</v>
      </c>
      <c r="E44" s="20"/>
      <c r="G44" s="20"/>
      <c r="H44" s="80"/>
    </row>
    <row r="45" spans="1:11">
      <c r="C45" s="20" t="s">
        <v>78</v>
      </c>
      <c r="D45" s="80">
        <f>D28</f>
        <v>36.243516200000229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119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97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1">
        <f>+'Resumen importaciones totales'!C13</f>
        <v>8374.3088297199902</v>
      </c>
      <c r="D13" s="24">
        <f>+'Resumen importaciones totales'!D13</f>
        <v>9507.3660652599792</v>
      </c>
      <c r="E13" s="21">
        <f>IF(OR(OR(D13=0,C13=0),D13=""),"",(D13/C13-1)*100)</f>
        <v>13.530158232507826</v>
      </c>
      <c r="F13" s="21">
        <f>(D13/D$13)*100</f>
        <v>100</v>
      </c>
      <c r="G13" s="21">
        <f>+'Resumen importaciones totales'!G13</f>
        <v>2055.182948330003</v>
      </c>
      <c r="H13" s="24">
        <f>+'Resumen importaciones totales'!H13</f>
        <v>2553.0483553700001</v>
      </c>
      <c r="I13" s="21">
        <f t="shared" ref="I13:I44" si="0">IF(OR(OR(H13=0,G13=0),H13=""),"",(H13/G13-1)*100)</f>
        <v>24.224870464430026</v>
      </c>
      <c r="J13" s="21">
        <f t="shared" ref="J13:J44" si="1">(H13/H$13)*100</f>
        <v>100</v>
      </c>
      <c r="K13" s="16"/>
    </row>
    <row r="14" spans="1:14">
      <c r="A14" s="14"/>
      <c r="B14" s="9" t="str">
        <f>+[7]Princ_paises_impo!B2</f>
        <v>Estados Unidos</v>
      </c>
      <c r="C14" s="21">
        <f>+[7]Princ_paises_impo!D2</f>
        <v>1854.6116825499821</v>
      </c>
      <c r="D14" s="24">
        <f>+[7]Princ_paises_impo!F2</f>
        <v>3001.4386970000655</v>
      </c>
      <c r="E14" s="21">
        <f t="shared" ref="E14:E44" si="2">IF(OR(OR(D14=0,C14=0),D14=""),"",(D14/C14-1)*100)</f>
        <v>61.836503309051928</v>
      </c>
      <c r="F14" s="21">
        <f t="shared" ref="F14:F44" si="3">(D14/D$13)*100</f>
        <v>31.569613249324181</v>
      </c>
      <c r="G14" s="21">
        <f>+[7]Princ_paises_impo!E2</f>
        <v>406.67092777999505</v>
      </c>
      <c r="H14" s="24">
        <f>+[7]Princ_paises_impo!G2</f>
        <v>669.45335191000311</v>
      </c>
      <c r="I14" s="21">
        <f t="shared" si="0"/>
        <v>64.617951807996164</v>
      </c>
      <c r="J14" s="21">
        <f t="shared" si="1"/>
        <v>26.221726294447045</v>
      </c>
      <c r="K14" s="16"/>
    </row>
    <row r="15" spans="1:14">
      <c r="A15" s="14"/>
      <c r="B15" s="9" t="str">
        <f>+[7]Princ_paises_impo!B3</f>
        <v>China</v>
      </c>
      <c r="C15" s="21">
        <f>+[7]Princ_paises_impo!D3</f>
        <v>1584.3377786400197</v>
      </c>
      <c r="D15" s="24">
        <f>+[7]Princ_paises_impo!F3</f>
        <v>1725.3988801000335</v>
      </c>
      <c r="E15" s="21">
        <f t="shared" si="2"/>
        <v>8.9034739537107619</v>
      </c>
      <c r="F15" s="21">
        <f t="shared" si="3"/>
        <v>18.148021946947644</v>
      </c>
      <c r="G15" s="21">
        <f>+[7]Princ_paises_impo!E3</f>
        <v>395.70615605000353</v>
      </c>
      <c r="H15" s="24">
        <f>+[7]Princ_paises_impo!G3</f>
        <v>447.12482071999887</v>
      </c>
      <c r="I15" s="21">
        <f t="shared" si="0"/>
        <v>12.994153334197268</v>
      </c>
      <c r="J15" s="21">
        <f t="shared" si="1"/>
        <v>17.513370625336211</v>
      </c>
      <c r="K15" s="16"/>
    </row>
    <row r="16" spans="1:14">
      <c r="A16" s="14"/>
      <c r="B16" s="9" t="str">
        <f>+[7]Princ_paises_impo!B4</f>
        <v>México</v>
      </c>
      <c r="C16" s="21">
        <f>+[7]Princ_paises_impo!D4</f>
        <v>1089.3030473900412</v>
      </c>
      <c r="D16" s="24">
        <f>+[7]Princ_paises_impo!F4</f>
        <v>864.86852400000794</v>
      </c>
      <c r="E16" s="21">
        <f t="shared" si="2"/>
        <v>-20.603497247875701</v>
      </c>
      <c r="F16" s="21">
        <f t="shared" si="3"/>
        <v>9.0968257460943587</v>
      </c>
      <c r="G16" s="21">
        <f>+[7]Princ_paises_impo!E4</f>
        <v>313.7305645299985</v>
      </c>
      <c r="H16" s="24">
        <f>+[7]Princ_paises_impo!G4</f>
        <v>261.05261359000059</v>
      </c>
      <c r="I16" s="21">
        <f t="shared" si="0"/>
        <v>-16.790825279938872</v>
      </c>
      <c r="J16" s="21">
        <f t="shared" si="1"/>
        <v>10.225133928267002</v>
      </c>
      <c r="K16" s="16"/>
    </row>
    <row r="17" spans="1:11">
      <c r="A17" s="14"/>
      <c r="B17" s="9" t="str">
        <f>+[7]Princ_paises_impo!B5</f>
        <v>Alemania</v>
      </c>
      <c r="C17" s="21">
        <f>+[7]Princ_paises_impo!D5</f>
        <v>355.0817337000006</v>
      </c>
      <c r="D17" s="24">
        <f>+[7]Princ_paises_impo!F5</f>
        <v>432.07173298999908</v>
      </c>
      <c r="E17" s="21">
        <f t="shared" si="2"/>
        <v>21.682331695227486</v>
      </c>
      <c r="F17" s="21">
        <f t="shared" si="3"/>
        <v>4.5445997348181848</v>
      </c>
      <c r="G17" s="21">
        <f>+[7]Princ_paises_impo!E5</f>
        <v>91.098781469999963</v>
      </c>
      <c r="H17" s="24">
        <f>+[7]Princ_paises_impo!G5</f>
        <v>120.9394420299994</v>
      </c>
      <c r="I17" s="21">
        <f t="shared" si="0"/>
        <v>32.756377284614246</v>
      </c>
      <c r="J17" s="21">
        <f t="shared" si="1"/>
        <v>4.7370603762995422</v>
      </c>
      <c r="K17" s="16"/>
    </row>
    <row r="18" spans="1:11">
      <c r="A18" s="14"/>
      <c r="B18" s="9" t="str">
        <f>+[7]Princ_paises_impo!B6</f>
        <v>Brasil</v>
      </c>
      <c r="C18" s="21">
        <f>+[7]Princ_paises_impo!D6</f>
        <v>356.3631802799996</v>
      </c>
      <c r="D18" s="24">
        <f>+[7]Princ_paises_impo!F6</f>
        <v>358.77805887999926</v>
      </c>
      <c r="E18" s="21">
        <f t="shared" si="2"/>
        <v>0.67764537237047229</v>
      </c>
      <c r="F18" s="21">
        <f t="shared" si="3"/>
        <v>3.7736851239059601</v>
      </c>
      <c r="G18" s="21">
        <f>+[7]Princ_paises_impo!E6</f>
        <v>80.440536320000064</v>
      </c>
      <c r="H18" s="24">
        <f>+[7]Princ_paises_impo!G6</f>
        <v>111.76129900999977</v>
      </c>
      <c r="I18" s="21">
        <f t="shared" si="0"/>
        <v>38.936541354476752</v>
      </c>
      <c r="J18" s="21">
        <f t="shared" si="1"/>
        <v>4.377562954298325</v>
      </c>
      <c r="K18" s="16"/>
    </row>
    <row r="19" spans="1:11">
      <c r="A19" s="14"/>
      <c r="B19" s="9" t="str">
        <f>+[7]Princ_paises_impo!B7</f>
        <v>Francia</v>
      </c>
      <c r="C19" s="21">
        <f>+[7]Princ_paises_impo!D7</f>
        <v>251.7601665499995</v>
      </c>
      <c r="D19" s="24">
        <f>+[7]Princ_paises_impo!F7</f>
        <v>233.54158312000007</v>
      </c>
      <c r="E19" s="21">
        <f t="shared" si="2"/>
        <v>-7.2364837057657505</v>
      </c>
      <c r="F19" s="21">
        <f t="shared" si="3"/>
        <v>2.4564278004752924</v>
      </c>
      <c r="G19" s="21">
        <f>+[7]Princ_paises_impo!E7</f>
        <v>75.270957530000004</v>
      </c>
      <c r="H19" s="24">
        <f>+[7]Princ_paises_impo!G7</f>
        <v>52.856682130000117</v>
      </c>
      <c r="I19" s="21">
        <f t="shared" si="0"/>
        <v>-29.778119125250203</v>
      </c>
      <c r="J19" s="21">
        <f t="shared" si="1"/>
        <v>2.0703361148183141</v>
      </c>
      <c r="K19" s="16"/>
    </row>
    <row r="20" spans="1:11">
      <c r="A20" s="14"/>
      <c r="B20" s="9" t="str">
        <f>+[7]Princ_paises_impo!B8</f>
        <v>Argentina</v>
      </c>
      <c r="C20" s="21">
        <f>+[7]Princ_paises_impo!D8</f>
        <v>201.9010139799999</v>
      </c>
      <c r="D20" s="24">
        <f>+[7]Princ_paises_impo!F8</f>
        <v>215.8702486599995</v>
      </c>
      <c r="E20" s="21">
        <f t="shared" si="2"/>
        <v>6.9188531571136025</v>
      </c>
      <c r="F20" s="21">
        <f t="shared" si="3"/>
        <v>2.270557872477339</v>
      </c>
      <c r="G20" s="21">
        <f>+[7]Princ_paises_impo!E8</f>
        <v>46.931368130000024</v>
      </c>
      <c r="H20" s="24">
        <f>+[7]Princ_paises_impo!G8</f>
        <v>69.880983659999927</v>
      </c>
      <c r="I20" s="21">
        <f t="shared" si="0"/>
        <v>48.900376111835065</v>
      </c>
      <c r="J20" s="21">
        <f t="shared" si="1"/>
        <v>2.7371586406898447</v>
      </c>
      <c r="K20" s="16"/>
    </row>
    <row r="21" spans="1:11">
      <c r="A21" s="14"/>
      <c r="B21" s="9" t="str">
        <f>+[7]Princ_paises_impo!B9</f>
        <v>Japón</v>
      </c>
      <c r="C21" s="21">
        <f>+[7]Princ_paises_impo!D9</f>
        <v>236.08347788999959</v>
      </c>
      <c r="D21" s="24">
        <f>+[7]Princ_paises_impo!F9</f>
        <v>202.53985994000101</v>
      </c>
      <c r="E21" s="21">
        <f t="shared" si="2"/>
        <v>-14.208371653025143</v>
      </c>
      <c r="F21" s="21">
        <f t="shared" si="3"/>
        <v>2.1303467074869862</v>
      </c>
      <c r="G21" s="21">
        <f>+[7]Princ_paises_impo!E9</f>
        <v>60.683706609999831</v>
      </c>
      <c r="H21" s="24">
        <f>+[7]Princ_paises_impo!G9</f>
        <v>58.439704359999944</v>
      </c>
      <c r="I21" s="21">
        <f t="shared" si="0"/>
        <v>-3.6978661577506622</v>
      </c>
      <c r="J21" s="21">
        <f t="shared" si="1"/>
        <v>2.2890167449073084</v>
      </c>
      <c r="K21" s="16"/>
    </row>
    <row r="22" spans="1:11">
      <c r="A22" s="14"/>
      <c r="B22" s="9" t="str">
        <f>+[7]Princ_paises_impo!B10</f>
        <v>Trinidad Y Tobago</v>
      </c>
      <c r="C22" s="21">
        <f>+[7]Princ_paises_impo!D10</f>
        <v>155.75140657999975</v>
      </c>
      <c r="D22" s="24">
        <f>+[7]Princ_paises_impo!F10</f>
        <v>187.25661709000008</v>
      </c>
      <c r="E22" s="21">
        <f t="shared" si="2"/>
        <v>20.227881854677232</v>
      </c>
      <c r="F22" s="21">
        <f t="shared" si="3"/>
        <v>1.9695951097774369</v>
      </c>
      <c r="G22" s="21">
        <f>+[7]Princ_paises_impo!E10</f>
        <v>36.212995420000013</v>
      </c>
      <c r="H22" s="24">
        <f>+[7]Princ_paises_impo!G10</f>
        <v>98.398894749999997</v>
      </c>
      <c r="I22" s="21">
        <f t="shared" si="0"/>
        <v>171.72260567999143</v>
      </c>
      <c r="J22" s="21">
        <f t="shared" si="1"/>
        <v>3.8541727791027109</v>
      </c>
      <c r="K22" s="16"/>
    </row>
    <row r="23" spans="1:11">
      <c r="A23" s="14"/>
      <c r="B23" s="9" t="str">
        <f>+[7]Princ_paises_impo!B11</f>
        <v>Colombia</v>
      </c>
      <c r="C23" s="21">
        <f>+[7]Princ_paises_impo!D11</f>
        <v>226.74431737999964</v>
      </c>
      <c r="D23" s="24">
        <f>+[7]Princ_paises_impo!F11</f>
        <v>182.96358201000015</v>
      </c>
      <c r="E23" s="21">
        <f t="shared" si="2"/>
        <v>-19.308415697416393</v>
      </c>
      <c r="F23" s="21">
        <f t="shared" si="3"/>
        <v>1.9244402787702799</v>
      </c>
      <c r="G23" s="21">
        <f>+[7]Princ_paises_impo!E11</f>
        <v>36.932661979999985</v>
      </c>
      <c r="H23" s="24">
        <f>+[7]Princ_paises_impo!G11</f>
        <v>45.199302650000071</v>
      </c>
      <c r="I23" s="21">
        <f t="shared" si="0"/>
        <v>22.383007957771063</v>
      </c>
      <c r="J23" s="21">
        <f t="shared" si="1"/>
        <v>1.7704052708178954</v>
      </c>
      <c r="K23" s="16"/>
    </row>
    <row r="24" spans="1:11">
      <c r="A24" s="14"/>
      <c r="B24" s="9" t="str">
        <f>+[7]Princ_paises_impo!B12</f>
        <v>Italia</v>
      </c>
      <c r="C24" s="21">
        <f>+[7]Princ_paises_impo!D12</f>
        <v>140.56704153999948</v>
      </c>
      <c r="D24" s="24">
        <f>+[7]Princ_paises_impo!F12</f>
        <v>181.23356583000029</v>
      </c>
      <c r="E24" s="21">
        <f t="shared" si="2"/>
        <v>28.9303408853695</v>
      </c>
      <c r="F24" s="21">
        <f t="shared" si="3"/>
        <v>1.906243691322981</v>
      </c>
      <c r="G24" s="21">
        <f>+[7]Princ_paises_impo!E12</f>
        <v>35.797587069999956</v>
      </c>
      <c r="H24" s="24">
        <f>+[7]Princ_paises_impo!G12</f>
        <v>57.511007899999832</v>
      </c>
      <c r="I24" s="21">
        <f t="shared" si="0"/>
        <v>60.656101729819476</v>
      </c>
      <c r="J24" s="21">
        <f t="shared" si="1"/>
        <v>2.2526407609567216</v>
      </c>
      <c r="K24" s="16"/>
    </row>
    <row r="25" spans="1:11">
      <c r="A25" s="14"/>
      <c r="B25" s="9" t="str">
        <f>+[7]Princ_paises_impo!B13</f>
        <v>España</v>
      </c>
      <c r="C25" s="21">
        <f>+[7]Princ_paises_impo!D13</f>
        <v>105.44067175000004</v>
      </c>
      <c r="D25" s="24">
        <f>+[7]Princ_paises_impo!F13</f>
        <v>173.00722317000063</v>
      </c>
      <c r="E25" s="21">
        <f t="shared" si="2"/>
        <v>64.080160244237589</v>
      </c>
      <c r="F25" s="21">
        <f t="shared" si="3"/>
        <v>1.8197177008064402</v>
      </c>
      <c r="G25" s="21">
        <f>+[7]Princ_paises_impo!E13</f>
        <v>26.628486399999879</v>
      </c>
      <c r="H25" s="24">
        <f>+[7]Princ_paises_impo!G13</f>
        <v>30.372738149999993</v>
      </c>
      <c r="I25" s="21">
        <f t="shared" si="0"/>
        <v>14.06107614888743</v>
      </c>
      <c r="J25" s="21">
        <f t="shared" si="1"/>
        <v>1.1896656044964815</v>
      </c>
      <c r="K25" s="16"/>
    </row>
    <row r="26" spans="1:11">
      <c r="A26" s="14"/>
      <c r="B26" s="9" t="str">
        <f>+[7]Princ_paises_impo!B14</f>
        <v>Corea del Sur</v>
      </c>
      <c r="C26" s="21">
        <f>+[7]Princ_paises_impo!D14</f>
        <v>145.38005321000014</v>
      </c>
      <c r="D26" s="24">
        <f>+[7]Princ_paises_impo!F14</f>
        <v>145.36199138000012</v>
      </c>
      <c r="E26" s="21">
        <f t="shared" si="2"/>
        <v>-1.2423870813926818E-2</v>
      </c>
      <c r="F26" s="21">
        <f t="shared" si="3"/>
        <v>1.5289407221959661</v>
      </c>
      <c r="G26" s="21">
        <f>+[7]Princ_paises_impo!E14</f>
        <v>34.05958754000001</v>
      </c>
      <c r="H26" s="24">
        <f>+[7]Princ_paises_impo!G14</f>
        <v>49.636953460000043</v>
      </c>
      <c r="I26" s="21">
        <f t="shared" si="0"/>
        <v>45.735627014583713</v>
      </c>
      <c r="J26" s="21">
        <f t="shared" si="1"/>
        <v>1.9442230052398055</v>
      </c>
      <c r="K26" s="16"/>
    </row>
    <row r="27" spans="1:11">
      <c r="A27" s="14"/>
      <c r="B27" s="9" t="str">
        <f>+[7]Princ_paises_impo!B15</f>
        <v>Suiza</v>
      </c>
      <c r="C27" s="21">
        <f>+[7]Princ_paises_impo!D15</f>
        <v>115.53640726999976</v>
      </c>
      <c r="D27" s="24">
        <f>+[7]Princ_paises_impo!F15</f>
        <v>133.54645632999978</v>
      </c>
      <c r="E27" s="21">
        <f t="shared" si="2"/>
        <v>15.588202442466393</v>
      </c>
      <c r="F27" s="21">
        <f t="shared" si="3"/>
        <v>1.4046630308890704</v>
      </c>
      <c r="G27" s="21">
        <f>+[7]Princ_paises_impo!E15</f>
        <v>29.438258260000016</v>
      </c>
      <c r="H27" s="24">
        <f>+[7]Princ_paises_impo!G15</f>
        <v>37.162708449999997</v>
      </c>
      <c r="I27" s="21">
        <f t="shared" si="0"/>
        <v>26.239494612002147</v>
      </c>
      <c r="J27" s="21">
        <f t="shared" si="1"/>
        <v>1.4556210175899391</v>
      </c>
      <c r="K27" s="16"/>
    </row>
    <row r="28" spans="1:11">
      <c r="A28" s="14"/>
      <c r="B28" s="9" t="str">
        <f>+[7]Princ_paises_impo!B16</f>
        <v>India</v>
      </c>
      <c r="C28" s="21">
        <f>+[7]Princ_paises_impo!D16</f>
        <v>147.40837929999984</v>
      </c>
      <c r="D28" s="24">
        <f>+[7]Princ_paises_impo!F16</f>
        <v>124.93899064999985</v>
      </c>
      <c r="E28" s="21">
        <f t="shared" si="2"/>
        <v>-15.242952101298901</v>
      </c>
      <c r="F28" s="21">
        <f t="shared" si="3"/>
        <v>1.3141283273663806</v>
      </c>
      <c r="G28" s="21">
        <f>+[7]Princ_paises_impo!E16</f>
        <v>24.929636780000024</v>
      </c>
      <c r="H28" s="24">
        <f>+[7]Princ_paises_impo!G16</f>
        <v>34.953934200000099</v>
      </c>
      <c r="I28" s="21">
        <f t="shared" si="0"/>
        <v>40.210362904453298</v>
      </c>
      <c r="J28" s="21">
        <f t="shared" si="1"/>
        <v>1.3691058426871983</v>
      </c>
      <c r="K28" s="16"/>
    </row>
    <row r="29" spans="1:11">
      <c r="A29" s="14"/>
      <c r="B29" s="9" t="str">
        <f>+[7]Princ_paises_impo!B17</f>
        <v>Canadá</v>
      </c>
      <c r="C29" s="21">
        <f>+[7]Princ_paises_impo!D17</f>
        <v>167.17078908000042</v>
      </c>
      <c r="D29" s="24">
        <f>+[7]Princ_paises_impo!F17</f>
        <v>124.3748187499998</v>
      </c>
      <c r="E29" s="21">
        <f t="shared" si="2"/>
        <v>-25.600148546000099</v>
      </c>
      <c r="F29" s="21">
        <f t="shared" si="3"/>
        <v>1.3081942769035344</v>
      </c>
      <c r="G29" s="21">
        <f>+[7]Princ_paises_impo!E17</f>
        <v>44.255106839999989</v>
      </c>
      <c r="H29" s="24">
        <f>+[7]Princ_paises_impo!G17</f>
        <v>45.167165660000073</v>
      </c>
      <c r="I29" s="21">
        <f t="shared" si="0"/>
        <v>2.0609120282943705</v>
      </c>
      <c r="J29" s="21">
        <f t="shared" si="1"/>
        <v>1.7691465014752619</v>
      </c>
      <c r="K29" s="16"/>
    </row>
    <row r="30" spans="1:11">
      <c r="A30" s="14"/>
      <c r="B30" s="9" t="str">
        <f>+[7]Princ_paises_impo!B18</f>
        <v>Reino Unido</v>
      </c>
      <c r="C30" s="21">
        <f>+[7]Princ_paises_impo!D18</f>
        <v>101.45561020999973</v>
      </c>
      <c r="D30" s="24">
        <f>+[7]Princ_paises_impo!F18</f>
        <v>98.442847240000276</v>
      </c>
      <c r="E30" s="21">
        <f t="shared" si="2"/>
        <v>-2.9695380706531993</v>
      </c>
      <c r="F30" s="21">
        <f t="shared" si="3"/>
        <v>1.0354376444987381</v>
      </c>
      <c r="G30" s="21">
        <f>+[7]Princ_paises_impo!E18</f>
        <v>29.374228430000002</v>
      </c>
      <c r="H30" s="24">
        <f>+[7]Princ_paises_impo!G18</f>
        <v>30.706992899999953</v>
      </c>
      <c r="I30" s="21">
        <f t="shared" si="0"/>
        <v>4.5371897109603543</v>
      </c>
      <c r="J30" s="21">
        <f t="shared" si="1"/>
        <v>1.2027579828408594</v>
      </c>
      <c r="K30" s="16"/>
    </row>
    <row r="31" spans="1:11">
      <c r="A31" s="14"/>
      <c r="B31" s="9" t="str">
        <f>+[7]Princ_paises_impo!B19</f>
        <v>Chile</v>
      </c>
      <c r="C31" s="21">
        <f>+[7]Princ_paises_impo!D19</f>
        <v>108.95009314999994</v>
      </c>
      <c r="D31" s="24">
        <f>+[7]Princ_paises_impo!F19</f>
        <v>84.007474159999802</v>
      </c>
      <c r="E31" s="21">
        <f t="shared" si="2"/>
        <v>-22.893618783473389</v>
      </c>
      <c r="F31" s="21">
        <f t="shared" si="3"/>
        <v>0.88360407691636111</v>
      </c>
      <c r="G31" s="21">
        <f>+[7]Princ_paises_impo!E19</f>
        <v>30.035534809999994</v>
      </c>
      <c r="H31" s="24">
        <f>+[7]Princ_paises_impo!G19</f>
        <v>18.673741320000019</v>
      </c>
      <c r="I31" s="21">
        <f t="shared" si="0"/>
        <v>-37.827838131975575</v>
      </c>
      <c r="J31" s="21">
        <f t="shared" si="1"/>
        <v>0.73142920621625784</v>
      </c>
      <c r="K31" s="16"/>
    </row>
    <row r="32" spans="1:11">
      <c r="A32" s="14"/>
      <c r="B32" s="9" t="str">
        <f>+[7]Princ_paises_impo!B20</f>
        <v>Taiwán</v>
      </c>
      <c r="C32" s="21">
        <f>+[7]Princ_paises_impo!D20</f>
        <v>72.176771779999825</v>
      </c>
      <c r="D32" s="24">
        <f>+[7]Princ_paises_impo!F20</f>
        <v>75.696021329999866</v>
      </c>
      <c r="E32" s="21">
        <f t="shared" si="2"/>
        <v>4.8758755250608576</v>
      </c>
      <c r="F32" s="21">
        <f t="shared" si="3"/>
        <v>0.79618288399132919</v>
      </c>
      <c r="G32" s="21">
        <f>+[7]Princ_paises_impo!E20</f>
        <v>17.10138452</v>
      </c>
      <c r="H32" s="24">
        <f>+[7]Princ_paises_impo!G20</f>
        <v>23.051877950000058</v>
      </c>
      <c r="I32" s="21">
        <f t="shared" si="0"/>
        <v>34.795389946591641</v>
      </c>
      <c r="J32" s="21">
        <f t="shared" si="1"/>
        <v>0.90291583790465535</v>
      </c>
      <c r="K32" s="16"/>
    </row>
    <row r="33" spans="1:11">
      <c r="A33" s="14"/>
      <c r="B33" s="9" t="str">
        <f>+[7]Princ_paises_impo!B21</f>
        <v>Finlandia</v>
      </c>
      <c r="C33" s="21">
        <f>+[7]Princ_paises_impo!D21</f>
        <v>22.557434630000028</v>
      </c>
      <c r="D33" s="24">
        <f>+[7]Princ_paises_impo!F21</f>
        <v>69.896728500000052</v>
      </c>
      <c r="E33" s="21">
        <f t="shared" si="2"/>
        <v>209.86115950898787</v>
      </c>
      <c r="F33" s="21">
        <f t="shared" si="3"/>
        <v>0.73518499256490688</v>
      </c>
      <c r="G33" s="21">
        <f>+[7]Princ_paises_impo!E21</f>
        <v>4.6098744899999993</v>
      </c>
      <c r="H33" s="24">
        <f>+[7]Princ_paises_impo!G21</f>
        <v>9.3354155999999957</v>
      </c>
      <c r="I33" s="21">
        <f t="shared" si="0"/>
        <v>102.50910562209251</v>
      </c>
      <c r="J33" s="21">
        <f t="shared" si="1"/>
        <v>0.36565761006305197</v>
      </c>
      <c r="K33" s="16"/>
    </row>
    <row r="34" spans="1:11">
      <c r="A34" s="14"/>
      <c r="B34" s="9" t="str">
        <f>+[7]Princ_paises_impo!B22</f>
        <v>Ecuador</v>
      </c>
      <c r="C34" s="21">
        <f>+[7]Princ_paises_impo!D22</f>
        <v>94.741273089999979</v>
      </c>
      <c r="D34" s="24">
        <f>+[7]Princ_paises_impo!F22</f>
        <v>61.343176419999992</v>
      </c>
      <c r="E34" s="21">
        <f t="shared" si="2"/>
        <v>-35.251897700670845</v>
      </c>
      <c r="F34" s="21">
        <f t="shared" si="3"/>
        <v>0.64521736092763515</v>
      </c>
      <c r="G34" s="21">
        <f>+[7]Princ_paises_impo!E22</f>
        <v>23.389768410000023</v>
      </c>
      <c r="H34" s="24">
        <f>+[7]Princ_paises_impo!G22</f>
        <v>19.474082269999986</v>
      </c>
      <c r="I34" s="21">
        <f t="shared" si="0"/>
        <v>-16.741021421682532</v>
      </c>
      <c r="J34" s="21">
        <f t="shared" si="1"/>
        <v>0.76277765084389504</v>
      </c>
      <c r="K34" s="16"/>
    </row>
    <row r="35" spans="1:11">
      <c r="A35" s="14"/>
      <c r="B35" s="9" t="str">
        <f>+[7]Princ_paises_impo!B23</f>
        <v>Bélgica</v>
      </c>
      <c r="C35" s="21">
        <f>+[7]Princ_paises_impo!D23</f>
        <v>52.957034259999929</v>
      </c>
      <c r="D35" s="24">
        <f>+[7]Princ_paises_impo!F23</f>
        <v>56.295686780000068</v>
      </c>
      <c r="E35" s="21">
        <f t="shared" si="2"/>
        <v>6.3044552374450502</v>
      </c>
      <c r="F35" s="21">
        <f t="shared" si="3"/>
        <v>0.5921270559435502</v>
      </c>
      <c r="G35" s="21">
        <f>+[7]Princ_paises_impo!E23</f>
        <v>9.5225758000000109</v>
      </c>
      <c r="H35" s="24">
        <f>+[7]Princ_paises_impo!G23</f>
        <v>21.199203299999958</v>
      </c>
      <c r="I35" s="21">
        <f t="shared" si="0"/>
        <v>122.62047312870888</v>
      </c>
      <c r="J35" s="21">
        <f t="shared" si="1"/>
        <v>0.83034867927237777</v>
      </c>
      <c r="K35" s="16"/>
    </row>
    <row r="36" spans="1:11">
      <c r="A36" s="14"/>
      <c r="B36" s="9" t="str">
        <f>+[7]Princ_paises_impo!B24</f>
        <v>Irlanda</v>
      </c>
      <c r="C36" s="21">
        <f>+[7]Princ_paises_impo!D24</f>
        <v>39.285857149999956</v>
      </c>
      <c r="D36" s="24">
        <f>+[7]Princ_paises_impo!F24</f>
        <v>49.458387910000113</v>
      </c>
      <c r="E36" s="21">
        <f t="shared" si="2"/>
        <v>25.893620498490687</v>
      </c>
      <c r="F36" s="21">
        <f t="shared" si="3"/>
        <v>0.52021125062935791</v>
      </c>
      <c r="G36" s="21">
        <f>+[7]Princ_paises_impo!E24</f>
        <v>9.0715669699999992</v>
      </c>
      <c r="H36" s="24">
        <f>+[7]Princ_paises_impo!G24</f>
        <v>17.601286669999986</v>
      </c>
      <c r="I36" s="21">
        <f t="shared" si="0"/>
        <v>94.026971615908025</v>
      </c>
      <c r="J36" s="21">
        <f t="shared" si="1"/>
        <v>0.68942237748760238</v>
      </c>
      <c r="K36" s="16"/>
    </row>
    <row r="37" spans="1:11">
      <c r="A37" s="14"/>
      <c r="B37" s="9" t="str">
        <f>+[7]Princ_paises_impo!B25</f>
        <v>Viet Nam</v>
      </c>
      <c r="C37" s="21">
        <f>+[7]Princ_paises_impo!D25</f>
        <v>28.511220209999962</v>
      </c>
      <c r="D37" s="24">
        <f>+[7]Princ_paises_impo!F25</f>
        <v>45.796560880000143</v>
      </c>
      <c r="E37" s="21">
        <f t="shared" si="2"/>
        <v>60.626450017518231</v>
      </c>
      <c r="F37" s="21">
        <f t="shared" si="3"/>
        <v>0.48169556705448924</v>
      </c>
      <c r="G37" s="21">
        <f>+[7]Princ_paises_impo!E25</f>
        <v>6.9664883399999935</v>
      </c>
      <c r="H37" s="24">
        <f>+[7]Princ_paises_impo!G25</f>
        <v>13.625919070000014</v>
      </c>
      <c r="I37" s="21">
        <f t="shared" si="0"/>
        <v>95.592361674720422</v>
      </c>
      <c r="J37" s="21">
        <f t="shared" si="1"/>
        <v>0.53371175055653342</v>
      </c>
      <c r="K37" s="16"/>
    </row>
    <row r="38" spans="1:11">
      <c r="A38" s="14"/>
      <c r="B38" s="9" t="str">
        <f>+[7]Princ_paises_impo!B26</f>
        <v>Rusia</v>
      </c>
      <c r="C38" s="21">
        <f>+[7]Princ_paises_impo!D26</f>
        <v>22.608096930000006</v>
      </c>
      <c r="D38" s="24">
        <f>+[7]Princ_paises_impo!F26</f>
        <v>44.707671170000012</v>
      </c>
      <c r="E38" s="21">
        <f t="shared" si="2"/>
        <v>97.750705459311746</v>
      </c>
      <c r="F38" s="21">
        <f t="shared" si="3"/>
        <v>0.47024245057064057</v>
      </c>
      <c r="G38" s="21">
        <f>+[7]Princ_paises_impo!E26</f>
        <v>4.0949948299999992</v>
      </c>
      <c r="H38" s="24">
        <f>+[7]Princ_paises_impo!G26</f>
        <v>7.6137068399999981</v>
      </c>
      <c r="I38" s="21">
        <f t="shared" si="0"/>
        <v>85.927141695561062</v>
      </c>
      <c r="J38" s="21">
        <f t="shared" si="1"/>
        <v>0.29822023636902806</v>
      </c>
      <c r="K38" s="16"/>
    </row>
    <row r="39" spans="1:11">
      <c r="A39" s="14"/>
      <c r="B39" s="9" t="str">
        <f>+[7]Princ_paises_impo!B27</f>
        <v>Zona Franca de Bogotá</v>
      </c>
      <c r="C39" s="21">
        <f>+[7]Princ_paises_impo!D27</f>
        <v>32.752199680000018</v>
      </c>
      <c r="D39" s="24">
        <f>+[7]Princ_paises_impo!F27</f>
        <v>43.32003860999987</v>
      </c>
      <c r="E39" s="21">
        <f t="shared" si="2"/>
        <v>32.266043298621724</v>
      </c>
      <c r="F39" s="21">
        <f t="shared" si="3"/>
        <v>0.45564710891160248</v>
      </c>
      <c r="G39" s="21">
        <f>+[7]Princ_paises_impo!E27</f>
        <v>8.2330987399999991</v>
      </c>
      <c r="H39" s="24">
        <f>+[7]Princ_paises_impo!G27</f>
        <v>12.930975840000009</v>
      </c>
      <c r="I39" s="21">
        <f t="shared" si="0"/>
        <v>57.06086187422563</v>
      </c>
      <c r="J39" s="21">
        <f t="shared" si="1"/>
        <v>0.50649161473191096</v>
      </c>
      <c r="K39" s="16"/>
    </row>
    <row r="40" spans="1:11">
      <c r="A40" s="14"/>
      <c r="B40" s="9" t="str">
        <f>+[7]Princ_paises_impo!B28</f>
        <v>Perú</v>
      </c>
      <c r="C40" s="21">
        <f>+[7]Princ_paises_impo!D28</f>
        <v>51.01361742000001</v>
      </c>
      <c r="D40" s="24">
        <f>+[7]Princ_paises_impo!F28</f>
        <v>42.124654939999999</v>
      </c>
      <c r="E40" s="21">
        <f t="shared" si="2"/>
        <v>-17.424685661509407</v>
      </c>
      <c r="F40" s="21">
        <f t="shared" si="3"/>
        <v>0.44307387188891312</v>
      </c>
      <c r="G40" s="21">
        <f>+[7]Princ_paises_impo!E28</f>
        <v>9.5448126500000079</v>
      </c>
      <c r="H40" s="24">
        <f>+[7]Princ_paises_impo!G28</f>
        <v>9.8110554400000023</v>
      </c>
      <c r="I40" s="21">
        <f t="shared" si="0"/>
        <v>2.7893977573252293</v>
      </c>
      <c r="J40" s="21">
        <f t="shared" si="1"/>
        <v>0.38428788155789306</v>
      </c>
      <c r="K40" s="16"/>
    </row>
    <row r="41" spans="1:11">
      <c r="A41" s="14"/>
      <c r="B41" s="9" t="str">
        <f>+[7]Princ_paises_impo!B29</f>
        <v>Tailandia</v>
      </c>
      <c r="C41" s="21">
        <f>+[7]Princ_paises_impo!D29</f>
        <v>56.674948240000035</v>
      </c>
      <c r="D41" s="24">
        <f>+[7]Princ_paises_impo!F29</f>
        <v>40.056942249999999</v>
      </c>
      <c r="E41" s="21">
        <f t="shared" si="2"/>
        <v>-29.321607705097797</v>
      </c>
      <c r="F41" s="21">
        <f t="shared" si="3"/>
        <v>0.42132533842752212</v>
      </c>
      <c r="G41" s="21">
        <f>+[7]Princ_paises_impo!E29</f>
        <v>18.961068149999981</v>
      </c>
      <c r="H41" s="24">
        <f>+[7]Princ_paises_impo!G29</f>
        <v>14.529515570000001</v>
      </c>
      <c r="I41" s="21">
        <f t="shared" si="0"/>
        <v>-23.371850915476955</v>
      </c>
      <c r="J41" s="21">
        <f t="shared" si="1"/>
        <v>0.56910459762499532</v>
      </c>
      <c r="K41" s="16"/>
    </row>
    <row r="42" spans="1:11">
      <c r="A42" s="14"/>
      <c r="B42" s="9" t="str">
        <f>+[7]Princ_paises_impo!B30</f>
        <v>Paises Bajos</v>
      </c>
      <c r="C42" s="21">
        <f>+[7]Princ_paises_impo!D30</f>
        <v>47.091681050000069</v>
      </c>
      <c r="D42" s="24">
        <f>+[7]Princ_paises_impo!F30</f>
        <v>36.833414780000041</v>
      </c>
      <c r="E42" s="21">
        <f t="shared" si="2"/>
        <v>-21.783606023977377</v>
      </c>
      <c r="F42" s="21">
        <f t="shared" si="3"/>
        <v>0.38741975987008376</v>
      </c>
      <c r="G42" s="21">
        <f>+[7]Princ_paises_impo!E30</f>
        <v>8.0056225699999981</v>
      </c>
      <c r="H42" s="24">
        <f>+[7]Princ_paises_impo!G30</f>
        <v>12.199047739999999</v>
      </c>
      <c r="I42" s="21">
        <f t="shared" si="0"/>
        <v>52.381000145001863</v>
      </c>
      <c r="J42" s="21">
        <f t="shared" si="1"/>
        <v>0.47782282361949446</v>
      </c>
      <c r="K42" s="16"/>
    </row>
    <row r="43" spans="1:11">
      <c r="A43" s="14"/>
      <c r="B43" s="9" t="str">
        <f>+[7]Princ_paises_impo!B31</f>
        <v>Israel</v>
      </c>
      <c r="C43" s="21">
        <f>+[7]Princ_paises_impo!D31</f>
        <v>43.036450940000044</v>
      </c>
      <c r="D43" s="24">
        <f>+[7]Princ_paises_impo!F31</f>
        <v>36.787697200000011</v>
      </c>
      <c r="E43" s="21">
        <f t="shared" ref="E43" si="4">IF(OR(OR(D43=0,C43=0),D43=""),"",(D43/C43-1)*100)</f>
        <v>-14.51967716555399</v>
      </c>
      <c r="F43" s="21">
        <f t="shared" ref="F43" si="5">(D43/D$13)*100</f>
        <v>0.38693889503658285</v>
      </c>
      <c r="G43" s="21">
        <f>+[7]Princ_paises_impo!E31</f>
        <v>20.621660160000001</v>
      </c>
      <c r="H43" s="24">
        <f>+[7]Princ_paises_impo!G31</f>
        <v>9.9238072700000011</v>
      </c>
      <c r="I43" s="21">
        <f t="shared" ref="I43" si="6">IF(OR(OR(H43=0,G43=0),H43=""),"",(H43/G43-1)*100)</f>
        <v>-51.876778140058335</v>
      </c>
      <c r="J43" s="21">
        <f t="shared" ref="J43" si="7">(H43/H$13)*100</f>
        <v>0.38870424248434554</v>
      </c>
      <c r="K43" s="16"/>
    </row>
    <row r="44" spans="1:11">
      <c r="A44" s="14"/>
      <c r="B44" s="9" t="s">
        <v>2</v>
      </c>
      <c r="C44" s="21">
        <f>+C13-SUM(C14:C43)</f>
        <v>467.05539388995203</v>
      </c>
      <c r="D44" s="24">
        <f>+D13-SUM(D14:D43)</f>
        <v>435.4079331898738</v>
      </c>
      <c r="E44" s="21">
        <f t="shared" si="2"/>
        <v>-6.7759544401140186</v>
      </c>
      <c r="F44" s="21">
        <f t="shared" si="3"/>
        <v>4.5796904232062676</v>
      </c>
      <c r="G44" s="21">
        <f t="shared" ref="G44:H44" si="8">+G13-SUM(G14:G43)</f>
        <v>116.86295075000612</v>
      </c>
      <c r="H44" s="24">
        <f t="shared" si="8"/>
        <v>142.46012495999821</v>
      </c>
      <c r="I44" s="21">
        <f t="shared" si="0"/>
        <v>21.903583681324037</v>
      </c>
      <c r="J44" s="21">
        <f t="shared" si="1"/>
        <v>5.5800010469974906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B24" sqref="B24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4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4">
        <f>(H13/H$13)*100</f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tr">
        <f>+[7]Disminuyeron!B2</f>
        <v>Mexico</v>
      </c>
      <c r="C16" s="21">
        <f>+[7]Disminuyeron!C2</f>
        <v>1089.3030473900103</v>
      </c>
      <c r="D16" s="24">
        <f>+[7]Disminuyeron!D2</f>
        <v>864.86852399999816</v>
      </c>
      <c r="E16" s="21">
        <f>IF(OR(OR(D16=0,C16=0),D16=""),"",(D16/C16-1)*100)</f>
        <v>-20.603497247874348</v>
      </c>
      <c r="F16" s="21">
        <f>(D16/D$13)*100</f>
        <v>9.0968257460942556</v>
      </c>
      <c r="G16" s="21">
        <f>+[7]Disminuyeron!E2</f>
        <v>313.73056453000095</v>
      </c>
      <c r="H16" s="24">
        <f>+[7]Disminuyeron!F2</f>
        <v>261.05261359000008</v>
      </c>
      <c r="I16" s="21">
        <f t="shared" ref="I16" si="0">IF(OR(OR(H16=0,G16=0),H16=""),"",(H16/G16-1)*100)</f>
        <v>-16.790825279939682</v>
      </c>
      <c r="J16" s="21">
        <f t="shared" ref="J16" si="1">(H16/H$13)*100</f>
        <v>10.225133928266983</v>
      </c>
      <c r="K16" s="16"/>
    </row>
    <row r="17" spans="1:11">
      <c r="A17" s="14"/>
      <c r="B17" s="9" t="str">
        <f>+[7]Disminuyeron!B3</f>
        <v>Colombia</v>
      </c>
      <c r="C17" s="21">
        <f>+[7]Disminuyeron!C3</f>
        <v>226.74431737999998</v>
      </c>
      <c r="D17" s="24">
        <f>+[7]Disminuyeron!D3</f>
        <v>182.96358200999978</v>
      </c>
      <c r="E17" s="21">
        <f t="shared" ref="E17:E37" si="2">IF(OR(OR(D17=0,C17=0),D17=""),"",(D17/C17-1)*100)</f>
        <v>-19.30841569741667</v>
      </c>
      <c r="F17" s="21">
        <f t="shared" ref="F17:F37" si="3">(D17/D$13)*100</f>
        <v>1.9244402787702761</v>
      </c>
      <c r="G17" s="21">
        <f>+[7]Disminuyeron!E3</f>
        <v>36.932661980000034</v>
      </c>
      <c r="H17" s="24">
        <f>+[7]Disminuyeron!F3</f>
        <v>45.199302650000043</v>
      </c>
      <c r="I17" s="21">
        <f t="shared" ref="I17:I36" si="4">IF(OR(OR(H17=0,G17=0),H17=""),"",(H17/G17-1)*100)</f>
        <v>22.383007957770818</v>
      </c>
      <c r="J17" s="21">
        <f t="shared" ref="J17:J37" si="5">(H17/H$13)*100</f>
        <v>1.7704052708178941</v>
      </c>
      <c r="K17" s="16"/>
    </row>
    <row r="18" spans="1:11">
      <c r="A18" s="14"/>
      <c r="B18" s="9" t="str">
        <f>+[7]Disminuyeron!B4</f>
        <v>Canada</v>
      </c>
      <c r="C18" s="21">
        <f>+[7]Disminuyeron!C4</f>
        <v>167.17078908000011</v>
      </c>
      <c r="D18" s="24">
        <f>+[7]Disminuyeron!D4</f>
        <v>124.37481874999995</v>
      </c>
      <c r="E18" s="21">
        <f t="shared" si="2"/>
        <v>-25.600148545999868</v>
      </c>
      <c r="F18" s="21">
        <f t="shared" si="3"/>
        <v>1.308194276903536</v>
      </c>
      <c r="G18" s="21">
        <f>+[7]Disminuyeron!E4</f>
        <v>44.255106839999989</v>
      </c>
      <c r="H18" s="24">
        <f>+[7]Disminuyeron!F4</f>
        <v>45.16716566000003</v>
      </c>
      <c r="I18" s="21">
        <f t="shared" si="4"/>
        <v>2.0609120282942817</v>
      </c>
      <c r="J18" s="21">
        <f t="shared" si="5"/>
        <v>1.7691465014752605</v>
      </c>
      <c r="K18" s="16"/>
    </row>
    <row r="19" spans="1:11">
      <c r="A19" s="14"/>
      <c r="B19" s="9" t="str">
        <f>+[7]Disminuyeron!B5</f>
        <v>Venezuela</v>
      </c>
      <c r="C19" s="21">
        <f>+[7]Disminuyeron!C5</f>
        <v>61.56515541000001</v>
      </c>
      <c r="D19" s="24">
        <f>+[7]Disminuyeron!D5</f>
        <v>24.753329429999976</v>
      </c>
      <c r="E19" s="21">
        <f t="shared" si="2"/>
        <v>-59.793280362646016</v>
      </c>
      <c r="F19" s="21">
        <f t="shared" si="3"/>
        <v>0.26035948610887</v>
      </c>
      <c r="G19" s="21">
        <f>+[7]Disminuyeron!E5</f>
        <v>11.500104500000004</v>
      </c>
      <c r="H19" s="24">
        <f>+[7]Disminuyeron!F5</f>
        <v>10.477651119999996</v>
      </c>
      <c r="I19" s="21">
        <f t="shared" si="4"/>
        <v>-8.8908181660436902</v>
      </c>
      <c r="J19" s="21">
        <f t="shared" si="5"/>
        <v>0.41039767609421268</v>
      </c>
      <c r="K19" s="16"/>
    </row>
    <row r="20" spans="1:11">
      <c r="A20" s="14"/>
      <c r="B20" s="9" t="str">
        <f>+[7]Disminuyeron!B6</f>
        <v>Japon</v>
      </c>
      <c r="C20" s="21">
        <f>+[7]Disminuyeron!C6</f>
        <v>236.08347788999816</v>
      </c>
      <c r="D20" s="24">
        <f>+[7]Disminuyeron!D6</f>
        <v>202.53985994000058</v>
      </c>
      <c r="E20" s="21">
        <f t="shared" si="2"/>
        <v>-14.208371653024809</v>
      </c>
      <c r="F20" s="21">
        <f t="shared" si="3"/>
        <v>2.1303467074869817</v>
      </c>
      <c r="G20" s="21">
        <f>+[7]Disminuyeron!E6</f>
        <v>60.683706609999454</v>
      </c>
      <c r="H20" s="24">
        <f>+[7]Disminuyeron!F6</f>
        <v>58.43970436000015</v>
      </c>
      <c r="I20" s="21">
        <f t="shared" si="4"/>
        <v>-3.6978661577497296</v>
      </c>
      <c r="J20" s="21">
        <f t="shared" si="5"/>
        <v>2.2890167449073164</v>
      </c>
      <c r="K20" s="16"/>
    </row>
    <row r="21" spans="1:11">
      <c r="A21" s="14"/>
      <c r="B21" s="9" t="str">
        <f>+[7]Disminuyeron!B7</f>
        <v>Ecuador</v>
      </c>
      <c r="C21" s="21">
        <f>+[7]Disminuyeron!C7</f>
        <v>94.741273089999908</v>
      </c>
      <c r="D21" s="24">
        <f>+[7]Disminuyeron!D7</f>
        <v>61.343176420000084</v>
      </c>
      <c r="E21" s="21">
        <f t="shared" si="2"/>
        <v>-35.251897700670696</v>
      </c>
      <c r="F21" s="21">
        <f t="shared" si="3"/>
        <v>0.64521736092763626</v>
      </c>
      <c r="G21" s="21">
        <f>+[7]Disminuyeron!E7</f>
        <v>23.389768409999984</v>
      </c>
      <c r="H21" s="24">
        <f>+[7]Disminuyeron!F7</f>
        <v>19.474082270000011</v>
      </c>
      <c r="I21" s="21">
        <f t="shared" si="4"/>
        <v>-16.741021421682291</v>
      </c>
      <c r="J21" s="21">
        <f t="shared" si="5"/>
        <v>0.76277765084389615</v>
      </c>
      <c r="K21" s="16"/>
    </row>
    <row r="22" spans="1:11">
      <c r="A22" s="14"/>
      <c r="B22" s="9" t="str">
        <f>+[7]Disminuyeron!B8</f>
        <v>Chile</v>
      </c>
      <c r="C22" s="21">
        <f>+[7]Disminuyeron!C8</f>
        <v>108.95009315000011</v>
      </c>
      <c r="D22" s="24">
        <f>+[7]Disminuyeron!D8</f>
        <v>84.007474160000015</v>
      </c>
      <c r="E22" s="21">
        <f t="shared" si="2"/>
        <v>-22.893618783473315</v>
      </c>
      <c r="F22" s="21">
        <f t="shared" si="3"/>
        <v>0.88360407691636333</v>
      </c>
      <c r="G22" s="21">
        <f>+[7]Disminuyeron!E8</f>
        <v>30.035534809999998</v>
      </c>
      <c r="H22" s="24">
        <f>+[7]Disminuyeron!F8</f>
        <v>18.673741320000005</v>
      </c>
      <c r="I22" s="21">
        <f t="shared" si="4"/>
        <v>-37.827838131975632</v>
      </c>
      <c r="J22" s="21">
        <f t="shared" si="5"/>
        <v>0.7314292062162574</v>
      </c>
      <c r="K22" s="16"/>
    </row>
    <row r="23" spans="1:11">
      <c r="A23" s="14"/>
      <c r="B23" s="9" t="str">
        <f>+[7]Disminuyeron!B9</f>
        <v>India</v>
      </c>
      <c r="C23" s="21">
        <f>+[7]Disminuyeron!C9</f>
        <v>147.40837930000004</v>
      </c>
      <c r="D23" s="24">
        <f>+[7]Disminuyeron!D9</f>
        <v>124.93899065000033</v>
      </c>
      <c r="E23" s="21">
        <f t="shared" si="2"/>
        <v>-15.242952101298691</v>
      </c>
      <c r="F23" s="21">
        <f t="shared" si="3"/>
        <v>1.314128327366386</v>
      </c>
      <c r="G23" s="21">
        <f>+[7]Disminuyeron!E9</f>
        <v>24.929636779999992</v>
      </c>
      <c r="H23" s="24">
        <f>+[7]Disminuyeron!F9</f>
        <v>34.953934199999942</v>
      </c>
      <c r="I23" s="21">
        <f t="shared" si="4"/>
        <v>40.210362904452857</v>
      </c>
      <c r="J23" s="21">
        <f t="shared" si="5"/>
        <v>1.3691058426871923</v>
      </c>
      <c r="K23" s="16"/>
    </row>
    <row r="24" spans="1:11">
      <c r="A24" s="14"/>
      <c r="B24" s="9" t="str">
        <f>+[7]Disminuyeron!B10</f>
        <v>Francia</v>
      </c>
      <c r="C24" s="21">
        <f>+[7]Disminuyeron!C10</f>
        <v>251.76016654999924</v>
      </c>
      <c r="D24" s="24">
        <f>+[7]Disminuyeron!D10</f>
        <v>233.54158311999896</v>
      </c>
      <c r="E24" s="21">
        <f t="shared" si="2"/>
        <v>-7.2364837057660942</v>
      </c>
      <c r="F24" s="21">
        <f t="shared" si="3"/>
        <v>2.4564278004752809</v>
      </c>
      <c r="G24" s="21">
        <f>+[7]Disminuyeron!E10</f>
        <v>75.270957529999919</v>
      </c>
      <c r="H24" s="24">
        <f>+[7]Disminuyeron!F10</f>
        <v>52.856682129999868</v>
      </c>
      <c r="I24" s="21">
        <f t="shared" si="4"/>
        <v>-29.778119125250445</v>
      </c>
      <c r="J24" s="21">
        <f t="shared" si="5"/>
        <v>2.0703361148183039</v>
      </c>
      <c r="K24" s="16"/>
    </row>
    <row r="25" spans="1:11">
      <c r="A25" s="14"/>
      <c r="B25" s="9" t="str">
        <f>+[7]Disminuyeron!B11</f>
        <v>Tailandia</v>
      </c>
      <c r="C25" s="21">
        <f>+[7]Disminuyeron!C11</f>
        <v>56.674948239999907</v>
      </c>
      <c r="D25" s="24">
        <f>+[7]Disminuyeron!D11</f>
        <v>40.056942249999985</v>
      </c>
      <c r="E25" s="21">
        <f t="shared" si="2"/>
        <v>-29.321607705097662</v>
      </c>
      <c r="F25" s="21">
        <f t="shared" si="3"/>
        <v>0.42132533842752196</v>
      </c>
      <c r="G25" s="21">
        <f>+[7]Disminuyeron!E11</f>
        <v>18.961068149999988</v>
      </c>
      <c r="H25" s="24">
        <f>+[7]Disminuyeron!F11</f>
        <v>14.529515569999997</v>
      </c>
      <c r="I25" s="21">
        <f t="shared" si="4"/>
        <v>-23.371850915476998</v>
      </c>
      <c r="J25" s="21">
        <f t="shared" si="5"/>
        <v>0.56910459762499521</v>
      </c>
      <c r="K25" s="16"/>
    </row>
    <row r="26" spans="1:11">
      <c r="A26" s="14"/>
      <c r="B26" s="9" t="str">
        <f>+[7]Disminuyeron!B12</f>
        <v>Suecia</v>
      </c>
      <c r="C26" s="21">
        <f>+[7]Disminuyeron!C12</f>
        <v>44.523517279999957</v>
      </c>
      <c r="D26" s="24">
        <f>+[7]Disminuyeron!D12</f>
        <v>28.60544008999991</v>
      </c>
      <c r="E26" s="21">
        <f t="shared" si="2"/>
        <v>-35.752065790072876</v>
      </c>
      <c r="F26" s="21">
        <f t="shared" si="3"/>
        <v>0.30087660340043604</v>
      </c>
      <c r="G26" s="21">
        <f>+[7]Disminuyeron!E12</f>
        <v>11.008767370000001</v>
      </c>
      <c r="H26" s="24">
        <f>+[7]Disminuyeron!F12</f>
        <v>6.9127405000000124</v>
      </c>
      <c r="I26" s="21">
        <f t="shared" si="4"/>
        <v>-37.206952716269349</v>
      </c>
      <c r="J26" s="21">
        <f t="shared" si="5"/>
        <v>0.27076418217696407</v>
      </c>
      <c r="K26" s="16"/>
    </row>
    <row r="27" spans="1:11">
      <c r="A27" s="14"/>
      <c r="B27" s="9" t="str">
        <f>+[7]Disminuyeron!B13</f>
        <v>Turquia</v>
      </c>
      <c r="C27" s="21">
        <f>+[7]Disminuyeron!C13</f>
        <v>24.505468790000023</v>
      </c>
      <c r="D27" s="24">
        <f>+[7]Disminuyeron!D13</f>
        <v>14.194644390000011</v>
      </c>
      <c r="E27" s="21">
        <f t="shared" si="2"/>
        <v>-42.075605606074198</v>
      </c>
      <c r="F27" s="21">
        <f t="shared" si="3"/>
        <v>0.14930154463987033</v>
      </c>
      <c r="G27" s="21">
        <f>+[7]Disminuyeron!E13</f>
        <v>6.6666013199999954</v>
      </c>
      <c r="H27" s="24">
        <f>+[7]Disminuyeron!F13</f>
        <v>3.6443107200000009</v>
      </c>
      <c r="I27" s="21">
        <f t="shared" si="4"/>
        <v>-45.334803371742595</v>
      </c>
      <c r="J27" s="21">
        <f t="shared" si="5"/>
        <v>0.14274350551702927</v>
      </c>
      <c r="K27" s="16"/>
    </row>
    <row r="28" spans="1:11">
      <c r="A28" s="14"/>
      <c r="B28" s="9" t="str">
        <f>+[7]Disminuyeron!B14</f>
        <v>Paises Bajos</v>
      </c>
      <c r="C28" s="21">
        <f>+[7]Disminuyeron!C14</f>
        <v>47.091681050000027</v>
      </c>
      <c r="D28" s="24">
        <f>+[7]Disminuyeron!D14</f>
        <v>36.833414780000005</v>
      </c>
      <c r="E28" s="21">
        <f t="shared" si="2"/>
        <v>-21.783606023977388</v>
      </c>
      <c r="F28" s="21">
        <f t="shared" si="3"/>
        <v>0.38741975987008337</v>
      </c>
      <c r="G28" s="21">
        <f>+[7]Disminuyeron!E14</f>
        <v>8.0056225699999999</v>
      </c>
      <c r="H28" s="24">
        <f>+[7]Disminuyeron!F14</f>
        <v>12.199047740000008</v>
      </c>
      <c r="I28" s="21">
        <f t="shared" si="4"/>
        <v>52.381000145001934</v>
      </c>
      <c r="J28" s="21">
        <f t="shared" si="5"/>
        <v>0.4778228236194948</v>
      </c>
      <c r="K28" s="16"/>
    </row>
    <row r="29" spans="1:11">
      <c r="A29" s="14"/>
      <c r="B29" s="9" t="str">
        <f>+[7]Disminuyeron!B15</f>
        <v>Peru</v>
      </c>
      <c r="C29" s="21">
        <f>+[7]Disminuyeron!C15</f>
        <v>51.013617420000017</v>
      </c>
      <c r="D29" s="24">
        <f>+[7]Disminuyeron!D15</f>
        <v>42.124654939999964</v>
      </c>
      <c r="E29" s="21">
        <f t="shared" si="2"/>
        <v>-17.4246856615095</v>
      </c>
      <c r="F29" s="21">
        <f t="shared" si="3"/>
        <v>0.44307387188891273</v>
      </c>
      <c r="G29" s="21">
        <f>+[7]Disminuyeron!E15</f>
        <v>9.5448126500000079</v>
      </c>
      <c r="H29" s="24">
        <f>+[7]Disminuyeron!F15</f>
        <v>9.811055439999997</v>
      </c>
      <c r="I29" s="21">
        <f t="shared" si="4"/>
        <v>2.7893977573251627</v>
      </c>
      <c r="J29" s="21">
        <f t="shared" si="5"/>
        <v>0.38428788155789284</v>
      </c>
      <c r="K29" s="16"/>
    </row>
    <row r="30" spans="1:11">
      <c r="A30" s="14"/>
      <c r="B30" s="9" t="str">
        <f>+[7]Disminuyeron!B16</f>
        <v>Israel</v>
      </c>
      <c r="C30" s="21">
        <f>+[7]Disminuyeron!C16</f>
        <v>43.036450940000016</v>
      </c>
      <c r="D30" s="24">
        <f>+[7]Disminuyeron!D16</f>
        <v>36.787697199999982</v>
      </c>
      <c r="E30" s="21">
        <f t="shared" si="2"/>
        <v>-14.519677165554</v>
      </c>
      <c r="F30" s="21">
        <f t="shared" si="3"/>
        <v>0.38693889503658258</v>
      </c>
      <c r="G30" s="21">
        <f>+[7]Disminuyeron!E16</f>
        <v>20.62166015999998</v>
      </c>
      <c r="H30" s="24">
        <f>+[7]Disminuyeron!F16</f>
        <v>9.9238072700000011</v>
      </c>
      <c r="I30" s="21">
        <f t="shared" si="4"/>
        <v>-51.876778140058292</v>
      </c>
      <c r="J30" s="21">
        <f t="shared" si="5"/>
        <v>0.38870424248434554</v>
      </c>
      <c r="K30" s="16"/>
    </row>
    <row r="31" spans="1:11">
      <c r="A31" s="14"/>
      <c r="B31" s="9" t="str">
        <f>+[7]Disminuyeron!B17</f>
        <v>Paraguay</v>
      </c>
      <c r="C31" s="21">
        <f>+[7]Disminuyeron!C17</f>
        <v>9.7248013099999966</v>
      </c>
      <c r="D31" s="24">
        <f>+[7]Disminuyeron!D17</f>
        <v>4.32634308</v>
      </c>
      <c r="E31" s="21">
        <f t="shared" si="2"/>
        <v>-55.51227277465064</v>
      </c>
      <c r="F31" s="21">
        <f t="shared" si="3"/>
        <v>4.5505169889360902E-2</v>
      </c>
      <c r="G31" s="21">
        <f>+[7]Disminuyeron!E17</f>
        <v>4.6446909200000022</v>
      </c>
      <c r="H31" s="24">
        <f>+[7]Disminuyeron!F17</f>
        <v>0.57806391000000001</v>
      </c>
      <c r="I31" s="21">
        <f t="shared" si="4"/>
        <v>-87.554308349973056</v>
      </c>
      <c r="J31" s="21">
        <f t="shared" si="5"/>
        <v>2.2642105809869167E-2</v>
      </c>
      <c r="K31" s="16"/>
    </row>
    <row r="32" spans="1:11">
      <c r="A32" s="14"/>
      <c r="B32" s="9" t="str">
        <f>+[7]Disminuyeron!B18</f>
        <v>Singapur</v>
      </c>
      <c r="C32" s="21">
        <f>+[7]Disminuyeron!C18</f>
        <v>26.43845096999998</v>
      </c>
      <c r="D32" s="24">
        <f>+[7]Disminuyeron!D18</f>
        <v>22.262963689999928</v>
      </c>
      <c r="E32" s="21">
        <f t="shared" si="2"/>
        <v>-15.793237223837453</v>
      </c>
      <c r="F32" s="21">
        <f t="shared" si="3"/>
        <v>0.23416542012986166</v>
      </c>
      <c r="G32" s="21">
        <f>+[7]Disminuyeron!E18</f>
        <v>6.3219149800000007</v>
      </c>
      <c r="H32" s="24">
        <f>+[7]Disminuyeron!F18</f>
        <v>6.7142291000000016</v>
      </c>
      <c r="I32" s="21">
        <f t="shared" si="4"/>
        <v>6.2056215757587019</v>
      </c>
      <c r="J32" s="21">
        <f t="shared" si="5"/>
        <v>0.26298871644469668</v>
      </c>
      <c r="K32" s="16"/>
    </row>
    <row r="33" spans="1:13">
      <c r="A33" s="14"/>
      <c r="B33" s="9" t="str">
        <f>+[7]Disminuyeron!B19</f>
        <v>Letonia</v>
      </c>
      <c r="C33" s="21">
        <f>+[7]Disminuyeron!C19</f>
        <v>4.1802496300000005</v>
      </c>
      <c r="D33" s="24">
        <f>+[7]Disminuyeron!D19</f>
        <v>0.14120417999999998</v>
      </c>
      <c r="E33" s="21">
        <f t="shared" si="2"/>
        <v>-96.622111297214559</v>
      </c>
      <c r="F33" s="21">
        <f t="shared" si="3"/>
        <v>1.4852081957374254E-3</v>
      </c>
      <c r="G33" s="21">
        <f>+[7]Disminuyeron!E19</f>
        <v>4.0018135099999999</v>
      </c>
      <c r="H33" s="24">
        <f>+[7]Disminuyeron!F19</f>
        <v>5.44206E-2</v>
      </c>
      <c r="I33" s="21">
        <f t="shared" si="4"/>
        <v>-98.640101547360715</v>
      </c>
      <c r="J33" s="21">
        <f t="shared" si="5"/>
        <v>2.1315929988373881E-3</v>
      </c>
      <c r="K33" s="16"/>
    </row>
    <row r="34" spans="1:13">
      <c r="A34" s="14"/>
      <c r="B34" s="9" t="str">
        <f>+[7]Disminuyeron!B20</f>
        <v>Marruecos</v>
      </c>
      <c r="C34" s="21">
        <f>+[7]Disminuyeron!C20</f>
        <v>3.7532805899999988</v>
      </c>
      <c r="D34" s="24">
        <f>+[7]Disminuyeron!D20</f>
        <v>0.64135629000000027</v>
      </c>
      <c r="E34" s="21">
        <f t="shared" si="2"/>
        <v>-82.912114492351336</v>
      </c>
      <c r="F34" s="21">
        <f t="shared" si="3"/>
        <v>6.7458882470458692E-3</v>
      </c>
      <c r="G34" s="21">
        <f>+[7]Disminuyeron!E20</f>
        <v>9.929713999999995E-2</v>
      </c>
      <c r="H34" s="24">
        <f>+[7]Disminuyeron!F20</f>
        <v>9.3207280000000017E-2</v>
      </c>
      <c r="I34" s="21">
        <f t="shared" si="4"/>
        <v>-6.1329661659942474</v>
      </c>
      <c r="J34" s="21">
        <f t="shared" si="5"/>
        <v>3.6508231347812431E-3</v>
      </c>
      <c r="K34" s="16"/>
    </row>
    <row r="35" spans="1:13">
      <c r="A35" s="14"/>
      <c r="B35" s="9" t="str">
        <f>+[7]Disminuyeron!B21</f>
        <v>Reino Unido</v>
      </c>
      <c r="C35" s="21">
        <f>+[7]Disminuyeron!C21</f>
        <v>101.45561021000029</v>
      </c>
      <c r="D35" s="24">
        <f>+[7]Disminuyeron!D21</f>
        <v>98.442847239999963</v>
      </c>
      <c r="E35" s="21">
        <f t="shared" si="2"/>
        <v>-2.9695380706540431</v>
      </c>
      <c r="F35" s="21">
        <f t="shared" si="3"/>
        <v>1.0354376444987348</v>
      </c>
      <c r="G35" s="21">
        <f>+[7]Disminuyeron!E21</f>
        <v>29.374228429999938</v>
      </c>
      <c r="H35" s="24">
        <f>+[7]Disminuyeron!F21</f>
        <v>30.706992900000035</v>
      </c>
      <c r="I35" s="21">
        <f t="shared" si="4"/>
        <v>4.537189710960865</v>
      </c>
      <c r="J35" s="21">
        <f t="shared" si="5"/>
        <v>1.2027579828408628</v>
      </c>
      <c r="K35" s="16"/>
    </row>
    <row r="36" spans="1:13">
      <c r="A36" s="14"/>
      <c r="B36" s="9" t="s">
        <v>2</v>
      </c>
      <c r="C36" s="21">
        <f>+[7]Disminuyeron!C22</f>
        <v>264.33088240000029</v>
      </c>
      <c r="D36" s="24">
        <f>+[7]Disminuyeron!D22</f>
        <v>236.71879113999987</v>
      </c>
      <c r="E36" s="21">
        <f t="shared" si="2"/>
        <v>-10.446033020922718</v>
      </c>
      <c r="F36" s="21">
        <f t="shared" si="3"/>
        <v>2.4898461836341079</v>
      </c>
      <c r="G36" s="21">
        <f>+[7]Disminuyeron!E22</f>
        <v>64.486387300000018</v>
      </c>
      <c r="H36" s="24">
        <f>+[7]Disminuyeron!F22</f>
        <v>78.845244850000043</v>
      </c>
      <c r="I36" s="21">
        <f t="shared" si="4"/>
        <v>22.266493986088154</v>
      </c>
      <c r="J36" s="21">
        <f t="shared" si="5"/>
        <v>3.0882785546995017</v>
      </c>
      <c r="K36" s="16"/>
    </row>
    <row r="37" spans="1:13">
      <c r="A37" s="14"/>
      <c r="B37" s="10" t="s">
        <v>21</v>
      </c>
      <c r="C37" s="22">
        <f>SUM(C16:C36)</f>
        <v>3060.4556580700091</v>
      </c>
      <c r="D37" s="22">
        <f>SUM(D16:D36)</f>
        <v>2464.4676377499977</v>
      </c>
      <c r="E37" s="24">
        <f t="shared" si="2"/>
        <v>-19.473832883298648</v>
      </c>
      <c r="F37" s="24">
        <f t="shared" si="3"/>
        <v>25.921665588907842</v>
      </c>
      <c r="G37" s="22">
        <f t="shared" ref="G37:H37" si="6">SUM(G16:G36)</f>
        <v>804.46490649000032</v>
      </c>
      <c r="H37" s="22">
        <f t="shared" si="6"/>
        <v>720.30751318000023</v>
      </c>
      <c r="I37" s="24">
        <f>IF(OR(OR(H37=0,G37=0),H37=""),"",(H37/G37-1)*100)</f>
        <v>-10.461288321101691</v>
      </c>
      <c r="J37" s="24">
        <f t="shared" si="5"/>
        <v>28.213625945036586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tr">
        <f>IF(F38="","",1)</f>
        <v/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4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4">
        <f>(H13/H$13)*100</f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tr">
        <f>+[7]Aumentaron!B2</f>
        <v>Estados Unidos</v>
      </c>
      <c r="C16" s="21">
        <f>+[7]Aumentaron!C2</f>
        <v>1854.6116825499821</v>
      </c>
      <c r="D16" s="24">
        <f>+[7]Aumentaron!D2</f>
        <v>3001.4386969999528</v>
      </c>
      <c r="E16" s="21">
        <f t="shared" ref="E16:E38" si="0">IF(OR(OR(D16=0,C16=0),D16=""),"",(D16/C16-1)*100)</f>
        <v>61.836503309045845</v>
      </c>
      <c r="F16" s="21">
        <f t="shared" ref="F16:F38" si="1">(D16/D$13)*100</f>
        <v>31.569613249322998</v>
      </c>
      <c r="G16" s="21">
        <f>+[7]Aumentaron!E2</f>
        <v>406.67092778000034</v>
      </c>
      <c r="H16" s="24">
        <f>+[7]Aumentaron!F2</f>
        <v>669.45335190999936</v>
      </c>
      <c r="I16" s="21">
        <f t="shared" ref="I16:I35" si="2">IF(OR(OR(H16=0,G16=0),H16=""),"",(H16/G16-1)*100)</f>
        <v>64.617951807993109</v>
      </c>
      <c r="J16" s="21">
        <f t="shared" ref="J16:J38" si="3">(H16/H$13)*100</f>
        <v>26.221726294446896</v>
      </c>
      <c r="K16" s="16"/>
    </row>
    <row r="17" spans="1:11">
      <c r="A17" s="14"/>
      <c r="B17" s="9" t="str">
        <f>+[7]Aumentaron!B3</f>
        <v>China</v>
      </c>
      <c r="C17" s="21">
        <f>+[7]Aumentaron!C3</f>
        <v>1584.3377786400347</v>
      </c>
      <c r="D17" s="24">
        <f>+[7]Aumentaron!D3</f>
        <v>1725.3988800999907</v>
      </c>
      <c r="E17" s="21">
        <f t="shared" si="0"/>
        <v>8.9034739537070315</v>
      </c>
      <c r="F17" s="21">
        <f t="shared" si="1"/>
        <v>18.148021946947193</v>
      </c>
      <c r="G17" s="21">
        <f>+[7]Aumentaron!E3</f>
        <v>395.70615604999858</v>
      </c>
      <c r="H17" s="24">
        <f>+[7]Aumentaron!F3</f>
        <v>447.12482071999978</v>
      </c>
      <c r="I17" s="21">
        <f t="shared" si="2"/>
        <v>12.994153334198909</v>
      </c>
      <c r="J17" s="21">
        <f t="shared" si="3"/>
        <v>17.513370625336247</v>
      </c>
      <c r="K17" s="16"/>
    </row>
    <row r="18" spans="1:11">
      <c r="A18" s="14"/>
      <c r="B18" s="9" t="str">
        <f>+[7]Aumentaron!B4</f>
        <v>Alemania</v>
      </c>
      <c r="C18" s="21">
        <f>+[7]Aumentaron!C4</f>
        <v>355.08173370000287</v>
      </c>
      <c r="D18" s="24">
        <f>+[7]Aumentaron!D4</f>
        <v>432.07173299000203</v>
      </c>
      <c r="E18" s="21">
        <f t="shared" si="0"/>
        <v>21.682331695227532</v>
      </c>
      <c r="F18" s="21">
        <f t="shared" si="1"/>
        <v>4.5445997348182159</v>
      </c>
      <c r="G18" s="21">
        <f>+[7]Aumentaron!E4</f>
        <v>91.098781470000119</v>
      </c>
      <c r="H18" s="24">
        <f>+[7]Aumentaron!F4</f>
        <v>120.93944203000031</v>
      </c>
      <c r="I18" s="21">
        <f t="shared" si="2"/>
        <v>32.756377284614999</v>
      </c>
      <c r="J18" s="21">
        <f t="shared" si="3"/>
        <v>4.7370603762995778</v>
      </c>
      <c r="K18" s="16"/>
    </row>
    <row r="19" spans="1:11">
      <c r="A19" s="14"/>
      <c r="B19" s="9" t="str">
        <f>+[7]Aumentaron!B5</f>
        <v>España</v>
      </c>
      <c r="C19" s="21">
        <f>+[7]Aumentaron!C5</f>
        <v>105.44067174999985</v>
      </c>
      <c r="D19" s="24">
        <f>+[7]Aumentaron!D5</f>
        <v>173.00722317000026</v>
      </c>
      <c r="E19" s="21">
        <f t="shared" si="0"/>
        <v>64.080160244237547</v>
      </c>
      <c r="F19" s="21">
        <f t="shared" si="1"/>
        <v>1.8197177008064362</v>
      </c>
      <c r="G19" s="21">
        <f>+[7]Aumentaron!E5</f>
        <v>26.628486400000043</v>
      </c>
      <c r="H19" s="24">
        <f>+[7]Aumentaron!F5</f>
        <v>30.372738150000018</v>
      </c>
      <c r="I19" s="21">
        <f t="shared" si="2"/>
        <v>14.061076148886809</v>
      </c>
      <c r="J19" s="21">
        <f t="shared" si="3"/>
        <v>1.1896656044964826</v>
      </c>
      <c r="K19" s="16"/>
    </row>
    <row r="20" spans="1:11">
      <c r="A20" s="14"/>
      <c r="B20" s="9" t="str">
        <f>+[7]Aumentaron!B6</f>
        <v>Finlandia</v>
      </c>
      <c r="C20" s="21">
        <f>+[7]Aumentaron!C6</f>
        <v>22.557434629999999</v>
      </c>
      <c r="D20" s="24">
        <f>+[7]Aumentaron!D6</f>
        <v>69.896728500000052</v>
      </c>
      <c r="E20" s="21">
        <f t="shared" si="0"/>
        <v>209.86115950898824</v>
      </c>
      <c r="F20" s="21">
        <f t="shared" si="1"/>
        <v>0.73518499256490688</v>
      </c>
      <c r="G20" s="21">
        <f>+[7]Aumentaron!E6</f>
        <v>4.609874490000001</v>
      </c>
      <c r="H20" s="24">
        <f>+[7]Aumentaron!F6</f>
        <v>9.335415600000001</v>
      </c>
      <c r="I20" s="21">
        <f t="shared" si="2"/>
        <v>102.50910562209251</v>
      </c>
      <c r="J20" s="21">
        <f t="shared" si="3"/>
        <v>0.36565761006305214</v>
      </c>
      <c r="K20" s="16"/>
    </row>
    <row r="21" spans="1:11">
      <c r="A21" s="14"/>
      <c r="B21" s="9" t="str">
        <f>+[7]Aumentaron!B7</f>
        <v>Italia</v>
      </c>
      <c r="C21" s="21">
        <f>+[7]Aumentaron!C7</f>
        <v>140.56704153999982</v>
      </c>
      <c r="D21" s="24">
        <f>+[7]Aumentaron!D7</f>
        <v>181.23356583</v>
      </c>
      <c r="E21" s="21">
        <f t="shared" si="0"/>
        <v>28.930340885368988</v>
      </c>
      <c r="F21" s="21">
        <f t="shared" si="1"/>
        <v>1.9062436913229781</v>
      </c>
      <c r="G21" s="21">
        <f>+[7]Aumentaron!E7</f>
        <v>35.797587069999956</v>
      </c>
      <c r="H21" s="24">
        <f>+[7]Aumentaron!F7</f>
        <v>57.51100789999996</v>
      </c>
      <c r="I21" s="21">
        <f t="shared" si="2"/>
        <v>60.656101729819831</v>
      </c>
      <c r="J21" s="21">
        <f t="shared" si="3"/>
        <v>2.2526407609567265</v>
      </c>
      <c r="K21" s="16"/>
    </row>
    <row r="22" spans="1:11">
      <c r="A22" s="14"/>
      <c r="B22" s="9" t="str">
        <f>+[7]Aumentaron!B8</f>
        <v>Trinidad Y Tobago</v>
      </c>
      <c r="C22" s="21">
        <f>+[7]Aumentaron!C8</f>
        <v>155.75140657999995</v>
      </c>
      <c r="D22" s="24">
        <f>+[7]Aumentaron!D8</f>
        <v>187.25661708999999</v>
      </c>
      <c r="E22" s="21">
        <f t="shared" si="0"/>
        <v>20.227881854677008</v>
      </c>
      <c r="F22" s="21">
        <f t="shared" si="1"/>
        <v>1.969595109777436</v>
      </c>
      <c r="G22" s="21">
        <f>+[7]Aumentaron!E8</f>
        <v>36.212995420000006</v>
      </c>
      <c r="H22" s="24">
        <f>+[7]Aumentaron!F8</f>
        <v>98.398894749999997</v>
      </c>
      <c r="I22" s="21">
        <f t="shared" si="2"/>
        <v>171.72260567999152</v>
      </c>
      <c r="J22" s="21">
        <f t="shared" si="3"/>
        <v>3.8541727791027109</v>
      </c>
      <c r="K22" s="16"/>
    </row>
    <row r="23" spans="1:11">
      <c r="A23" s="14"/>
      <c r="B23" s="9" t="str">
        <f>+[7]Aumentaron!B9</f>
        <v>Rusia</v>
      </c>
      <c r="C23" s="21">
        <f>+[7]Aumentaron!C9</f>
        <v>22.608096929999999</v>
      </c>
      <c r="D23" s="24">
        <f>+[7]Aumentaron!D9</f>
        <v>44.707671169999976</v>
      </c>
      <c r="E23" s="21">
        <f t="shared" si="0"/>
        <v>97.750705459311632</v>
      </c>
      <c r="F23" s="21">
        <f t="shared" si="1"/>
        <v>0.47024245057064012</v>
      </c>
      <c r="G23" s="21">
        <f>+[7]Aumentaron!E9</f>
        <v>4.094994830000001</v>
      </c>
      <c r="H23" s="24">
        <f>+[7]Aumentaron!F9</f>
        <v>7.6137068400000008</v>
      </c>
      <c r="I23" s="21">
        <f t="shared" si="2"/>
        <v>85.927141695561033</v>
      </c>
      <c r="J23" s="21">
        <f t="shared" si="3"/>
        <v>0.29822023636902817</v>
      </c>
      <c r="K23" s="16"/>
    </row>
    <row r="24" spans="1:11">
      <c r="A24" s="14"/>
      <c r="B24" s="9" t="str">
        <f>+[7]Aumentaron!B10</f>
        <v>Suiza</v>
      </c>
      <c r="C24" s="21">
        <f>+[7]Aumentaron!C10</f>
        <v>115.53640726999984</v>
      </c>
      <c r="D24" s="24">
        <f>+[7]Aumentaron!D10</f>
        <v>133.54645632999978</v>
      </c>
      <c r="E24" s="21">
        <f t="shared" si="0"/>
        <v>15.588202442466304</v>
      </c>
      <c r="F24" s="21">
        <f t="shared" si="1"/>
        <v>1.4046630308890704</v>
      </c>
      <c r="G24" s="21">
        <f>+[7]Aumentaron!E10</f>
        <v>29.438258260000019</v>
      </c>
      <c r="H24" s="24">
        <f>+[7]Aumentaron!F10</f>
        <v>37.162708450000025</v>
      </c>
      <c r="I24" s="21">
        <f t="shared" si="2"/>
        <v>26.239494612002233</v>
      </c>
      <c r="J24" s="21">
        <f t="shared" si="3"/>
        <v>1.45562101758994</v>
      </c>
      <c r="K24" s="16"/>
    </row>
    <row r="25" spans="1:11">
      <c r="A25" s="14"/>
      <c r="B25" s="9" t="str">
        <f>+[7]Aumentaron!B11</f>
        <v>Viet Nam</v>
      </c>
      <c r="C25" s="21">
        <f>+[7]Aumentaron!C11</f>
        <v>28.511220210000054</v>
      </c>
      <c r="D25" s="24">
        <f>+[7]Aumentaron!D11</f>
        <v>45.796560880000072</v>
      </c>
      <c r="E25" s="21">
        <f t="shared" si="0"/>
        <v>60.626450017517456</v>
      </c>
      <c r="F25" s="21">
        <f t="shared" si="1"/>
        <v>0.48169556705448857</v>
      </c>
      <c r="G25" s="21">
        <f>+[7]Aumentaron!E11</f>
        <v>6.9664883399999971</v>
      </c>
      <c r="H25" s="24">
        <f>+[7]Aumentaron!F11</f>
        <v>13.625919070000009</v>
      </c>
      <c r="I25" s="21">
        <f t="shared" si="2"/>
        <v>95.592361674720252</v>
      </c>
      <c r="J25" s="21">
        <f t="shared" si="3"/>
        <v>0.53371175055653319</v>
      </c>
      <c r="K25" s="16"/>
    </row>
    <row r="26" spans="1:11">
      <c r="A26" s="14"/>
      <c r="B26" s="9" t="str">
        <f>+[7]Aumentaron!B12</f>
        <v>Argentina</v>
      </c>
      <c r="C26" s="21">
        <f>+[7]Aumentaron!C12</f>
        <v>201.90101398000058</v>
      </c>
      <c r="D26" s="24">
        <f>+[7]Aumentaron!D12</f>
        <v>215.87024865999993</v>
      </c>
      <c r="E26" s="21">
        <f t="shared" si="0"/>
        <v>6.9188531571134471</v>
      </c>
      <c r="F26" s="21">
        <f t="shared" si="1"/>
        <v>2.2705578724773434</v>
      </c>
      <c r="G26" s="21">
        <f>+[7]Aumentaron!E12</f>
        <v>46.93136813000001</v>
      </c>
      <c r="H26" s="24">
        <f>+[7]Aumentaron!F12</f>
        <v>69.880983659999956</v>
      </c>
      <c r="I26" s="21">
        <f t="shared" si="2"/>
        <v>48.900376111835151</v>
      </c>
      <c r="J26" s="21">
        <f t="shared" si="3"/>
        <v>2.7371586406898456</v>
      </c>
      <c r="K26" s="16"/>
    </row>
    <row r="27" spans="1:11">
      <c r="A27" s="14"/>
      <c r="B27" s="9" t="str">
        <f>+[7]Aumentaron!B13</f>
        <v>Zona Franca Bogotá</v>
      </c>
      <c r="C27" s="21">
        <f>+[7]Aumentaron!C13</f>
        <v>32.752199679999983</v>
      </c>
      <c r="D27" s="24">
        <f>+[7]Aumentaron!D13</f>
        <v>43.320038610000061</v>
      </c>
      <c r="E27" s="21">
        <f t="shared" si="0"/>
        <v>32.266043298622463</v>
      </c>
      <c r="F27" s="21">
        <f t="shared" si="1"/>
        <v>0.45564710891160448</v>
      </c>
      <c r="G27" s="21">
        <f>+[7]Aumentaron!E13</f>
        <v>8.2330987400000026</v>
      </c>
      <c r="H27" s="24">
        <f>+[7]Aumentaron!F13</f>
        <v>12.930975840000011</v>
      </c>
      <c r="I27" s="21">
        <f t="shared" si="2"/>
        <v>57.060861874225587</v>
      </c>
      <c r="J27" s="21">
        <f t="shared" si="3"/>
        <v>0.50649161473191096</v>
      </c>
      <c r="K27" s="16"/>
    </row>
    <row r="28" spans="1:11">
      <c r="A28" s="14"/>
      <c r="B28" s="9" t="str">
        <f>+[7]Aumentaron!B14</f>
        <v>Irlanda (Eire)</v>
      </c>
      <c r="C28" s="21">
        <f>+[7]Aumentaron!C14</f>
        <v>39.285857149999977</v>
      </c>
      <c r="D28" s="24">
        <f>+[7]Aumentaron!D14</f>
        <v>49.458387910000056</v>
      </c>
      <c r="E28" s="21">
        <f t="shared" si="0"/>
        <v>25.893620498490467</v>
      </c>
      <c r="F28" s="21">
        <f t="shared" si="1"/>
        <v>0.52021125062935736</v>
      </c>
      <c r="G28" s="21">
        <f>+[7]Aumentaron!E14</f>
        <v>9.0715669699999992</v>
      </c>
      <c r="H28" s="24">
        <f>+[7]Aumentaron!F14</f>
        <v>17.60128667</v>
      </c>
      <c r="I28" s="21">
        <f t="shared" si="2"/>
        <v>94.026971615908181</v>
      </c>
      <c r="J28" s="21">
        <f t="shared" si="3"/>
        <v>0.68942237748760293</v>
      </c>
      <c r="K28" s="16"/>
    </row>
    <row r="29" spans="1:11">
      <c r="A29" s="14"/>
      <c r="B29" s="9" t="str">
        <f>+[7]Aumentaron!B15</f>
        <v>Polonia</v>
      </c>
      <c r="C29" s="21">
        <f>+[7]Aumentaron!C15</f>
        <v>5.4685475800000036</v>
      </c>
      <c r="D29" s="24">
        <f>+[7]Aumentaron!D15</f>
        <v>12.608516059999992</v>
      </c>
      <c r="E29" s="21">
        <f t="shared" si="0"/>
        <v>130.56425633220846</v>
      </c>
      <c r="F29" s="21">
        <f t="shared" si="1"/>
        <v>0.13261839265947326</v>
      </c>
      <c r="G29" s="21">
        <f>+[7]Aumentaron!E15</f>
        <v>1.6391833800000002</v>
      </c>
      <c r="H29" s="24">
        <f>+[7]Aumentaron!F15</f>
        <v>6.4499135199999982</v>
      </c>
      <c r="I29" s="21">
        <f t="shared" si="2"/>
        <v>293.48334046676325</v>
      </c>
      <c r="J29" s="21">
        <f t="shared" si="3"/>
        <v>0.25263577583375796</v>
      </c>
      <c r="K29" s="16"/>
    </row>
    <row r="30" spans="1:11">
      <c r="A30" s="14"/>
      <c r="B30" s="9" t="str">
        <f>+[7]Aumentaron!B16</f>
        <v>Bolivia</v>
      </c>
      <c r="C30" s="21">
        <f>+[7]Aumentaron!C16</f>
        <v>10.928615840000004</v>
      </c>
      <c r="D30" s="24">
        <f>+[7]Aumentaron!D16</f>
        <v>17.765115230000003</v>
      </c>
      <c r="E30" s="21">
        <f t="shared" si="0"/>
        <v>62.555949354332839</v>
      </c>
      <c r="F30" s="21">
        <f t="shared" si="1"/>
        <v>0.18685632916685443</v>
      </c>
      <c r="G30" s="21">
        <f>+[7]Aumentaron!E16</f>
        <v>3.4862370999999994</v>
      </c>
      <c r="H30" s="24">
        <f>+[7]Aumentaron!F16</f>
        <v>2.58051341</v>
      </c>
      <c r="I30" s="21">
        <f t="shared" si="2"/>
        <v>-25.979979674933741</v>
      </c>
      <c r="J30" s="21">
        <f t="shared" si="3"/>
        <v>0.10107577494849367</v>
      </c>
      <c r="K30" s="16"/>
    </row>
    <row r="31" spans="1:11">
      <c r="A31" s="14"/>
      <c r="B31" s="9" t="str">
        <f>+[7]Aumentaron!B17</f>
        <v>Dinamarca</v>
      </c>
      <c r="C31" s="21">
        <f>+[7]Aumentaron!C17</f>
        <v>11.328650529999999</v>
      </c>
      <c r="D31" s="24">
        <f>+[7]Aumentaron!D17</f>
        <v>17.955430520000004</v>
      </c>
      <c r="E31" s="21">
        <f t="shared" si="0"/>
        <v>58.495757923252015</v>
      </c>
      <c r="F31" s="21">
        <f t="shared" si="1"/>
        <v>0.18885809588850633</v>
      </c>
      <c r="G31" s="21">
        <f>+[7]Aumentaron!E17</f>
        <v>2.5228965999999984</v>
      </c>
      <c r="H31" s="24">
        <f>+[7]Aumentaron!F17</f>
        <v>9.8936564699999998</v>
      </c>
      <c r="I31" s="21">
        <f t="shared" si="2"/>
        <v>292.15465548607921</v>
      </c>
      <c r="J31" s="21">
        <f t="shared" si="3"/>
        <v>0.38752326994473096</v>
      </c>
      <c r="K31" s="16"/>
    </row>
    <row r="32" spans="1:11">
      <c r="A32" s="14"/>
      <c r="B32" s="9" t="str">
        <f>+[7]Aumentaron!B18</f>
        <v>Puerto Rico</v>
      </c>
      <c r="C32" s="21">
        <f>+[7]Aumentaron!C18</f>
        <v>15.515377140000016</v>
      </c>
      <c r="D32" s="24">
        <f>+[7]Aumentaron!D18</f>
        <v>20.971742110000022</v>
      </c>
      <c r="E32" s="21">
        <f t="shared" si="0"/>
        <v>35.167465932445907</v>
      </c>
      <c r="F32" s="21">
        <f t="shared" si="1"/>
        <v>0.22058414461005138</v>
      </c>
      <c r="G32" s="21">
        <f>+[7]Aumentaron!E18</f>
        <v>3.7248586099999983</v>
      </c>
      <c r="H32" s="24">
        <f>+[7]Aumentaron!F18</f>
        <v>8.7410765599999998</v>
      </c>
      <c r="I32" s="21">
        <f t="shared" si="2"/>
        <v>134.66868075295895</v>
      </c>
      <c r="J32" s="21">
        <f t="shared" si="3"/>
        <v>0.3423780259239626</v>
      </c>
      <c r="K32" s="16"/>
    </row>
    <row r="33" spans="1:13">
      <c r="A33" s="14"/>
      <c r="B33" s="9" t="str">
        <f>+[7]Aumentaron!B19</f>
        <v>Austria</v>
      </c>
      <c r="C33" s="21">
        <f>+[7]Aumentaron!C19</f>
        <v>22.31255736999994</v>
      </c>
      <c r="D33" s="24">
        <f>+[7]Aumentaron!D19</f>
        <v>27.566023819999995</v>
      </c>
      <c r="E33" s="21">
        <f t="shared" si="0"/>
        <v>23.544887136351011</v>
      </c>
      <c r="F33" s="21">
        <f t="shared" si="1"/>
        <v>0.28994385648751392</v>
      </c>
      <c r="G33" s="21">
        <f>+[7]Aumentaron!E19</f>
        <v>6.7476466800000008</v>
      </c>
      <c r="H33" s="24">
        <f>+[7]Aumentaron!F19</f>
        <v>8.7977143700000049</v>
      </c>
      <c r="I33" s="21">
        <f t="shared" si="2"/>
        <v>30.381965553655867</v>
      </c>
      <c r="J33" s="21">
        <f t="shared" si="3"/>
        <v>0.34459646451643483</v>
      </c>
      <c r="K33" s="16"/>
    </row>
    <row r="34" spans="1:13">
      <c r="A34" s="14"/>
      <c r="B34" s="9" t="str">
        <f>+[7]Aumentaron!B20</f>
        <v>Hong Kong</v>
      </c>
      <c r="C34" s="21">
        <f>+[7]Aumentaron!C20</f>
        <v>10.704219060000005</v>
      </c>
      <c r="D34" s="24">
        <f>+[7]Aumentaron!D20</f>
        <v>14.502415739999988</v>
      </c>
      <c r="E34" s="21">
        <f t="shared" si="0"/>
        <v>35.48317405230663</v>
      </c>
      <c r="F34" s="21">
        <f t="shared" si="1"/>
        <v>0.15253873302503809</v>
      </c>
      <c r="G34" s="21">
        <f>+[7]Aumentaron!E20</f>
        <v>2.9461908200000004</v>
      </c>
      <c r="H34" s="24">
        <f>+[7]Aumentaron!F20</f>
        <v>4.8630180100000011</v>
      </c>
      <c r="I34" s="21">
        <f t="shared" si="2"/>
        <v>65.061202994312509</v>
      </c>
      <c r="J34" s="21">
        <f t="shared" si="3"/>
        <v>0.19047888379283082</v>
      </c>
      <c r="K34" s="16"/>
    </row>
    <row r="35" spans="1:13">
      <c r="A35" s="14"/>
      <c r="B35" s="9" t="str">
        <f>+[7]Aumentaron!B21</f>
        <v>Portugal</v>
      </c>
      <c r="C35" s="21">
        <f>+[7]Aumentaron!C21</f>
        <v>3.6383640099999983</v>
      </c>
      <c r="D35" s="24">
        <f>+[7]Aumentaron!D21</f>
        <v>7.3083251599999839</v>
      </c>
      <c r="E35" s="21">
        <f t="shared" si="0"/>
        <v>100.86844361677785</v>
      </c>
      <c r="F35" s="21">
        <f t="shared" si="1"/>
        <v>7.6870135322807065E-2</v>
      </c>
      <c r="G35" s="21">
        <f>+[7]Aumentaron!E21</f>
        <v>0.63710866000000022</v>
      </c>
      <c r="H35" s="24">
        <f>+[7]Aumentaron!F21</f>
        <v>2.3826512900000028</v>
      </c>
      <c r="I35" s="21">
        <f t="shared" si="2"/>
        <v>273.97879507712264</v>
      </c>
      <c r="J35" s="21">
        <f t="shared" si="3"/>
        <v>9.3325740775274016E-2</v>
      </c>
      <c r="K35" s="16"/>
    </row>
    <row r="36" spans="1:13">
      <c r="A36" s="14"/>
      <c r="B36" s="9" t="str">
        <f>+[7]Aumentaron!B22</f>
        <v>Hungria</v>
      </c>
      <c r="C36" s="21">
        <f>+[7]Aumentaron!C22</f>
        <v>6.2505450400000022</v>
      </c>
      <c r="D36" s="24">
        <f>+[7]Aumentaron!D22</f>
        <v>9.7942776700000049</v>
      </c>
      <c r="E36" s="21">
        <f t="shared" ref="E36:E37" si="4">IF(OR(OR(D36=0,C36=0),D36=""),"",(D36/C36-1)*100)</f>
        <v>56.694777932517738</v>
      </c>
      <c r="F36" s="21">
        <f t="shared" ref="F36:F37" si="5">(D36/D$13)*100</f>
        <v>0.103017782241376</v>
      </c>
      <c r="G36" s="21">
        <f>+[7]Aumentaron!E22</f>
        <v>0.94021847000000025</v>
      </c>
      <c r="H36" s="24">
        <f>+[7]Aumentaron!F22</f>
        <v>2.6238777200000021</v>
      </c>
      <c r="I36" s="21">
        <f t="shared" ref="I36:I37" si="6">IF(OR(OR(H36=0,G36=0),H36=""),"",(H36/G36-1)*100)</f>
        <v>179.07106738713625</v>
      </c>
      <c r="J36" s="21">
        <f t="shared" ref="J36:J37" si="7">(H36/H$13)*100</f>
        <v>0.10277430564450618</v>
      </c>
      <c r="K36" s="16"/>
    </row>
    <row r="37" spans="1:13">
      <c r="A37" s="14"/>
      <c r="B37" s="9" t="s">
        <v>2</v>
      </c>
      <c r="C37" s="21">
        <f>+[7]Aumentaron!C23</f>
        <v>568.76375047000215</v>
      </c>
      <c r="D37" s="24">
        <f>+[7]Aumentaron!D23</f>
        <v>611.42377296000086</v>
      </c>
      <c r="E37" s="21">
        <f t="shared" si="4"/>
        <v>7.5004819584135296</v>
      </c>
      <c r="F37" s="21">
        <f t="shared" si="5"/>
        <v>6.4310532355975027</v>
      </c>
      <c r="G37" s="21">
        <f>+[7]Aumentaron!E23</f>
        <v>126.61311756999942</v>
      </c>
      <c r="H37" s="24">
        <f>+[7]Aumentaron!F23</f>
        <v>194.45716925000011</v>
      </c>
      <c r="I37" s="21">
        <f t="shared" si="6"/>
        <v>53.583746283233545</v>
      </c>
      <c r="J37" s="21">
        <f t="shared" si="7"/>
        <v>7.6166661254568533</v>
      </c>
      <c r="K37" s="16"/>
    </row>
    <row r="38" spans="1:13">
      <c r="A38" s="14"/>
      <c r="B38" s="10" t="s">
        <v>21</v>
      </c>
      <c r="C38" s="24">
        <f>SUM(C16:C37)</f>
        <v>5313.8531716500211</v>
      </c>
      <c r="D38" s="24">
        <f>SUM(D16:D37)</f>
        <v>7042.8984275099474</v>
      </c>
      <c r="E38" s="24">
        <f t="shared" si="0"/>
        <v>32.538446208573646</v>
      </c>
      <c r="F38" s="24">
        <f t="shared" si="1"/>
        <v>74.078334411091788</v>
      </c>
      <c r="G38" s="24">
        <f>SUM(G16:G37)</f>
        <v>1250.7180418399985</v>
      </c>
      <c r="H38" s="24">
        <f>SUM(H16:H37)</f>
        <v>1832.7408421899997</v>
      </c>
      <c r="I38" s="24">
        <f>IF(OR(OR(H38=0,G38=0),H38=""),"",(H38/G38-1)*100)</f>
        <v>46.535092713123127</v>
      </c>
      <c r="J38" s="24">
        <f t="shared" si="3"/>
        <v>71.786374054963403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tr">
        <f>IF(F39="","",1)</f>
        <v/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2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1998.8161770000004</v>
      </c>
      <c r="D14" s="24">
        <f>+D15+D19</f>
        <v>1687.9642019999999</v>
      </c>
      <c r="E14" s="21">
        <f t="shared" ref="E14:E45" si="0">IF(OR(OR(D14=0,C14=0),D14=""),"",(D14/C14-1)*100)</f>
        <v>-15.551804041658023</v>
      </c>
      <c r="F14" s="21">
        <f t="shared" ref="F14:F45" si="1">(D14/D$13)*100</f>
        <v>17.754278003114234</v>
      </c>
      <c r="G14" s="21">
        <f>+G15+G19</f>
        <v>528.40101200000004</v>
      </c>
      <c r="H14" s="24">
        <f t="shared" ref="H14" si="2">+H15+H19</f>
        <v>510.02143899999999</v>
      </c>
      <c r="I14" s="21">
        <f t="shared" ref="I14:I45" si="3">IF(OR(OR(H14=0,G14=0),H14=""),"",(H14/G14-1)*100)</f>
        <v>-3.4783379635162537</v>
      </c>
      <c r="J14" s="21">
        <f>(H14/H$13)*100</f>
        <v>19.976959618772486</v>
      </c>
      <c r="K14" s="16"/>
    </row>
    <row r="15" spans="1:14">
      <c r="A15" s="14"/>
      <c r="B15" s="10" t="s">
        <v>34</v>
      </c>
      <c r="C15" s="21">
        <f>+SUM(C16:C18)</f>
        <v>156.68350600000002</v>
      </c>
      <c r="D15" s="24">
        <f>+SUM(D16:D18)</f>
        <v>121.232946</v>
      </c>
      <c r="E15" s="21">
        <f t="shared" si="0"/>
        <v>-22.625585107854317</v>
      </c>
      <c r="F15" s="21">
        <f>(D15/D$13)*100</f>
        <v>1.2751475557776881</v>
      </c>
      <c r="G15" s="21">
        <f t="shared" ref="G15:H15" si="4">+SUM(G16:G18)</f>
        <v>36.420817999999997</v>
      </c>
      <c r="H15" s="24">
        <f t="shared" si="4"/>
        <v>31.865649999999999</v>
      </c>
      <c r="I15" s="21">
        <f t="shared" si="3"/>
        <v>-12.50704473468992</v>
      </c>
      <c r="J15" s="21">
        <f t="shared" ref="J15:J45" si="5">(H15/H$13)*100</f>
        <v>1.2481412634811562</v>
      </c>
      <c r="K15" s="16"/>
    </row>
    <row r="16" spans="1:14">
      <c r="A16" s="14" t="s">
        <v>40</v>
      </c>
      <c r="B16" s="9" t="str">
        <f>CONCATENATE(A16,[8]resumen_pais_origen!B7)</f>
        <v xml:space="preserve">   Bolivia</v>
      </c>
      <c r="C16" s="21">
        <f>[8]resumen_pais_origen!C7/1000000</f>
        <v>10.928616</v>
      </c>
      <c r="D16" s="24">
        <f>[8]resumen_pais_origen!D7/1000000</f>
        <v>17.765115000000002</v>
      </c>
      <c r="E16" s="21">
        <f t="shared" si="0"/>
        <v>62.555944869871929</v>
      </c>
      <c r="F16" s="21">
        <f t="shared" si="1"/>
        <v>0.18685632674767755</v>
      </c>
      <c r="G16" s="21">
        <f>[8]resumen_pais_origen!E7/1000000</f>
        <v>3.486237</v>
      </c>
      <c r="H16" s="24">
        <f>[8]resumen_pais_origen!F7/1000000</f>
        <v>2.5805129999999998</v>
      </c>
      <c r="I16" s="21">
        <f t="shared" si="3"/>
        <v>-25.979989312258468</v>
      </c>
      <c r="J16" s="21">
        <f t="shared" si="5"/>
        <v>0.10107575888926001</v>
      </c>
      <c r="K16" s="16"/>
    </row>
    <row r="17" spans="1:11">
      <c r="A17" s="14" t="s">
        <v>40</v>
      </c>
      <c r="B17" s="9" t="str">
        <f>CONCATENATE(A17,[8]resumen_pais_origen!B8)</f>
        <v xml:space="preserve">   Ecuador</v>
      </c>
      <c r="C17" s="21">
        <f>[8]resumen_pais_origen!C8/1000000</f>
        <v>94.741273000000007</v>
      </c>
      <c r="D17" s="24">
        <f>[8]resumen_pais_origen!D8/1000000</f>
        <v>61.343176</v>
      </c>
      <c r="E17" s="21">
        <f t="shared" si="0"/>
        <v>-35.251898082475627</v>
      </c>
      <c r="F17" s="21">
        <f t="shared" si="1"/>
        <v>0.645217356510008</v>
      </c>
      <c r="G17" s="21">
        <f>[8]resumen_pais_origen!E8/1000000</f>
        <v>23.389768</v>
      </c>
      <c r="H17" s="24">
        <f>[8]resumen_pais_origen!F8/1000000</f>
        <v>19.474081999999999</v>
      </c>
      <c r="I17" s="21">
        <f t="shared" si="3"/>
        <v>-16.741021116583976</v>
      </c>
      <c r="J17" s="21">
        <f t="shared" si="5"/>
        <v>0.76277764026830275</v>
      </c>
      <c r="K17" s="16"/>
    </row>
    <row r="18" spans="1:11">
      <c r="A18" s="14" t="s">
        <v>40</v>
      </c>
      <c r="B18" s="9" t="str">
        <f>CONCATENATE(A18,[8]resumen_pais_origen!B9)</f>
        <v xml:space="preserve">   Perú </v>
      </c>
      <c r="C18" s="21">
        <f>[8]resumen_pais_origen!C9/1000000</f>
        <v>51.013617000000004</v>
      </c>
      <c r="D18" s="24">
        <f>[8]resumen_pais_origen!D9/1000000</f>
        <v>42.124654999999997</v>
      </c>
      <c r="E18" s="21">
        <f t="shared" si="0"/>
        <v>-17.424684864043272</v>
      </c>
      <c r="F18" s="21">
        <f t="shared" si="1"/>
        <v>0.44307387252000269</v>
      </c>
      <c r="G18" s="21">
        <f>[8]resumen_pais_origen!E9/1000000</f>
        <v>9.5448129999999995</v>
      </c>
      <c r="H18" s="24">
        <f>[8]resumen_pais_origen!F9/1000000</f>
        <v>9.8110549999999996</v>
      </c>
      <c r="I18" s="21">
        <f t="shared" si="3"/>
        <v>2.7893893782937385</v>
      </c>
      <c r="J18" s="21">
        <f t="shared" si="5"/>
        <v>0.38428786432359341</v>
      </c>
      <c r="K18" s="16"/>
    </row>
    <row r="19" spans="1:11">
      <c r="A19" s="14"/>
      <c r="B19" s="10" t="s">
        <v>35</v>
      </c>
      <c r="C19" s="21">
        <f>SUM(C20:C27)</f>
        <v>1842.1326710000003</v>
      </c>
      <c r="D19" s="24">
        <f>SUM(D20:D27)</f>
        <v>1566.7312559999998</v>
      </c>
      <c r="E19" s="21">
        <f t="shared" si="0"/>
        <v>-14.950140092271369</v>
      </c>
      <c r="F19" s="21">
        <f t="shared" si="1"/>
        <v>16.479130447336544</v>
      </c>
      <c r="G19" s="21">
        <f>SUM(G20:G27)</f>
        <v>491.9801940000001</v>
      </c>
      <c r="H19" s="24">
        <f>SUM(H20:H27)</f>
        <v>478.15578899999997</v>
      </c>
      <c r="I19" s="21">
        <f t="shared" si="3"/>
        <v>-2.8099515323172009</v>
      </c>
      <c r="J19" s="21">
        <f t="shared" si="5"/>
        <v>18.728818355291331</v>
      </c>
      <c r="K19" s="16"/>
    </row>
    <row r="20" spans="1:11">
      <c r="A20" s="14" t="s">
        <v>40</v>
      </c>
      <c r="B20" s="9" t="str">
        <f>CONCATENATE(A20,[8]resumen_pais_origen!B23)</f>
        <v xml:space="preserve">   Argentina</v>
      </c>
      <c r="C20" s="21">
        <f>[8]resumen_pais_origen!C23/1000000</f>
        <v>201.901014</v>
      </c>
      <c r="D20" s="24">
        <f>[8]resumen_pais_origen!D23/1000000</f>
        <v>215.870249</v>
      </c>
      <c r="E20" s="21">
        <f t="shared" si="0"/>
        <v>6.9188533149219245</v>
      </c>
      <c r="F20" s="21">
        <f t="shared" si="1"/>
        <v>2.2705578760535192</v>
      </c>
      <c r="G20" s="21">
        <f>[8]resumen_pais_origen!E23/1000000</f>
        <v>46.931367999999999</v>
      </c>
      <c r="H20" s="24">
        <f>[8]resumen_pais_origen!F23/1000000</f>
        <v>69.880983999999998</v>
      </c>
      <c r="I20" s="21">
        <f t="shared" si="3"/>
        <v>48.900377248751823</v>
      </c>
      <c r="J20" s="21">
        <f t="shared" si="5"/>
        <v>2.7371586540072603</v>
      </c>
      <c r="K20" s="16"/>
    </row>
    <row r="21" spans="1:11">
      <c r="A21" s="14" t="s">
        <v>40</v>
      </c>
      <c r="B21" s="9" t="str">
        <f>CONCATENATE(A21,[8]resumen_pais_origen!B24)</f>
        <v xml:space="preserve">   Brasil </v>
      </c>
      <c r="C21" s="21">
        <f>[8]resumen_pais_origen!C24/1000000</f>
        <v>356.36318</v>
      </c>
      <c r="D21" s="24">
        <f>[8]resumen_pais_origen!D24/1000000</f>
        <v>358.77805899999998</v>
      </c>
      <c r="E21" s="21">
        <f t="shared" si="0"/>
        <v>0.67764548514803735</v>
      </c>
      <c r="F21" s="21">
        <f t="shared" si="1"/>
        <v>3.7736851251681469</v>
      </c>
      <c r="G21" s="21">
        <f>[8]resumen_pais_origen!E24/1000000</f>
        <v>80.440535999999994</v>
      </c>
      <c r="H21" s="24">
        <f>[8]resumen_pais_origen!F24/1000000</f>
        <v>111.76129899999999</v>
      </c>
      <c r="I21" s="21">
        <f t="shared" si="3"/>
        <v>38.936541894748203</v>
      </c>
      <c r="J21" s="21">
        <f t="shared" si="5"/>
        <v>4.3775629539066445</v>
      </c>
      <c r="K21" s="16"/>
    </row>
    <row r="22" spans="1:11">
      <c r="A22" s="14" t="s">
        <v>40</v>
      </c>
      <c r="B22" s="9" t="str">
        <f>CONCATENATE(A22,[8]resumen_pais_origen!B25)</f>
        <v xml:space="preserve">   Cuba </v>
      </c>
      <c r="C22" s="21">
        <f>[8]resumen_pais_origen!C25/1000000</f>
        <v>0.61601899999999998</v>
      </c>
      <c r="D22" s="24">
        <f>[8]resumen_pais_origen!D25/1000000</f>
        <v>1.369</v>
      </c>
      <c r="E22" s="21">
        <f t="shared" si="0"/>
        <v>122.23340513847786</v>
      </c>
      <c r="F22" s="21">
        <f t="shared" si="1"/>
        <v>1.4399361406755348E-2</v>
      </c>
      <c r="G22" s="21">
        <f>[8]resumen_pais_origen!E25/1000000</f>
        <v>8.6040000000000005E-2</v>
      </c>
      <c r="H22" s="24">
        <f>[8]resumen_pais_origen!F25/1000000</f>
        <v>1.2166939999999999</v>
      </c>
      <c r="I22" s="21">
        <f t="shared" si="3"/>
        <v>1314.1027429102742</v>
      </c>
      <c r="J22" s="21">
        <f t="shared" si="5"/>
        <v>4.7656519996608943E-2</v>
      </c>
      <c r="K22" s="16"/>
    </row>
    <row r="23" spans="1:11">
      <c r="A23" s="14" t="s">
        <v>40</v>
      </c>
      <c r="B23" s="9" t="str">
        <f>CONCATENATE(A23,[8]resumen_pais_origen!B26)</f>
        <v xml:space="preserve">   Chile </v>
      </c>
      <c r="C23" s="21">
        <f>[8]resumen_pais_origen!C26/1000000</f>
        <v>108.950093</v>
      </c>
      <c r="D23" s="24">
        <f>[8]resumen_pais_origen!D26/1000000</f>
        <v>84.007474000000002</v>
      </c>
      <c r="E23" s="21">
        <f t="shared" si="0"/>
        <v>-22.89361882417117</v>
      </c>
      <c r="F23" s="21">
        <f t="shared" si="1"/>
        <v>0.88360407523345763</v>
      </c>
      <c r="G23" s="21">
        <f>[8]resumen_pais_origen!E26/1000000</f>
        <v>30.035534999999999</v>
      </c>
      <c r="H23" s="24">
        <f>[8]resumen_pais_origen!F26/1000000</f>
        <v>18.673741</v>
      </c>
      <c r="I23" s="21">
        <f t="shared" si="3"/>
        <v>-37.827839590671516</v>
      </c>
      <c r="J23" s="21">
        <f t="shared" si="5"/>
        <v>0.73142919368222115</v>
      </c>
      <c r="K23" s="16"/>
    </row>
    <row r="24" spans="1:11">
      <c r="A24" s="14" t="s">
        <v>40</v>
      </c>
      <c r="B24" s="9" t="str">
        <f>CONCATENATE(A24,[8]resumen_pais_origen!B27)</f>
        <v xml:space="preserve">   México </v>
      </c>
      <c r="C24" s="21">
        <f>[8]resumen_pais_origen!C27/1000000</f>
        <v>1089.3030470000001</v>
      </c>
      <c r="D24" s="24">
        <f>[8]resumen_pais_origen!D27/1000000</f>
        <v>864.86852399999998</v>
      </c>
      <c r="E24" s="21">
        <f t="shared" si="0"/>
        <v>-20.60349721944733</v>
      </c>
      <c r="F24" s="21">
        <f t="shared" si="1"/>
        <v>9.0968257460942734</v>
      </c>
      <c r="G24" s="21">
        <f>[8]resumen_pais_origen!E27/1000000</f>
        <v>313.73056500000001</v>
      </c>
      <c r="H24" s="24">
        <f>[8]resumen_pais_origen!F27/1000000</f>
        <v>261.05261400000001</v>
      </c>
      <c r="I24" s="21">
        <f t="shared" si="3"/>
        <v>-16.790825273909793</v>
      </c>
      <c r="J24" s="21">
        <f t="shared" si="5"/>
        <v>10.225133944326213</v>
      </c>
      <c r="K24" s="16"/>
    </row>
    <row r="25" spans="1:11">
      <c r="A25" s="14" t="s">
        <v>40</v>
      </c>
      <c r="B25" s="9" t="str">
        <f>CONCATENATE(A25,[8]resumen_pais_origen!B28)</f>
        <v xml:space="preserve">   Paraguay </v>
      </c>
      <c r="C25" s="21">
        <f>[8]resumen_pais_origen!C28/1000000</f>
        <v>9.7248009999999994</v>
      </c>
      <c r="D25" s="24">
        <f>[8]resumen_pais_origen!D28/1000000</f>
        <v>4.3263429999999996</v>
      </c>
      <c r="E25" s="21">
        <f t="shared" si="0"/>
        <v>-55.512272179142784</v>
      </c>
      <c r="F25" s="21">
        <f t="shared" si="1"/>
        <v>4.5505169047908071E-2</v>
      </c>
      <c r="G25" s="21">
        <f>[8]resumen_pais_origen!E28/1000000</f>
        <v>4.6446909999999999</v>
      </c>
      <c r="H25" s="24">
        <f>[8]resumen_pais_origen!F28/1000000</f>
        <v>0.57806400000000002</v>
      </c>
      <c r="I25" s="21">
        <f t="shared" si="3"/>
        <v>-87.554306626641036</v>
      </c>
      <c r="J25" s="21">
        <f t="shared" si="5"/>
        <v>2.2642109335066794E-2</v>
      </c>
      <c r="K25" s="16"/>
    </row>
    <row r="26" spans="1:11">
      <c r="A26" s="14" t="s">
        <v>40</v>
      </c>
      <c r="B26" s="9" t="str">
        <f>CONCATENATE(A26,[8]resumen_pais_origen!B29)</f>
        <v xml:space="preserve">   Uruguay </v>
      </c>
      <c r="C26" s="21">
        <f>[8]resumen_pais_origen!C29/1000000</f>
        <v>13.709362</v>
      </c>
      <c r="D26" s="24">
        <f>[8]resumen_pais_origen!D29/1000000</f>
        <v>12.758278000000001</v>
      </c>
      <c r="E26" s="21">
        <f t="shared" si="0"/>
        <v>-6.9374781992043051</v>
      </c>
      <c r="F26" s="21">
        <f t="shared" si="1"/>
        <v>0.134193612746425</v>
      </c>
      <c r="G26" s="21">
        <f>[8]resumen_pais_origen!E29/1000000</f>
        <v>4.6113540000000004</v>
      </c>
      <c r="H26" s="24">
        <f>[8]resumen_pais_origen!F29/1000000</f>
        <v>4.514742</v>
      </c>
      <c r="I26" s="21">
        <f t="shared" si="3"/>
        <v>-2.0950896417841758</v>
      </c>
      <c r="J26" s="21">
        <f t="shared" si="5"/>
        <v>0.17683730864336494</v>
      </c>
      <c r="K26" s="16"/>
    </row>
    <row r="27" spans="1:11">
      <c r="A27" s="14" t="s">
        <v>40</v>
      </c>
      <c r="B27" s="9" t="str">
        <f>CONCATENATE(A27,[8]resumen_pais_origen!B30)</f>
        <v xml:space="preserve">   Venezuela</v>
      </c>
      <c r="C27" s="21">
        <f>[8]resumen_pais_origen!C30/1000000</f>
        <v>61.565154999999997</v>
      </c>
      <c r="D27" s="24">
        <f>[8]resumen_pais_origen!D30/1000000</f>
        <v>24.753329000000001</v>
      </c>
      <c r="E27" s="21">
        <f t="shared" si="0"/>
        <v>-59.793280793331881</v>
      </c>
      <c r="F27" s="21">
        <f>(D27/D$13)*100</f>
        <v>0.26035948158606131</v>
      </c>
      <c r="G27" s="21">
        <f>[8]resumen_pais_origen!E30/1000000</f>
        <v>11.500105</v>
      </c>
      <c r="H27" s="24">
        <f>[8]resumen_pais_origen!F30/1000000</f>
        <v>10.477651</v>
      </c>
      <c r="I27" s="21">
        <f t="shared" si="3"/>
        <v>-8.8908231707449659</v>
      </c>
      <c r="J27" s="21">
        <f t="shared" si="5"/>
        <v>0.41039767139394934</v>
      </c>
      <c r="K27" s="16"/>
    </row>
    <row r="28" spans="1:11">
      <c r="A28" s="14" t="s">
        <v>40</v>
      </c>
      <c r="B28" s="9" t="str">
        <f>+[8]resumen_pais_origen!B44</f>
        <v xml:space="preserve">Canadá </v>
      </c>
      <c r="C28" s="21">
        <f>+[8]resumen_pais_origen!C44/1000000</f>
        <v>167.17078900000001</v>
      </c>
      <c r="D28" s="24">
        <f>+[8]resumen_pais_origen!D44/1000000</f>
        <v>124.374819</v>
      </c>
      <c r="E28" s="21">
        <f t="shared" si="0"/>
        <v>-25.600148360847907</v>
      </c>
      <c r="F28" s="21">
        <f>(D28/D$13)*100</f>
        <v>1.3081942795330765</v>
      </c>
      <c r="G28" s="21">
        <f>+[8]resumen_pais_origen!E44/1000000</f>
        <v>44.255107000000002</v>
      </c>
      <c r="H28" s="24">
        <f>+[8]resumen_pais_origen!F44/1000000</f>
        <v>45.167166000000002</v>
      </c>
      <c r="I28" s="21">
        <f t="shared" si="3"/>
        <v>2.0609124275758672</v>
      </c>
      <c r="J28" s="21">
        <f t="shared" si="5"/>
        <v>1.7691465147926726</v>
      </c>
      <c r="K28" s="16"/>
    </row>
    <row r="29" spans="1:11">
      <c r="A29" s="14" t="s">
        <v>40</v>
      </c>
      <c r="B29" s="9" t="str">
        <f>+[8]resumen_pais_origen!B45</f>
        <v>Estados Unidos</v>
      </c>
      <c r="C29" s="21">
        <f>+[8]resumen_pais_origen!C45/1000000</f>
        <v>1854.6116830000001</v>
      </c>
      <c r="D29" s="24">
        <f>+[8]resumen_pais_origen!D45/1000000</f>
        <v>3001.438697</v>
      </c>
      <c r="E29" s="21">
        <f t="shared" si="0"/>
        <v>61.836503269779072</v>
      </c>
      <c r="F29" s="21">
        <f t="shared" si="1"/>
        <v>31.569613249323492</v>
      </c>
      <c r="G29" s="21">
        <f>+[8]resumen_pais_origen!E45/1000000</f>
        <v>406.670928</v>
      </c>
      <c r="H29" s="24">
        <f>+[8]resumen_pais_origen!F45/1000000</f>
        <v>669.453352</v>
      </c>
      <c r="I29" s="21">
        <f t="shared" si="3"/>
        <v>64.617951741069618</v>
      </c>
      <c r="J29" s="21">
        <f t="shared" si="5"/>
        <v>26.221726297972118</v>
      </c>
      <c r="K29" s="16"/>
    </row>
    <row r="30" spans="1:11">
      <c r="A30" s="14"/>
      <c r="B30" s="10" t="s">
        <v>32</v>
      </c>
      <c r="C30" s="21">
        <f>SUM(C31:C41)</f>
        <v>1236.4996380000002</v>
      </c>
      <c r="D30" s="24">
        <f>SUM(D31:D41)</f>
        <v>1457.2497709999998</v>
      </c>
      <c r="E30" s="21">
        <f t="shared" si="0"/>
        <v>17.852826334592066</v>
      </c>
      <c r="F30" s="21">
        <f t="shared" si="1"/>
        <v>15.327586641738836</v>
      </c>
      <c r="G30" s="21">
        <f>SUM(G31:G41)</f>
        <v>321.563965</v>
      </c>
      <c r="H30" s="24">
        <f>SUM(H31:H41)</f>
        <v>395.13604100000003</v>
      </c>
      <c r="I30" s="21">
        <f t="shared" si="3"/>
        <v>22.879452926263056</v>
      </c>
      <c r="J30" s="21">
        <f t="shared" si="5"/>
        <v>15.477029260682961</v>
      </c>
      <c r="K30" s="16"/>
    </row>
    <row r="31" spans="1:11">
      <c r="A31" s="14" t="s">
        <v>40</v>
      </c>
      <c r="B31" s="9" t="str">
        <f>CONCATENATE(A31,[8]resumen_pais_origen!B59)</f>
        <v xml:space="preserve">   Alemania </v>
      </c>
      <c r="C31" s="21">
        <f>[8]resumen_pais_origen!C59/1000000</f>
        <v>355.08173399999998</v>
      </c>
      <c r="D31" s="24">
        <f>[8]resumen_pais_origen!D59/1000000</f>
        <v>432.07173299999999</v>
      </c>
      <c r="E31" s="21">
        <f t="shared" si="0"/>
        <v>21.682331595237734</v>
      </c>
      <c r="F31" s="21">
        <f t="shared" si="1"/>
        <v>4.5445997349233753</v>
      </c>
      <c r="G31" s="21">
        <f>[8]resumen_pais_origen!E59/1000000</f>
        <v>91.098781000000002</v>
      </c>
      <c r="H31" s="24">
        <f>[8]resumen_pais_origen!F59/1000000</f>
        <v>120.939442</v>
      </c>
      <c r="I31" s="21">
        <f t="shared" si="3"/>
        <v>32.756377936604885</v>
      </c>
      <c r="J31" s="21">
        <f t="shared" si="5"/>
        <v>4.7370603751245</v>
      </c>
      <c r="K31" s="16"/>
    </row>
    <row r="32" spans="1:11">
      <c r="A32" s="14" t="s">
        <v>40</v>
      </c>
      <c r="B32" s="9" t="str">
        <f>CONCATENATE(A32,[8]resumen_pais_origen!B60)</f>
        <v xml:space="preserve">   Bélgica </v>
      </c>
      <c r="C32" s="21">
        <f>[8]resumen_pais_origen!C60/1000000</f>
        <v>52.957034</v>
      </c>
      <c r="D32" s="24">
        <f>[8]resumen_pais_origen!D60/1000000</f>
        <v>56.295687000000001</v>
      </c>
      <c r="E32" s="21">
        <f t="shared" si="0"/>
        <v>6.3044561747925609</v>
      </c>
      <c r="F32" s="21">
        <f t="shared" si="1"/>
        <v>0.59212705825754486</v>
      </c>
      <c r="G32" s="21">
        <f>[8]resumen_pais_origen!E60/1000000</f>
        <v>9.5225760000000008</v>
      </c>
      <c r="H32" s="24">
        <f>[8]resumen_pais_origen!F60/1000000</f>
        <v>21.199203000000001</v>
      </c>
      <c r="I32" s="21">
        <f t="shared" si="3"/>
        <v>122.62046530266599</v>
      </c>
      <c r="J32" s="21">
        <f t="shared" si="5"/>
        <v>0.83034866752172076</v>
      </c>
      <c r="K32" s="16"/>
    </row>
    <row r="33" spans="1:11">
      <c r="A33" s="14" t="s">
        <v>40</v>
      </c>
      <c r="B33" s="9" t="str">
        <f>CONCATENATE(A33,[8]resumen_pais_origen!B61)</f>
        <v xml:space="preserve">   España </v>
      </c>
      <c r="C33" s="21">
        <f>[8]resumen_pais_origen!C61/1000000</f>
        <v>105.44067200000001</v>
      </c>
      <c r="D33" s="24">
        <f>[8]resumen_pais_origen!D61/1000000</f>
        <v>173.00722300000001</v>
      </c>
      <c r="E33" s="21">
        <f t="shared" si="0"/>
        <v>64.080159693974622</v>
      </c>
      <c r="F33" s="21">
        <f t="shared" si="1"/>
        <v>1.8197176990183466</v>
      </c>
      <c r="G33" s="21">
        <f>[8]resumen_pais_origen!E61/1000000</f>
        <v>26.628485999999999</v>
      </c>
      <c r="H33" s="24">
        <f>[8]resumen_pais_origen!F61/1000000</f>
        <v>30.372737999999998</v>
      </c>
      <c r="I33" s="21">
        <f t="shared" si="3"/>
        <v>14.061077298949698</v>
      </c>
      <c r="J33" s="21">
        <f t="shared" si="5"/>
        <v>1.1896655986211524</v>
      </c>
      <c r="K33" s="16"/>
    </row>
    <row r="34" spans="1:11">
      <c r="A34" s="14" t="s">
        <v>40</v>
      </c>
      <c r="B34" s="9" t="str">
        <f>CONCATENATE(A34,[8]resumen_pais_origen!B62)</f>
        <v xml:space="preserve">   Finlandia </v>
      </c>
      <c r="C34" s="21">
        <f>[8]resumen_pais_origen!C62/1000000</f>
        <v>22.557435000000002</v>
      </c>
      <c r="D34" s="24">
        <f>[8]resumen_pais_origen!D62/1000000</f>
        <v>69.896728999999993</v>
      </c>
      <c r="E34" s="21">
        <f t="shared" si="0"/>
        <v>209.86115664303136</v>
      </c>
      <c r="F34" s="21">
        <f t="shared" si="1"/>
        <v>0.73518499782398627</v>
      </c>
      <c r="G34" s="21">
        <f>[8]resumen_pais_origen!E62/1000000</f>
        <v>4.6098739999999996</v>
      </c>
      <c r="H34" s="24">
        <f>[8]resumen_pais_origen!F62/1000000</f>
        <v>9.3354160000000004</v>
      </c>
      <c r="I34" s="21">
        <f t="shared" si="3"/>
        <v>102.50913582453664</v>
      </c>
      <c r="J34" s="21">
        <f t="shared" si="5"/>
        <v>0.36565762573059712</v>
      </c>
      <c r="K34" s="16"/>
    </row>
    <row r="35" spans="1:11">
      <c r="A35" s="14" t="s">
        <v>40</v>
      </c>
      <c r="B35" s="9" t="str">
        <f>CONCATENATE(A35,[8]resumen_pais_origen!B63)</f>
        <v xml:space="preserve">   Francia </v>
      </c>
      <c r="C35" s="21">
        <f>[8]resumen_pais_origen!C63/1000000</f>
        <v>251.760167</v>
      </c>
      <c r="D35" s="24">
        <f>[8]resumen_pais_origen!D63/1000000</f>
        <v>233.541583</v>
      </c>
      <c r="E35" s="21">
        <f t="shared" si="0"/>
        <v>-7.2364839192373136</v>
      </c>
      <c r="F35" s="21">
        <f t="shared" si="1"/>
        <v>2.4564277992131127</v>
      </c>
      <c r="G35" s="21">
        <f>[8]resumen_pais_origen!E63/1000000</f>
        <v>75.270957999999993</v>
      </c>
      <c r="H35" s="24">
        <f>[8]resumen_pais_origen!F63/1000000</f>
        <v>52.856681999999999</v>
      </c>
      <c r="I35" s="21">
        <f t="shared" si="3"/>
        <v>-29.778119736432739</v>
      </c>
      <c r="J35" s="21">
        <f t="shared" si="5"/>
        <v>2.0703361097263571</v>
      </c>
      <c r="K35" s="16"/>
    </row>
    <row r="36" spans="1:11">
      <c r="A36" s="14" t="s">
        <v>40</v>
      </c>
      <c r="B36" s="9" t="str">
        <f>CONCATENATE(A36,[8]resumen_pais_origen!B64)</f>
        <v xml:space="preserve">   Irlanda </v>
      </c>
      <c r="C36" s="21">
        <f>[8]resumen_pais_origen!C64/1000000</f>
        <v>39.285857</v>
      </c>
      <c r="D36" s="24">
        <f>[8]resumen_pais_origen!D64/1000000</f>
        <v>49.458387999999999</v>
      </c>
      <c r="E36" s="21">
        <f t="shared" si="0"/>
        <v>25.89362120826333</v>
      </c>
      <c r="F36" s="21">
        <f t="shared" si="1"/>
        <v>0.52021125157599113</v>
      </c>
      <c r="G36" s="21">
        <f>[8]resumen_pais_origen!E64/1000000</f>
        <v>9.0715669999999999</v>
      </c>
      <c r="H36" s="24">
        <f>[8]resumen_pais_origen!F64/1000000</f>
        <v>17.601286999999999</v>
      </c>
      <c r="I36" s="21">
        <f t="shared" si="3"/>
        <v>94.026974611993722</v>
      </c>
      <c r="J36" s="21">
        <f t="shared" si="5"/>
        <v>0.68942239041332753</v>
      </c>
      <c r="K36" s="16"/>
    </row>
    <row r="37" spans="1:11">
      <c r="A37" s="14" t="s">
        <v>40</v>
      </c>
      <c r="B37" s="7" t="str">
        <f>CONCATENATE(A37,[8]resumen_pais_origen!B65)</f>
        <v xml:space="preserve">   Italia </v>
      </c>
      <c r="C37" s="21">
        <f>[8]resumen_pais_origen!C65/1000000</f>
        <v>140.56704199999999</v>
      </c>
      <c r="D37" s="24">
        <f>[8]resumen_pais_origen!D65/1000000</f>
        <v>181.233566</v>
      </c>
      <c r="E37" s="21">
        <f t="shared" si="0"/>
        <v>28.930340584388215</v>
      </c>
      <c r="F37" s="21">
        <f t="shared" si="1"/>
        <v>1.9062436931110653</v>
      </c>
      <c r="G37" s="21">
        <f>[8]resumen_pais_origen!E65/1000000</f>
        <v>35.797587</v>
      </c>
      <c r="H37" s="24">
        <f>[8]resumen_pais_origen!F65/1000000</f>
        <v>57.511007999999997</v>
      </c>
      <c r="I37" s="21">
        <f t="shared" si="3"/>
        <v>60.656102323321392</v>
      </c>
      <c r="J37" s="21">
        <f t="shared" si="5"/>
        <v>2.2526407648736142</v>
      </c>
      <c r="K37" s="16"/>
    </row>
    <row r="38" spans="1:11">
      <c r="A38" s="14" t="s">
        <v>40</v>
      </c>
      <c r="B38" s="7" t="str">
        <f>CONCATENATE(A38,[8]resumen_pais_origen!B66)</f>
        <v xml:space="preserve">   Países Bajos </v>
      </c>
      <c r="C38" s="21">
        <f>[8]resumen_pais_origen!C66/1000000</f>
        <v>47.091681000000001</v>
      </c>
      <c r="D38" s="24">
        <f>[8]resumen_pais_origen!D66/1000000</f>
        <v>36.833415000000002</v>
      </c>
      <c r="E38" s="21">
        <f t="shared" si="0"/>
        <v>-21.783605473756605</v>
      </c>
      <c r="F38" s="21">
        <f t="shared" si="1"/>
        <v>0.38741976218407859</v>
      </c>
      <c r="G38" s="21">
        <f>[8]resumen_pais_origen!E66/1000000</f>
        <v>8.0056229999999999</v>
      </c>
      <c r="H38" s="24">
        <f>[8]resumen_pais_origen!F66/1000000</f>
        <v>12.199047999999999</v>
      </c>
      <c r="I38" s="21">
        <f t="shared" si="3"/>
        <v>52.380995207993173</v>
      </c>
      <c r="J38" s="21">
        <f t="shared" si="5"/>
        <v>0.47782283380339868</v>
      </c>
      <c r="K38" s="16"/>
    </row>
    <row r="39" spans="1:11">
      <c r="A39" s="14" t="s">
        <v>40</v>
      </c>
      <c r="B39" s="7" t="str">
        <f>CONCATENATE(A39,[8]resumen_pais_origen!B67)</f>
        <v xml:space="preserve">   Reino Unido </v>
      </c>
      <c r="C39" s="21">
        <f>[8]resumen_pais_origen!C67/1000000</f>
        <v>101.45560999999999</v>
      </c>
      <c r="D39" s="24">
        <f>[8]resumen_pais_origen!D67/1000000</f>
        <v>98.442847</v>
      </c>
      <c r="E39" s="21">
        <f t="shared" si="0"/>
        <v>-2.9695381063698623</v>
      </c>
      <c r="F39" s="21">
        <f t="shared" si="1"/>
        <v>1.0354376419743767</v>
      </c>
      <c r="G39" s="21">
        <f>[8]resumen_pais_origen!E67/1000000</f>
        <v>29.374227999999999</v>
      </c>
      <c r="H39" s="24">
        <f>[8]resumen_pais_origen!F67/1000000</f>
        <v>30.706993000000001</v>
      </c>
      <c r="I39" s="21">
        <f t="shared" si="3"/>
        <v>4.5371915816817543</v>
      </c>
      <c r="J39" s="21">
        <f t="shared" si="5"/>
        <v>1.2027579867577476</v>
      </c>
      <c r="K39" s="16"/>
    </row>
    <row r="40" spans="1:11">
      <c r="A40" s="14" t="s">
        <v>40</v>
      </c>
      <c r="B40" s="9" t="str">
        <f>CONCATENATE(A40,[8]resumen_pais_origen!B68)</f>
        <v xml:space="preserve">   Suecia </v>
      </c>
      <c r="C40" s="21">
        <f>[8]resumen_pais_origen!C68/1000000</f>
        <v>44.523516999999998</v>
      </c>
      <c r="D40" s="24">
        <f>[8]resumen_pais_origen!D68/1000000</f>
        <v>28.605440000000002</v>
      </c>
      <c r="E40" s="21">
        <f t="shared" si="0"/>
        <v>-35.752065588169948</v>
      </c>
      <c r="F40" s="21">
        <f t="shared" si="1"/>
        <v>0.3008766024538026</v>
      </c>
      <c r="G40" s="21">
        <f>[8]resumen_pais_origen!E68/1000000</f>
        <v>11.008767000000001</v>
      </c>
      <c r="H40" s="24">
        <f>[8]resumen_pais_origen!F68/1000000</f>
        <v>6.9127409999999996</v>
      </c>
      <c r="I40" s="21">
        <f t="shared" si="3"/>
        <v>-37.206946063987012</v>
      </c>
      <c r="J40" s="21">
        <f t="shared" si="5"/>
        <v>0.27076420176139482</v>
      </c>
      <c r="K40" s="16"/>
    </row>
    <row r="41" spans="1:11">
      <c r="A41" s="14" t="s">
        <v>40</v>
      </c>
      <c r="B41" s="9" t="str">
        <f>CONCATENATE(A41,[8]resumen_pais_origen!B69)</f>
        <v xml:space="preserve">   Resto </v>
      </c>
      <c r="C41" s="21">
        <f>[8]resumen_pais_origen!C69/1000000</f>
        <v>75.778889000000007</v>
      </c>
      <c r="D41" s="24">
        <f>[8]resumen_pais_origen!D69/1000000</f>
        <v>97.863159999999993</v>
      </c>
      <c r="E41" s="21">
        <f t="shared" si="0"/>
        <v>29.143038769016517</v>
      </c>
      <c r="F41" s="21">
        <f t="shared" si="1"/>
        <v>1.0293404012031584</v>
      </c>
      <c r="G41" s="21">
        <f>[8]resumen_pais_origen!E69/1000000</f>
        <v>21.175518</v>
      </c>
      <c r="H41" s="24">
        <f>[8]resumen_pais_origen!F69/1000000</f>
        <v>35.501483</v>
      </c>
      <c r="I41" s="21">
        <f t="shared" si="3"/>
        <v>67.653433554730526</v>
      </c>
      <c r="J41" s="21">
        <f t="shared" si="5"/>
        <v>1.3905527063491498</v>
      </c>
      <c r="K41" s="16"/>
    </row>
    <row r="42" spans="1:11">
      <c r="A42" s="14"/>
      <c r="B42" s="9" t="str">
        <f>+[8]resumen_pais_origen!B83</f>
        <v>Corea del Sur</v>
      </c>
      <c r="C42" s="21">
        <f>+[8]resumen_pais_origen!C83/1000000</f>
        <v>145.380053</v>
      </c>
      <c r="D42" s="24">
        <f>+[8]resumen_pais_origen!D83/1000000</f>
        <v>145.36199099999999</v>
      </c>
      <c r="E42" s="21">
        <f t="shared" si="0"/>
        <v>-1.242398776675202E-2</v>
      </c>
      <c r="F42" s="21">
        <f t="shared" si="1"/>
        <v>1.5289407181990637</v>
      </c>
      <c r="G42" s="21">
        <f>+[8]resumen_pais_origen!E83/1000000</f>
        <v>34.059587999999998</v>
      </c>
      <c r="H42" s="24">
        <f>+[8]resumen_pais_origen!F83/1000000</f>
        <v>49.636952999999998</v>
      </c>
      <c r="I42" s="21">
        <f t="shared" si="3"/>
        <v>45.735623695741708</v>
      </c>
      <c r="J42" s="21">
        <f t="shared" si="5"/>
        <v>1.9442229872221268</v>
      </c>
      <c r="K42" s="16"/>
    </row>
    <row r="43" spans="1:11">
      <c r="A43" s="14"/>
      <c r="B43" s="9" t="str">
        <f>+[8]resumen_pais_origen!B84</f>
        <v xml:space="preserve">China </v>
      </c>
      <c r="C43" s="21">
        <f>+[8]resumen_pais_origen!C84/1000000</f>
        <v>1584.337779</v>
      </c>
      <c r="D43" s="24">
        <f>+[8]resumen_pais_origen!D84/1000000</f>
        <v>1725.39888</v>
      </c>
      <c r="E43" s="21">
        <f t="shared" ref="E43:E44" si="6">IF(OR(OR(D43=0,C43=0),D43=""),"",(D43/C43-1)*100)</f>
        <v>8.9034739226526938</v>
      </c>
      <c r="F43" s="21">
        <f t="shared" ref="F43:F44" si="7">(D43/D$13)*100</f>
        <v>18.148021945895472</v>
      </c>
      <c r="G43" s="21">
        <f>+[8]resumen_pais_origen!E84/1000000</f>
        <v>395.70615600000002</v>
      </c>
      <c r="H43" s="24">
        <f>+[8]resumen_pais_origen!F84/1000000</f>
        <v>447.124821</v>
      </c>
      <c r="I43" s="21">
        <f t="shared" ref="I43:I44" si="8">IF(OR(OR(H43=0,G43=0),H43=""),"",(H43/G43-1)*100)</f>
        <v>12.994153419235666</v>
      </c>
      <c r="J43" s="21">
        <f t="shared" ref="J43:J44" si="9">(H43/H$13)*100</f>
        <v>17.513370636303538</v>
      </c>
      <c r="K43" s="16"/>
    </row>
    <row r="44" spans="1:11">
      <c r="A44" s="14"/>
      <c r="B44" s="9" t="str">
        <f>+[8]resumen_pais_origen!B85</f>
        <v xml:space="preserve">Japón </v>
      </c>
      <c r="C44" s="21">
        <f>+[8]resumen_pais_origen!C85/1000000</f>
        <v>236.08347800000001</v>
      </c>
      <c r="D44" s="24">
        <f>+[8]resumen_pais_origen!D85/1000000</f>
        <v>202.53986</v>
      </c>
      <c r="E44" s="21">
        <f t="shared" si="6"/>
        <v>-14.208371667584462</v>
      </c>
      <c r="F44" s="21">
        <f t="shared" si="7"/>
        <v>2.1303467081180654</v>
      </c>
      <c r="G44" s="21">
        <f>+[8]resumen_pais_origen!E85/1000000</f>
        <v>60.683706999999998</v>
      </c>
      <c r="H44" s="24">
        <f>+[8]resumen_pais_origen!F85/1000000</f>
        <v>58.439703999999999</v>
      </c>
      <c r="I44" s="21">
        <f t="shared" si="8"/>
        <v>-3.6978673699021081</v>
      </c>
      <c r="J44" s="21">
        <f t="shared" si="9"/>
        <v>2.2890167308065199</v>
      </c>
      <c r="K44" s="16"/>
    </row>
    <row r="45" spans="1:11">
      <c r="A45" s="14"/>
      <c r="B45" s="9" t="s">
        <v>2</v>
      </c>
      <c r="C45" s="21">
        <f>+C13-C14-C30-C42-C28-C29-C43-C44</f>
        <v>1151.4092327199896</v>
      </c>
      <c r="D45" s="24">
        <f>+D13-D14-D30-D42-D28-D29-D43-D44</f>
        <v>1163.0378452599798</v>
      </c>
      <c r="E45" s="21">
        <f t="shared" si="0"/>
        <v>1.0099460912363689</v>
      </c>
      <c r="F45" s="21">
        <f t="shared" si="1"/>
        <v>12.23301845407776</v>
      </c>
      <c r="G45" s="21">
        <f t="shared" ref="G45:H45" si="10">+G13-G14-G30-G42-G28-G29-G43-G44</f>
        <v>263.84248533000289</v>
      </c>
      <c r="H45" s="24">
        <f t="shared" si="10"/>
        <v>378.0688793700001</v>
      </c>
      <c r="I45" s="21">
        <f t="shared" si="3"/>
        <v>43.293404357197332</v>
      </c>
      <c r="J45" s="21">
        <f t="shared" si="5"/>
        <v>14.808527953447578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totales'!C22</f>
        <v>331.03183366999968</v>
      </c>
      <c r="D13" s="24">
        <f>+'Resumen importaciones totales'!D22</f>
        <v>361.7771869099987</v>
      </c>
      <c r="E13" s="24">
        <f>IF(OR(OR(D13=0,C13=0),D13=""),"",(D13/C13-1)*100)</f>
        <v>9.2877331159179519</v>
      </c>
      <c r="F13" s="22">
        <f>(D13/D$13)*100</f>
        <v>100</v>
      </c>
      <c r="G13" s="24">
        <f>+'Resumen importaciones totales'!G22</f>
        <v>75.211976220000025</v>
      </c>
      <c r="H13" s="24">
        <f>+'Resumen importaciones totales'!H22</f>
        <v>96.570777479999975</v>
      </c>
      <c r="I13" s="24">
        <f>IF(OR(OR(H13=0,G13=0),H13=""),"",(H13/G13-1)*100)</f>
        <v>28.398138612292321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195.485097</v>
      </c>
      <c r="D14" s="24">
        <f>+D15+D19</f>
        <v>210.87856400000001</v>
      </c>
      <c r="E14" s="21">
        <f t="shared" ref="E14:E45" si="0">IF(OR(OR(D14=0,C14=0),D14=""),"",(D14/C14-1)*100)</f>
        <v>7.8744964379561022</v>
      </c>
      <c r="F14" s="21">
        <f t="shared" ref="F14:F45" si="1">(D14/D$13)*100</f>
        <v>58.289624561777977</v>
      </c>
      <c r="G14" s="21">
        <f>+G15+G19</f>
        <v>43.632423999999993</v>
      </c>
      <c r="H14" s="24">
        <f t="shared" ref="H14" si="2">+H15+H19</f>
        <v>60.112535999999999</v>
      </c>
      <c r="I14" s="21">
        <f t="shared" ref="I14:I45" si="3">IF(OR(OR(H14=0,G14=0),H14=""),"",(H14/G14-1)*100)</f>
        <v>37.77033336493065</v>
      </c>
      <c r="J14" s="21">
        <f>(H14/H$13)*100</f>
        <v>62.24712855030026</v>
      </c>
      <c r="K14" s="16"/>
    </row>
    <row r="15" spans="1:14">
      <c r="A15" s="14"/>
      <c r="B15" s="10" t="s">
        <v>34</v>
      </c>
      <c r="C15" s="21">
        <f>+SUM(C16:C18)</f>
        <v>17.108516999999999</v>
      </c>
      <c r="D15" s="24">
        <f>+SUM(D16:D18)</f>
        <v>18.699947999999999</v>
      </c>
      <c r="E15" s="21">
        <f t="shared" si="0"/>
        <v>9.3019809957812338</v>
      </c>
      <c r="F15" s="21">
        <f>(D15/D$13)*100</f>
        <v>5.1689129874991506</v>
      </c>
      <c r="G15" s="21">
        <f t="shared" ref="G15:H15" si="4">+SUM(G16:G18)</f>
        <v>2.6566049999999999</v>
      </c>
      <c r="H15" s="24">
        <f t="shared" si="4"/>
        <v>2.1690860000000001</v>
      </c>
      <c r="I15" s="21">
        <f t="shared" si="3"/>
        <v>-18.35120388616297</v>
      </c>
      <c r="J15" s="21">
        <f t="shared" ref="J15:J45" si="5">(H15/H$13)*100</f>
        <v>2.2461101138480766</v>
      </c>
      <c r="K15" s="16"/>
    </row>
    <row r="16" spans="1:14">
      <c r="A16" s="14" t="s">
        <v>40</v>
      </c>
      <c r="B16" s="9" t="str">
        <f>CONCATENATE(A16,[9]resumen_pais_primarios!B7)</f>
        <v xml:space="preserve">   Bolivia</v>
      </c>
      <c r="C16" s="21">
        <f>[9]resumen_pais_primarios!C7/1000000</f>
        <v>2.101639</v>
      </c>
      <c r="D16" s="24">
        <f>[9]resumen_pais_primarios!D7/1000000</f>
        <v>7.9460230000000003</v>
      </c>
      <c r="E16" s="21">
        <f t="shared" si="0"/>
        <v>278.08695974903401</v>
      </c>
      <c r="F16" s="21">
        <f t="shared" si="1"/>
        <v>2.1963858660819251</v>
      </c>
      <c r="G16" s="21">
        <f>[9]resumen_pais_primarios!E7/1000000</f>
        <v>4.6621000000000003E-2</v>
      </c>
      <c r="H16" s="24">
        <f>[9]resumen_pais_primarios!F7/1000000</f>
        <v>0.30266999999999999</v>
      </c>
      <c r="I16" s="21">
        <f t="shared" si="3"/>
        <v>549.21387357628532</v>
      </c>
      <c r="J16" s="21">
        <f t="shared" si="5"/>
        <v>0.31341779355839156</v>
      </c>
      <c r="K16" s="16"/>
    </row>
    <row r="17" spans="1:11">
      <c r="A17" s="14" t="s">
        <v>40</v>
      </c>
      <c r="B17" s="9" t="str">
        <f>CONCATENATE(A17,[9]resumen_pais_primarios!B8)</f>
        <v xml:space="preserve">   Ecuador</v>
      </c>
      <c r="C17" s="21">
        <f>[9]resumen_pais_primarios!C8/1000000</f>
        <v>6.987069</v>
      </c>
      <c r="D17" s="24">
        <f>[9]resumen_pais_primarios!D8/1000000</f>
        <v>6.2551839999999999</v>
      </c>
      <c r="E17" s="21">
        <f t="shared" si="0"/>
        <v>-10.474850040839733</v>
      </c>
      <c r="F17" s="21">
        <f t="shared" si="1"/>
        <v>1.7290156002998984</v>
      </c>
      <c r="G17" s="21">
        <f>[9]resumen_pais_primarios!E8/1000000</f>
        <v>1.8494269999999999</v>
      </c>
      <c r="H17" s="24">
        <f>[9]resumen_pais_primarios!F8/1000000</f>
        <v>1.277326</v>
      </c>
      <c r="I17" s="21">
        <f t="shared" si="3"/>
        <v>-30.933959545307822</v>
      </c>
      <c r="J17" s="21">
        <f t="shared" si="5"/>
        <v>1.3226837696989</v>
      </c>
      <c r="K17" s="16"/>
    </row>
    <row r="18" spans="1:11">
      <c r="A18" s="14" t="s">
        <v>40</v>
      </c>
      <c r="B18" s="9" t="str">
        <f>CONCATENATE(A18,[9]resumen_pais_primarios!B9)</f>
        <v xml:space="preserve">   Perú </v>
      </c>
      <c r="C18" s="21">
        <f>[9]resumen_pais_primarios!C9/1000000</f>
        <v>8.0198090000000004</v>
      </c>
      <c r="D18" s="24">
        <f>[9]resumen_pais_primarios!D9/1000000</f>
        <v>4.4987409999999999</v>
      </c>
      <c r="E18" s="21">
        <f t="shared" si="0"/>
        <v>-43.904636631620534</v>
      </c>
      <c r="F18" s="21">
        <f t="shared" si="1"/>
        <v>1.2435115211173269</v>
      </c>
      <c r="G18" s="21">
        <f>[9]resumen_pais_primarios!E9/1000000</f>
        <v>0.76055700000000004</v>
      </c>
      <c r="H18" s="24">
        <f>[9]resumen_pais_primarios!F9/1000000</f>
        <v>0.58909</v>
      </c>
      <c r="I18" s="21">
        <f t="shared" si="3"/>
        <v>-22.544924312050252</v>
      </c>
      <c r="J18" s="21">
        <f t="shared" si="5"/>
        <v>0.61000855059078496</v>
      </c>
      <c r="K18" s="16"/>
    </row>
    <row r="19" spans="1:11">
      <c r="A19" s="14"/>
      <c r="B19" s="10" t="s">
        <v>35</v>
      </c>
      <c r="C19" s="21">
        <f>SUM(C20:C27)</f>
        <v>178.37657999999999</v>
      </c>
      <c r="D19" s="24">
        <f>SUM(D20:D27)</f>
        <v>192.17861600000001</v>
      </c>
      <c r="E19" s="21">
        <f t="shared" si="0"/>
        <v>7.7375830392084177</v>
      </c>
      <c r="F19" s="21">
        <f t="shared" si="1"/>
        <v>53.120711574278822</v>
      </c>
      <c r="G19" s="21">
        <f>SUM(G20:G27)</f>
        <v>40.975818999999994</v>
      </c>
      <c r="H19" s="24">
        <f t="shared" ref="H19" si="6">SUM(H20:H27)</f>
        <v>57.943449999999999</v>
      </c>
      <c r="I19" s="21">
        <f t="shared" si="3"/>
        <v>41.408888007827272</v>
      </c>
      <c r="J19" s="21">
        <f t="shared" si="5"/>
        <v>60.001018436452178</v>
      </c>
      <c r="K19" s="16"/>
    </row>
    <row r="20" spans="1:11">
      <c r="A20" s="14" t="s">
        <v>40</v>
      </c>
      <c r="B20" s="9" t="str">
        <f>CONCATENATE(A20,[9]resumen_pais_primarios!B23)</f>
        <v xml:space="preserve">   Argentina</v>
      </c>
      <c r="C20" s="21">
        <f>[9]resumen_pais_primarios!C23/1000000</f>
        <v>107.35438499999999</v>
      </c>
      <c r="D20" s="24">
        <f>[9]resumen_pais_primarios!D23/1000000</f>
        <v>139.513004</v>
      </c>
      <c r="E20" s="21">
        <f t="shared" si="0"/>
        <v>29.95557098110153</v>
      </c>
      <c r="F20" s="21">
        <f t="shared" si="1"/>
        <v>38.563239764122386</v>
      </c>
      <c r="G20" s="21">
        <f>[9]resumen_pais_primarios!E23/1000000</f>
        <v>19.692264999999999</v>
      </c>
      <c r="H20" s="24">
        <f>[9]resumen_pais_primarios!F23/1000000</f>
        <v>48.039481000000002</v>
      </c>
      <c r="I20" s="21">
        <f t="shared" si="3"/>
        <v>143.95101833130929</v>
      </c>
      <c r="J20" s="21">
        <f t="shared" si="5"/>
        <v>49.745360090891978</v>
      </c>
      <c r="K20" s="16"/>
    </row>
    <row r="21" spans="1:11">
      <c r="A21" s="14" t="s">
        <v>40</v>
      </c>
      <c r="B21" s="9" t="str">
        <f>CONCATENATE(A21,[9]resumen_pais_primarios!B24)</f>
        <v xml:space="preserve">   Brasil </v>
      </c>
      <c r="C21" s="21">
        <f>[9]resumen_pais_primarios!C24/1000000</f>
        <v>18.893186</v>
      </c>
      <c r="D21" s="24">
        <f>[9]resumen_pais_primarios!D24/1000000</f>
        <v>12.493373</v>
      </c>
      <c r="E21" s="21">
        <f t="shared" si="0"/>
        <v>-33.873656883492274</v>
      </c>
      <c r="F21" s="21">
        <f t="shared" si="1"/>
        <v>3.4533335577923117</v>
      </c>
      <c r="G21" s="21">
        <f>[9]resumen_pais_primarios!E24/1000000</f>
        <v>3.5480480000000001</v>
      </c>
      <c r="H21" s="24">
        <f>[9]resumen_pais_primarios!F24/1000000</f>
        <v>2.6443270000000001</v>
      </c>
      <c r="I21" s="21">
        <f t="shared" si="3"/>
        <v>-25.470935004261499</v>
      </c>
      <c r="J21" s="21">
        <f t="shared" si="5"/>
        <v>2.7382268932728082</v>
      </c>
      <c r="K21" s="16"/>
    </row>
    <row r="22" spans="1:11">
      <c r="A22" s="14" t="s">
        <v>40</v>
      </c>
      <c r="B22" s="9" t="str">
        <f>CONCATENATE(A22,[9]resumen_pais_primarios!B25)</f>
        <v xml:space="preserve">   Cuba </v>
      </c>
      <c r="C22" s="21">
        <f>[9]resumen_pais_primarios!C25/1000000</f>
        <v>4.3861999999999998E-2</v>
      </c>
      <c r="D22" s="24">
        <f>[9]resumen_pais_primarios!D25/1000000</f>
        <v>0</v>
      </c>
      <c r="E22" s="21" t="str">
        <f t="shared" si="0"/>
        <v/>
      </c>
      <c r="F22" s="21">
        <f t="shared" si="1"/>
        <v>0</v>
      </c>
      <c r="G22" s="21">
        <f>[9]resumen_pais_primarios!E25/1000000</f>
        <v>0</v>
      </c>
      <c r="H22" s="24">
        <f>[9]resumen_pais_primarios!F25/1000000</f>
        <v>0</v>
      </c>
      <c r="I22" s="21" t="str">
        <f t="shared" si="3"/>
        <v/>
      </c>
      <c r="J22" s="21">
        <f t="shared" si="5"/>
        <v>0</v>
      </c>
      <c r="K22" s="16"/>
    </row>
    <row r="23" spans="1:11">
      <c r="A23" s="14" t="s">
        <v>40</v>
      </c>
      <c r="B23" s="9" t="str">
        <f>CONCATENATE(A23,[9]resumen_pais_primarios!B26)</f>
        <v xml:space="preserve">   Chile </v>
      </c>
      <c r="C23" s="21">
        <f>[9]resumen_pais_primarios!C26/1000000</f>
        <v>37.865296000000001</v>
      </c>
      <c r="D23" s="24">
        <f>[9]resumen_pais_primarios!D26/1000000</f>
        <v>30.264098000000001</v>
      </c>
      <c r="E23" s="21">
        <f t="shared" si="0"/>
        <v>-20.074312901185298</v>
      </c>
      <c r="F23" s="21">
        <f t="shared" si="1"/>
        <v>8.3653970164594611</v>
      </c>
      <c r="G23" s="21">
        <f>[9]resumen_pais_primarios!E26/1000000</f>
        <v>12.180825</v>
      </c>
      <c r="H23" s="24">
        <f>[9]resumen_pais_primarios!F26/1000000</f>
        <v>6.3087770000000001</v>
      </c>
      <c r="I23" s="21">
        <f t="shared" si="3"/>
        <v>-48.207309439221071</v>
      </c>
      <c r="J23" s="21">
        <f t="shared" si="5"/>
        <v>6.5328012931308983</v>
      </c>
      <c r="K23" s="16"/>
    </row>
    <row r="24" spans="1:11">
      <c r="A24" s="14" t="s">
        <v>40</v>
      </c>
      <c r="B24" s="9" t="str">
        <f>CONCATENATE(A24,[9]resumen_pais_primarios!B27)</f>
        <v xml:space="preserve">   México </v>
      </c>
      <c r="C24" s="21">
        <f>[9]resumen_pais_primarios!C27/1000000</f>
        <v>3.925389</v>
      </c>
      <c r="D24" s="24">
        <f>[9]resumen_pais_primarios!D27/1000000</f>
        <v>6.1695180000000001</v>
      </c>
      <c r="E24" s="21">
        <f t="shared" si="0"/>
        <v>57.169595166237031</v>
      </c>
      <c r="F24" s="21">
        <f t="shared" si="1"/>
        <v>1.7053363847220209</v>
      </c>
      <c r="G24" s="21">
        <f>[9]resumen_pais_primarios!E27/1000000</f>
        <v>0.77172700000000005</v>
      </c>
      <c r="H24" s="24">
        <f>[9]resumen_pais_primarios!F27/1000000</f>
        <v>0.79303900000000005</v>
      </c>
      <c r="I24" s="21">
        <f t="shared" si="3"/>
        <v>2.7615983372358377</v>
      </c>
      <c r="J24" s="21">
        <f t="shared" si="5"/>
        <v>0.82119976735637257</v>
      </c>
      <c r="K24" s="16"/>
    </row>
    <row r="25" spans="1:11">
      <c r="A25" s="14" t="s">
        <v>40</v>
      </c>
      <c r="B25" s="9" t="str">
        <f>CONCATENATE(A25,[9]resumen_pais_primarios!B28)</f>
        <v xml:space="preserve">   Paraguay </v>
      </c>
      <c r="C25" s="21">
        <f>[9]resumen_pais_primarios!C28/1000000</f>
        <v>8.2446389999999994</v>
      </c>
      <c r="D25" s="24">
        <f>[9]resumen_pais_primarios!D28/1000000</f>
        <v>2.53477</v>
      </c>
      <c r="E25" s="21">
        <f t="shared" si="0"/>
        <v>-69.255536840363789</v>
      </c>
      <c r="F25" s="21">
        <f t="shared" si="1"/>
        <v>0.70064395758336984</v>
      </c>
      <c r="G25" s="21">
        <f>[9]resumen_pais_primarios!E28/1000000</f>
        <v>4.3397509999999997</v>
      </c>
      <c r="H25" s="24">
        <f>[9]resumen_pais_primarios!F28/1000000</f>
        <v>0</v>
      </c>
      <c r="I25" s="21" t="str">
        <f t="shared" si="3"/>
        <v/>
      </c>
      <c r="J25" s="21">
        <f t="shared" si="5"/>
        <v>0</v>
      </c>
      <c r="K25" s="16"/>
    </row>
    <row r="26" spans="1:11">
      <c r="A26" s="14" t="s">
        <v>40</v>
      </c>
      <c r="B26" s="9" t="str">
        <f>CONCATENATE(A26,[9]resumen_pais_primarios!B29)</f>
        <v xml:space="preserve">   Uruguay </v>
      </c>
      <c r="C26" s="21">
        <f>[9]resumen_pais_primarios!C29/1000000</f>
        <v>2.0495429999999999</v>
      </c>
      <c r="D26" s="24">
        <f>[9]resumen_pais_primarios!D29/1000000</f>
        <v>0.85514299999999999</v>
      </c>
      <c r="E26" s="21">
        <f t="shared" si="0"/>
        <v>-58.276406008558979</v>
      </c>
      <c r="F26" s="21">
        <f t="shared" si="1"/>
        <v>0.23637283691211258</v>
      </c>
      <c r="G26" s="21">
        <f>[9]resumen_pais_primarios!E29/1000000</f>
        <v>0.44292300000000001</v>
      </c>
      <c r="H26" s="24">
        <f>[9]resumen_pais_primarios!F29/1000000</f>
        <v>0.15215899999999999</v>
      </c>
      <c r="I26" s="21">
        <f t="shared" si="3"/>
        <v>-65.646624808375279</v>
      </c>
      <c r="J26" s="21">
        <f t="shared" si="5"/>
        <v>0.15756215696980638</v>
      </c>
      <c r="K26" s="16"/>
    </row>
    <row r="27" spans="1:11">
      <c r="A27" s="14" t="s">
        <v>40</v>
      </c>
      <c r="B27" s="9" t="str">
        <f>CONCATENATE(A27,[9]resumen_pais_primarios!B30)</f>
        <v xml:space="preserve">   Venezuela</v>
      </c>
      <c r="C27" s="21">
        <f>[9]resumen_pais_primarios!C30/1000000</f>
        <v>2.7999999999999998E-4</v>
      </c>
      <c r="D27" s="24">
        <f>[9]resumen_pais_primarios!D30/1000000</f>
        <v>0.34871000000000002</v>
      </c>
      <c r="E27" s="21">
        <f t="shared" ref="E27" si="7">IF(OR(OR(D27=0,C27=0),D27=""),"",(D27/C27-1)*100)</f>
        <v>124439.28571428574</v>
      </c>
      <c r="F27" s="21">
        <f t="shared" ref="F27" si="8">(D27/D$13)*100</f>
        <v>9.6388056687153834E-2</v>
      </c>
      <c r="G27" s="21">
        <f>[9]resumen_pais_primarios!E30/1000000</f>
        <v>2.7999999999999998E-4</v>
      </c>
      <c r="H27" s="24">
        <f>[9]resumen_pais_primarios!F30/1000000</f>
        <v>5.6670000000000002E-3</v>
      </c>
      <c r="I27" s="21">
        <f t="shared" ref="I27" si="9">IF(OR(OR(H27=0,G27=0),H27=""),"",(H27/G27-1)*100)</f>
        <v>1923.9285714285718</v>
      </c>
      <c r="J27" s="21">
        <f t="shared" ref="J27" si="10">(H27/H$13)*100</f>
        <v>5.8682348303280962E-3</v>
      </c>
      <c r="K27" s="16"/>
    </row>
    <row r="28" spans="1:11">
      <c r="A28" s="14" t="s">
        <v>40</v>
      </c>
      <c r="B28" s="9" t="str">
        <f>+[9]resumen_pais_primarios!B44</f>
        <v xml:space="preserve">Canadá </v>
      </c>
      <c r="C28" s="21">
        <f>+[9]resumen_pais_primarios!C44/1000000</f>
        <v>60.471145</v>
      </c>
      <c r="D28" s="24">
        <f>+[9]resumen_pais_primarios!D44/1000000</f>
        <v>28.356300999999998</v>
      </c>
      <c r="E28" s="21">
        <f t="shared" si="0"/>
        <v>-53.107716085084888</v>
      </c>
      <c r="F28" s="21">
        <f>(D28/D$13)*100</f>
        <v>7.8380566895873267</v>
      </c>
      <c r="G28" s="21">
        <f>+[9]resumen_pais_primarios!E44/1000000</f>
        <v>15.223069000000001</v>
      </c>
      <c r="H28" s="24">
        <f>+[9]resumen_pais_primarios!F44/1000000</f>
        <v>10.636725999999999</v>
      </c>
      <c r="I28" s="21">
        <f t="shared" si="3"/>
        <v>-30.127584654579188</v>
      </c>
      <c r="J28" s="21">
        <f t="shared" si="5"/>
        <v>11.014435502709802</v>
      </c>
      <c r="K28" s="16"/>
    </row>
    <row r="29" spans="1:11">
      <c r="A29" s="14" t="s">
        <v>40</v>
      </c>
      <c r="B29" s="9" t="str">
        <f>+[9]resumen_pais_primarios!B45</f>
        <v>Estados Unidos</v>
      </c>
      <c r="C29" s="21">
        <f>+[9]resumen_pais_primarios!C45/1000000</f>
        <v>29.180546</v>
      </c>
      <c r="D29" s="24">
        <f>+[9]resumen_pais_primarios!D45/1000000</f>
        <v>81.247951999999998</v>
      </c>
      <c r="E29" s="21">
        <f t="shared" ref="E29" si="11">IF(OR(OR(D29=0,C29=0),D29=""),"",(D29/C29-1)*100)</f>
        <v>178.43191145223943</v>
      </c>
      <c r="F29" s="21">
        <f>(D29/D$13)*100</f>
        <v>22.458008669356065</v>
      </c>
      <c r="G29" s="21">
        <f>+[9]resumen_pais_primarios!E45/1000000</f>
        <v>7.1986030000000003</v>
      </c>
      <c r="H29" s="24">
        <f>+[9]resumen_pais_primarios!F45/1000000</f>
        <v>16.252980000000001</v>
      </c>
      <c r="I29" s="21">
        <f t="shared" ref="I29" si="12">IF(OR(OR(H29=0,G29=0),H29=""),"",(H29/G29-1)*100)</f>
        <v>125.77964085531596</v>
      </c>
      <c r="J29" s="21">
        <f t="shared" ref="J29" si="13">(H29/H$13)*100</f>
        <v>16.830122345619543</v>
      </c>
      <c r="K29" s="16"/>
    </row>
    <row r="30" spans="1:11">
      <c r="A30" s="14"/>
      <c r="B30" s="10" t="s">
        <v>32</v>
      </c>
      <c r="C30" s="21">
        <f>SUM(C31:C41)</f>
        <v>14.637219000000002</v>
      </c>
      <c r="D30" s="24">
        <f>SUM(D31:D41)</f>
        <v>12.132989</v>
      </c>
      <c r="E30" s="21">
        <f t="shared" si="0"/>
        <v>-17.108646116451499</v>
      </c>
      <c r="F30" s="21">
        <f t="shared" si="1"/>
        <v>3.3537186530831176</v>
      </c>
      <c r="G30" s="21">
        <f>SUM(G31:G41)</f>
        <v>4.0228140000000003</v>
      </c>
      <c r="H30" s="24">
        <f>SUM(H31:H41)</f>
        <v>3.0406070000000005</v>
      </c>
      <c r="I30" s="21">
        <f t="shared" si="3"/>
        <v>-24.415918807083791</v>
      </c>
      <c r="J30" s="21">
        <f t="shared" si="5"/>
        <v>3.1485787723203504</v>
      </c>
      <c r="K30" s="16"/>
    </row>
    <row r="31" spans="1:11">
      <c r="A31" s="14" t="s">
        <v>40</v>
      </c>
      <c r="B31" s="9" t="str">
        <f>CONCATENATE(A31,[9]resumen_pais_primarios!B59)</f>
        <v xml:space="preserve">   Alemania </v>
      </c>
      <c r="C31" s="21">
        <f>[9]resumen_pais_primarios!C59/1000000</f>
        <v>1.6212850000000001</v>
      </c>
      <c r="D31" s="24">
        <f>[9]resumen_pais_primarios!D59/1000000</f>
        <v>1.1764619999999999</v>
      </c>
      <c r="E31" s="21">
        <f t="shared" si="0"/>
        <v>-27.436447015793043</v>
      </c>
      <c r="F31" s="21">
        <f t="shared" si="1"/>
        <v>0.32518965887494583</v>
      </c>
      <c r="G31" s="21">
        <f>[9]resumen_pais_primarios!E59/1000000</f>
        <v>0.33277699999999999</v>
      </c>
      <c r="H31" s="24">
        <f>[9]resumen_pais_primarios!F59/1000000</f>
        <v>0.33719300000000002</v>
      </c>
      <c r="I31" s="21">
        <f t="shared" si="3"/>
        <v>1.3270147876806471</v>
      </c>
      <c r="J31" s="21">
        <f t="shared" si="5"/>
        <v>0.34916670321913218</v>
      </c>
      <c r="K31" s="16"/>
    </row>
    <row r="32" spans="1:11">
      <c r="A32" s="14" t="s">
        <v>40</v>
      </c>
      <c r="B32" s="9" t="str">
        <f>CONCATENATE(A32,[9]resumen_pais_primarios!B60)</f>
        <v xml:space="preserve">   Bélgica </v>
      </c>
      <c r="C32" s="21">
        <f>[9]resumen_pais_primarios!C60/1000000</f>
        <v>0.72659700000000005</v>
      </c>
      <c r="D32" s="24">
        <f>[9]resumen_pais_primarios!D60/1000000</f>
        <v>1.1083940000000001</v>
      </c>
      <c r="E32" s="21">
        <f t="shared" si="0"/>
        <v>52.5459092179021</v>
      </c>
      <c r="F32" s="21">
        <f t="shared" si="1"/>
        <v>0.3063747632809532</v>
      </c>
      <c r="G32" s="21">
        <f>[9]resumen_pais_primarios!E60/1000000</f>
        <v>0.20494699999999999</v>
      </c>
      <c r="H32" s="24">
        <f>[9]resumen_pais_primarios!F60/1000000</f>
        <v>0.121764</v>
      </c>
      <c r="I32" s="21">
        <f t="shared" si="3"/>
        <v>-40.587566541593681</v>
      </c>
      <c r="J32" s="21">
        <f t="shared" si="5"/>
        <v>0.12608783234163937</v>
      </c>
      <c r="K32" s="16"/>
    </row>
    <row r="33" spans="1:11">
      <c r="A33" s="14" t="s">
        <v>40</v>
      </c>
      <c r="B33" s="9" t="str">
        <f>CONCATENATE(A33,[9]resumen_pais_primarios!B61)</f>
        <v xml:space="preserve">   Bulgaria </v>
      </c>
      <c r="C33" s="21">
        <f>[9]resumen_pais_primarios!C61/1000000</f>
        <v>6.8711999999999995E-2</v>
      </c>
      <c r="D33" s="24">
        <f>[9]resumen_pais_primarios!D61/1000000</f>
        <v>0.121265</v>
      </c>
      <c r="E33" s="21">
        <f t="shared" si="0"/>
        <v>76.483001513563863</v>
      </c>
      <c r="F33" s="21">
        <f t="shared" si="1"/>
        <v>3.351925007647532E-2</v>
      </c>
      <c r="G33" s="21">
        <f>[9]resumen_pais_primarios!E61/1000000</f>
        <v>4.2000000000000003E-2</v>
      </c>
      <c r="H33" s="24">
        <f>[9]resumen_pais_primarios!F61/1000000</f>
        <v>0.09</v>
      </c>
      <c r="I33" s="21">
        <f t="shared" si="3"/>
        <v>114.28571428571428</v>
      </c>
      <c r="J33" s="21">
        <f t="shared" si="5"/>
        <v>9.3195894605528254E-2</v>
      </c>
      <c r="K33" s="16"/>
    </row>
    <row r="34" spans="1:11">
      <c r="A34" s="14" t="s">
        <v>40</v>
      </c>
      <c r="B34" s="9" t="str">
        <f>CONCATENATE(A34,[9]resumen_pais_primarios!B62)</f>
        <v xml:space="preserve">   Dinamarca </v>
      </c>
      <c r="C34" s="21">
        <f>[9]resumen_pais_primarios!C62/1000000</f>
        <v>6.5079999999999999E-2</v>
      </c>
      <c r="D34" s="24">
        <f>[9]resumen_pais_primarios!D62/1000000</f>
        <v>0.31037199999999998</v>
      </c>
      <c r="E34" s="21">
        <f t="shared" si="0"/>
        <v>376.90842040565451</v>
      </c>
      <c r="F34" s="21">
        <f t="shared" si="1"/>
        <v>8.5790926357446895E-2</v>
      </c>
      <c r="G34" s="21">
        <f>[9]resumen_pais_primarios!E62/1000000</f>
        <v>6.4971000000000001E-2</v>
      </c>
      <c r="H34" s="24">
        <f>[9]resumen_pais_primarios!F62/1000000</f>
        <v>7.0643999999999998E-2</v>
      </c>
      <c r="I34" s="21">
        <f t="shared" si="3"/>
        <v>8.73158793923443</v>
      </c>
      <c r="J34" s="21">
        <f t="shared" si="5"/>
        <v>7.3152564205699322E-2</v>
      </c>
      <c r="K34" s="16"/>
    </row>
    <row r="35" spans="1:11">
      <c r="A35" s="14" t="s">
        <v>40</v>
      </c>
      <c r="B35" s="9" t="str">
        <f>CONCATENATE(A35,[9]resumen_pais_primarios!B63)</f>
        <v xml:space="preserve">   España </v>
      </c>
      <c r="C35" s="21">
        <f>[9]resumen_pais_primarios!C63/1000000</f>
        <v>2.737473</v>
      </c>
      <c r="D35" s="24">
        <f>[9]resumen_pais_primarios!D63/1000000</f>
        <v>2.249768</v>
      </c>
      <c r="E35" s="21">
        <f t="shared" si="0"/>
        <v>-17.815883480859906</v>
      </c>
      <c r="F35" s="21">
        <f t="shared" si="1"/>
        <v>0.62186563481673784</v>
      </c>
      <c r="G35" s="21">
        <f>[9]resumen_pais_primarios!E63/1000000</f>
        <v>0.83681300000000003</v>
      </c>
      <c r="H35" s="24">
        <f>[9]resumen_pais_primarios!F63/1000000</f>
        <v>0.43849100000000002</v>
      </c>
      <c r="I35" s="21">
        <f t="shared" si="3"/>
        <v>-47.599881933000567</v>
      </c>
      <c r="J35" s="21">
        <f t="shared" si="5"/>
        <v>0.45406178912747441</v>
      </c>
      <c r="K35" s="16"/>
    </row>
    <row r="36" spans="1:11">
      <c r="A36" s="14" t="s">
        <v>40</v>
      </c>
      <c r="B36" s="7" t="str">
        <f>CONCATENATE(A36,[9]resumen_pais_primarios!B64)</f>
        <v xml:space="preserve">   Francia </v>
      </c>
      <c r="C36" s="21">
        <f>[9]resumen_pais_primarios!C64/1000000</f>
        <v>1.4920169999999999</v>
      </c>
      <c r="D36" s="24">
        <f>[9]resumen_pais_primarios!D64/1000000</f>
        <v>1.542543</v>
      </c>
      <c r="E36" s="21">
        <f t="shared" si="0"/>
        <v>3.3864225407619353</v>
      </c>
      <c r="F36" s="21">
        <f t="shared" si="1"/>
        <v>0.42637928974326039</v>
      </c>
      <c r="G36" s="21">
        <f>[9]resumen_pais_primarios!E64/1000000</f>
        <v>0.45440399999999997</v>
      </c>
      <c r="H36" s="24">
        <f>[9]resumen_pais_primarios!F64/1000000</f>
        <v>0.33402799999999999</v>
      </c>
      <c r="I36" s="21">
        <f t="shared" si="3"/>
        <v>-26.490963987993066</v>
      </c>
      <c r="J36" s="21">
        <f t="shared" si="5"/>
        <v>0.34588931425883773</v>
      </c>
      <c r="K36" s="16"/>
    </row>
    <row r="37" spans="1:11">
      <c r="A37" s="14" t="s">
        <v>40</v>
      </c>
      <c r="B37" s="7" t="str">
        <f>CONCATENATE(A37,[9]resumen_pais_primarios!B65)</f>
        <v xml:space="preserve">   Italia </v>
      </c>
      <c r="C37" s="21">
        <f>[9]resumen_pais_primarios!C65/1000000</f>
        <v>0.68460600000000005</v>
      </c>
      <c r="D37" s="24">
        <f>[9]resumen_pais_primarios!D65/1000000</f>
        <v>0.89605599999999996</v>
      </c>
      <c r="E37" s="21">
        <f t="shared" si="0"/>
        <v>30.886378442491001</v>
      </c>
      <c r="F37" s="21">
        <f t="shared" si="1"/>
        <v>0.24768173130355972</v>
      </c>
      <c r="G37" s="21">
        <f>[9]resumen_pais_primarios!E65/1000000</f>
        <v>0.25338899999999998</v>
      </c>
      <c r="H37" s="24">
        <f>[9]resumen_pais_primarios!F65/1000000</f>
        <v>0.281005</v>
      </c>
      <c r="I37" s="21">
        <f t="shared" si="3"/>
        <v>10.898657794931911</v>
      </c>
      <c r="J37" s="21">
        <f t="shared" si="5"/>
        <v>0.29098347070696079</v>
      </c>
      <c r="K37" s="16"/>
    </row>
    <row r="38" spans="1:11">
      <c r="A38" s="14" t="s">
        <v>40</v>
      </c>
      <c r="B38" s="7" t="str">
        <f>CONCATENATE(A38,[9]resumen_pais_primarios!B66)</f>
        <v xml:space="preserve">   Países Bajos </v>
      </c>
      <c r="C38" s="21">
        <f>[9]resumen_pais_primarios!C66/1000000</f>
        <v>4.553083</v>
      </c>
      <c r="D38" s="24">
        <f>[9]resumen_pais_primarios!D66/1000000</f>
        <v>3.0121159999999998</v>
      </c>
      <c r="E38" s="21">
        <f t="shared" si="0"/>
        <v>-33.84447417277481</v>
      </c>
      <c r="F38" s="21">
        <f t="shared" si="1"/>
        <v>0.83258870624955705</v>
      </c>
      <c r="G38" s="21">
        <f>[9]resumen_pais_primarios!E66/1000000</f>
        <v>1.341971</v>
      </c>
      <c r="H38" s="24">
        <f>[9]resumen_pais_primarios!F66/1000000</f>
        <v>0.83592699999999998</v>
      </c>
      <c r="I38" s="21">
        <f t="shared" si="3"/>
        <v>-37.709011595630606</v>
      </c>
      <c r="J38" s="21">
        <f t="shared" si="5"/>
        <v>0.86561071766572684</v>
      </c>
      <c r="K38" s="16"/>
    </row>
    <row r="39" spans="1:11">
      <c r="A39" s="14" t="s">
        <v>40</v>
      </c>
      <c r="B39" s="9" t="str">
        <f>CONCATENATE(A39,[9]resumen_pais_primarios!B67)</f>
        <v xml:space="preserve">   Portugal </v>
      </c>
      <c r="C39" s="21">
        <f>[9]resumen_pais_primarios!C67/1000000</f>
        <v>0.14210999999999999</v>
      </c>
      <c r="D39" s="24">
        <f>[9]resumen_pais_primarios!D67/1000000</f>
        <v>0.12076099999999999</v>
      </c>
      <c r="E39" s="21">
        <f t="shared" si="0"/>
        <v>-15.022869608050094</v>
      </c>
      <c r="F39" s="21">
        <f t="shared" si="1"/>
        <v>3.337993780963374E-2</v>
      </c>
      <c r="G39" s="21">
        <f>[9]resumen_pais_primarios!E67/1000000</f>
        <v>8.9407E-2</v>
      </c>
      <c r="H39" s="24">
        <f>[9]resumen_pais_primarios!F67/1000000</f>
        <v>2.8496E-2</v>
      </c>
      <c r="I39" s="21">
        <f t="shared" si="3"/>
        <v>-68.127775230127398</v>
      </c>
      <c r="J39" s="21">
        <f t="shared" si="5"/>
        <v>2.9507891251990371E-2</v>
      </c>
      <c r="K39" s="16"/>
    </row>
    <row r="40" spans="1:11">
      <c r="A40" s="14" t="s">
        <v>40</v>
      </c>
      <c r="B40" s="9" t="str">
        <f>CONCATENATE(A40,[9]resumen_pais_primarios!B68)</f>
        <v xml:space="preserve">   Reino Unido </v>
      </c>
      <c r="C40" s="21">
        <f>[9]resumen_pais_primarios!C68/1000000</f>
        <v>1.8155870000000001</v>
      </c>
      <c r="D40" s="24">
        <f>[9]resumen_pais_primarios!D68/1000000</f>
        <v>1.2771030000000001</v>
      </c>
      <c r="E40" s="21">
        <f t="shared" si="0"/>
        <v>-29.65894776730611</v>
      </c>
      <c r="F40" s="21">
        <f t="shared" si="1"/>
        <v>0.35300816254003103</v>
      </c>
      <c r="G40" s="21">
        <f>[9]resumen_pais_primarios!E68/1000000</f>
        <v>0.32656000000000002</v>
      </c>
      <c r="H40" s="24">
        <f>[9]resumen_pais_primarios!F68/1000000</f>
        <v>0.40936499999999998</v>
      </c>
      <c r="I40" s="21">
        <f t="shared" si="3"/>
        <v>25.356749142577151</v>
      </c>
      <c r="J40" s="21">
        <f t="shared" si="5"/>
        <v>0.42390152661324526</v>
      </c>
      <c r="K40" s="16"/>
    </row>
    <row r="41" spans="1:11">
      <c r="A41" s="14" t="s">
        <v>40</v>
      </c>
      <c r="B41" s="9" t="str">
        <f>CONCATENATE(A41,[9]resumen_pais_primarios!B69)</f>
        <v xml:space="preserve">   Resto </v>
      </c>
      <c r="C41" s="21">
        <f>[9]resumen_pais_primarios!C69/1000000</f>
        <v>0.73066900000000001</v>
      </c>
      <c r="D41" s="24">
        <f>[9]resumen_pais_primarios!D69/1000000</f>
        <v>0.31814900000000002</v>
      </c>
      <c r="E41" s="21">
        <f t="shared" ref="E41" si="14">IF(OR(OR(D41=0,C41=0),D41=""),"",(D41/C41-1)*100)</f>
        <v>-56.457848902854778</v>
      </c>
      <c r="F41" s="21">
        <f t="shared" ref="F41" si="15">(D41/D$13)*100</f>
        <v>8.7940592030516199E-2</v>
      </c>
      <c r="G41" s="21">
        <f>[9]resumen_pais_primarios!E69/1000000</f>
        <v>7.5575000000000003E-2</v>
      </c>
      <c r="H41" s="24">
        <f>[9]resumen_pais_primarios!F69/1000000</f>
        <v>9.3694E-2</v>
      </c>
      <c r="I41" s="21">
        <f t="shared" ref="I41" si="16">IF(OR(OR(H41=0,G41=0),H41=""),"",(H41/G41-1)*100)</f>
        <v>23.974859411180937</v>
      </c>
      <c r="J41" s="21">
        <f t="shared" ref="J41" si="17">(H41/H$13)*100</f>
        <v>9.7021068324115167E-2</v>
      </c>
      <c r="K41" s="16"/>
    </row>
    <row r="42" spans="1:11">
      <c r="A42" s="14"/>
      <c r="B42" s="9" t="str">
        <f>+[9]resumen_pais_primarios!B83</f>
        <v>Corea del Sur</v>
      </c>
      <c r="C42" s="21">
        <f>+[9]resumen_pais_primarios!C83/1000000</f>
        <v>2.3678999999999999E-2</v>
      </c>
      <c r="D42" s="24">
        <f>+[9]resumen_pais_primarios!D83/1000000</f>
        <v>1.9667E-2</v>
      </c>
      <c r="E42" s="21">
        <f t="shared" ref="E42:E43" si="18">IF(OR(OR(D42=0,C42=0),D42=""),"",(D42/C42-1)*100)</f>
        <v>-16.943283077832671</v>
      </c>
      <c r="F42" s="21">
        <f t="shared" ref="F42:F43" si="19">(D42/D$13)*100</f>
        <v>5.4362189523278776E-3</v>
      </c>
      <c r="G42" s="21">
        <f>+[9]resumen_pais_primarios!E83/1000000</f>
        <v>0</v>
      </c>
      <c r="H42" s="24">
        <f>+[9]resumen_pais_primarios!F83/1000000</f>
        <v>1.0208E-2</v>
      </c>
      <c r="I42" s="21" t="str">
        <f t="shared" ref="I42:I43" si="20">IF(OR(OR(H42=0,G42=0),H42=""),"",(H42/G42-1)*100)</f>
        <v/>
      </c>
      <c r="J42" s="21">
        <f t="shared" ref="J42:J43" si="21">(H42/H$13)*100</f>
        <v>1.0570485468147027E-2</v>
      </c>
      <c r="K42" s="16"/>
    </row>
    <row r="43" spans="1:11">
      <c r="A43" s="14"/>
      <c r="B43" s="9" t="str">
        <f>+[9]resumen_pais_primarios!B84</f>
        <v xml:space="preserve">China </v>
      </c>
      <c r="C43" s="21">
        <f>+[9]resumen_pais_primarios!C84/1000000</f>
        <v>8.615456</v>
      </c>
      <c r="D43" s="24">
        <f>+[9]resumen_pais_primarios!D84/1000000</f>
        <v>6.7090670000000001</v>
      </c>
      <c r="E43" s="21">
        <f t="shared" si="18"/>
        <v>-22.127546121760698</v>
      </c>
      <c r="F43" s="21">
        <f t="shared" si="19"/>
        <v>1.8544748654008003</v>
      </c>
      <c r="G43" s="21">
        <f>+[9]resumen_pais_primarios!E84/1000000</f>
        <v>1.221581</v>
      </c>
      <c r="H43" s="24">
        <f>+[9]resumen_pais_primarios!F84/1000000</f>
        <v>1.440385</v>
      </c>
      <c r="I43" s="21">
        <f t="shared" si="20"/>
        <v>17.911542501070343</v>
      </c>
      <c r="J43" s="21">
        <f t="shared" si="21"/>
        <v>1.491532985015376</v>
      </c>
      <c r="K43" s="16"/>
    </row>
    <row r="44" spans="1:11">
      <c r="A44" s="14"/>
      <c r="B44" s="9" t="str">
        <f>+[9]resumen_pais_primarios!B85</f>
        <v xml:space="preserve">Japón </v>
      </c>
      <c r="C44" s="21">
        <f>+[9]resumen_pais_primarios!C85/1000000</f>
        <v>0.34881099999999998</v>
      </c>
      <c r="D44" s="24">
        <f>+[9]resumen_pais_primarios!D85/1000000</f>
        <v>0.147532</v>
      </c>
      <c r="E44" s="21">
        <f t="shared" ref="E44" si="22">IF(OR(OR(D44=0,C44=0),D44=""),"",(D44/C44-1)*100)</f>
        <v>-57.70431551757256</v>
      </c>
      <c r="F44" s="21">
        <f t="shared" ref="F44" si="23">(D44/D$13)*100</f>
        <v>4.0779796332680959E-2</v>
      </c>
      <c r="G44" s="21">
        <f>+[9]resumen_pais_primarios!E85/1000000</f>
        <v>6.8237000000000006E-2</v>
      </c>
      <c r="H44" s="24">
        <f>+[9]resumen_pais_primarios!F85/1000000</f>
        <v>1.7926999999999998E-2</v>
      </c>
      <c r="I44" s="21">
        <f t="shared" ref="I44" si="24">IF(OR(OR(H44=0,G44=0),H44=""),"",(H44/G44-1)*100)</f>
        <v>-73.728329205562972</v>
      </c>
      <c r="J44" s="21">
        <f t="shared" ref="J44" si="25">(H44/H$13)*100</f>
        <v>1.8563586695481166E-2</v>
      </c>
      <c r="K44" s="16"/>
    </row>
    <row r="45" spans="1:11">
      <c r="A45" s="14"/>
      <c r="B45" s="9" t="s">
        <v>2</v>
      </c>
      <c r="C45" s="21">
        <f>+C13-C14-C28-C29-C30-C42-C43-C44</f>
        <v>22.269880669999676</v>
      </c>
      <c r="D45" s="24">
        <f>+D13-D14-D28-D29-D30-D42-D43-D44</f>
        <v>22.28511490999869</v>
      </c>
      <c r="E45" s="21">
        <f t="shared" si="0"/>
        <v>6.8407371484191515E-2</v>
      </c>
      <c r="F45" s="21">
        <f t="shared" si="1"/>
        <v>6.1599005455097089</v>
      </c>
      <c r="G45" s="21">
        <f t="shared" ref="G45:H45" si="26">+G13-G14-G28-G29-G30-G42-G43-G44</f>
        <v>3.8452482200000291</v>
      </c>
      <c r="H45" s="24">
        <f t="shared" si="26"/>
        <v>5.0594084799999752</v>
      </c>
      <c r="I45" s="21">
        <f t="shared" si="3"/>
        <v>31.575601639572092</v>
      </c>
      <c r="J45" s="21">
        <f t="shared" si="5"/>
        <v>5.2390677718710403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totales'!C23</f>
        <v>8008.1064143500707</v>
      </c>
      <c r="D13" s="24">
        <f>+'Resumen importaciones totales'!D23</f>
        <v>9109.3393336200861</v>
      </c>
      <c r="E13" s="24">
        <f>IF(OR(OR(D13=0,C13=0),D13=""),"",(D13/C13-1)*100)</f>
        <v>13.751477094468534</v>
      </c>
      <c r="F13" s="22">
        <f>(D13/D$13)*100</f>
        <v>100</v>
      </c>
      <c r="G13" s="24">
        <f>+'Resumen importaciones totales'!G23</f>
        <v>1971.7857062099974</v>
      </c>
      <c r="H13" s="24">
        <f>+'Resumen importaciones totales'!H23</f>
        <v>2446.7643729199867</v>
      </c>
      <c r="I13" s="24">
        <f>IF(OR(OR(H13=0,G13=0),H13=""),"",(H13/G13-1)*100)</f>
        <v>24.088756968573112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1794.4145729999998</v>
      </c>
      <c r="D14" s="24">
        <f>+D15+D19</f>
        <v>1468.2201730000002</v>
      </c>
      <c r="E14" s="21">
        <f t="shared" ref="E14:E45" si="0">IF(OR(OR(D14=0,C14=0),D14=""),"",(D14/C14-1)*100)</f>
        <v>-18.178318706732867</v>
      </c>
      <c r="F14" s="21">
        <f t="shared" ref="F14:F45" si="1">(D14/D$13)*100</f>
        <v>16.11774596628759</v>
      </c>
      <c r="G14" s="21">
        <f>+G15+G19</f>
        <v>482.631418</v>
      </c>
      <c r="H14" s="24">
        <f t="shared" ref="H14" si="2">+H15+H19</f>
        <v>446.49434500000001</v>
      </c>
      <c r="I14" s="21">
        <f t="shared" ref="I14:I45" si="3">IF(OR(OR(H14=0,G14=0),H14=""),"",(H14/G14-1)*100)</f>
        <v>-7.4875094434900591</v>
      </c>
      <c r="J14" s="21">
        <f>(H14/H$13)*100</f>
        <v>18.248358932378533</v>
      </c>
      <c r="K14" s="16"/>
    </row>
    <row r="15" spans="1:14">
      <c r="A15" s="14"/>
      <c r="B15" s="10" t="s">
        <v>34</v>
      </c>
      <c r="C15" s="21">
        <f>+SUM(C16:C18)</f>
        <v>137.899125</v>
      </c>
      <c r="D15" s="24">
        <f>+SUM(D16:D18)</f>
        <v>101.921954</v>
      </c>
      <c r="E15" s="21">
        <f t="shared" si="0"/>
        <v>-26.089484614206214</v>
      </c>
      <c r="F15" s="21">
        <f>(D15/D$13)*100</f>
        <v>1.1188731725453882</v>
      </c>
      <c r="G15" s="21">
        <f>+SUM(G16:G18)</f>
        <v>33.379679000000003</v>
      </c>
      <c r="H15" s="24">
        <f>+SUM(H16:H18)</f>
        <v>29.445598</v>
      </c>
      <c r="I15" s="21">
        <f t="shared" si="3"/>
        <v>-11.785856298977592</v>
      </c>
      <c r="J15" s="21">
        <f t="shared" ref="J15:J45" si="4">(H15/H$13)*100</f>
        <v>1.2034504967415154</v>
      </c>
      <c r="K15" s="16"/>
    </row>
    <row r="16" spans="1:14">
      <c r="A16" s="14" t="s">
        <v>40</v>
      </c>
      <c r="B16" s="9" t="str">
        <f>CONCATENATE(A16,[10]resumen_pais_manufacturas!B7)</f>
        <v xml:space="preserve">   Bolivia</v>
      </c>
      <c r="C16" s="21">
        <f>[10]resumen_pais_manufacturas!C7/1000000</f>
        <v>8.8246260000000003</v>
      </c>
      <c r="D16" s="24">
        <f>[10]resumen_pais_manufacturas!D7/1000000</f>
        <v>9.8154179999999993</v>
      </c>
      <c r="E16" s="21">
        <f t="shared" si="0"/>
        <v>11.22758063627851</v>
      </c>
      <c r="F16" s="21">
        <f t="shared" si="1"/>
        <v>0.10775115121438028</v>
      </c>
      <c r="G16" s="21">
        <f>[10]resumen_pais_manufacturas!E7/1000000</f>
        <v>3.439616</v>
      </c>
      <c r="H16" s="24">
        <f>[10]resumen_pais_manufacturas!F7/1000000</f>
        <v>2.2778429999999998</v>
      </c>
      <c r="I16" s="21">
        <f t="shared" si="3"/>
        <v>-33.776241301354574</v>
      </c>
      <c r="J16" s="21">
        <f t="shared" si="4"/>
        <v>9.3096132394702366E-2</v>
      </c>
      <c r="K16" s="16"/>
    </row>
    <row r="17" spans="1:11">
      <c r="A17" s="14" t="s">
        <v>40</v>
      </c>
      <c r="B17" s="9" t="str">
        <f>CONCATENATE(A17,[10]resumen_pais_manufacturas!B8)</f>
        <v xml:space="preserve">   Ecuador</v>
      </c>
      <c r="C17" s="21">
        <f>[10]resumen_pais_manufacturas!C8/1000000</f>
        <v>87.591222999999999</v>
      </c>
      <c r="D17" s="24">
        <f>[10]resumen_pais_manufacturas!D8/1000000</f>
        <v>54.968338000000003</v>
      </c>
      <c r="E17" s="21">
        <f t="shared" si="0"/>
        <v>-37.244467975975169</v>
      </c>
      <c r="F17" s="21">
        <f t="shared" si="1"/>
        <v>0.60342837155189577</v>
      </c>
      <c r="G17" s="21">
        <f>[10]resumen_pais_manufacturas!E8/1000000</f>
        <v>21.515955000000002</v>
      </c>
      <c r="H17" s="24">
        <f>[10]resumen_pais_manufacturas!F8/1000000</f>
        <v>18.171322</v>
      </c>
      <c r="I17" s="21">
        <f t="shared" si="3"/>
        <v>-15.54489679867801</v>
      </c>
      <c r="J17" s="21">
        <f t="shared" si="4"/>
        <v>0.74266742646388173</v>
      </c>
      <c r="K17" s="16"/>
    </row>
    <row r="18" spans="1:11">
      <c r="A18" s="14" t="s">
        <v>40</v>
      </c>
      <c r="B18" s="9" t="str">
        <f>CONCATENATE(A18,[10]resumen_pais_manufacturas!B9)</f>
        <v xml:space="preserve">   Perú </v>
      </c>
      <c r="C18" s="21">
        <f>[10]resumen_pais_manufacturas!C9/1000000</f>
        <v>41.483275999999996</v>
      </c>
      <c r="D18" s="24">
        <f>[10]resumen_pais_manufacturas!D9/1000000</f>
        <v>37.138198000000003</v>
      </c>
      <c r="E18" s="21">
        <f t="shared" si="0"/>
        <v>-10.474288481941485</v>
      </c>
      <c r="F18" s="21">
        <f t="shared" si="1"/>
        <v>0.40769364977911238</v>
      </c>
      <c r="G18" s="21">
        <f>[10]resumen_pais_manufacturas!E9/1000000</f>
        <v>8.4241080000000004</v>
      </c>
      <c r="H18" s="24">
        <f>[10]resumen_pais_manufacturas!F9/1000000</f>
        <v>8.9964329999999997</v>
      </c>
      <c r="I18" s="21">
        <f t="shared" si="3"/>
        <v>6.7938943802714702</v>
      </c>
      <c r="J18" s="21">
        <f t="shared" si="4"/>
        <v>0.36768693788293111</v>
      </c>
      <c r="K18" s="16"/>
    </row>
    <row r="19" spans="1:11">
      <c r="A19" s="14"/>
      <c r="B19" s="10" t="s">
        <v>35</v>
      </c>
      <c r="C19" s="21">
        <f>SUM(C20:C27)</f>
        <v>1656.5154479999999</v>
      </c>
      <c r="D19" s="24">
        <f>SUM(D20:D27)</f>
        <v>1366.2982190000002</v>
      </c>
      <c r="E19" s="21">
        <f t="shared" si="0"/>
        <v>-17.51974177786235</v>
      </c>
      <c r="F19" s="21">
        <f t="shared" si="1"/>
        <v>14.998872793742201</v>
      </c>
      <c r="G19" s="21">
        <f>SUM(G20:G27)</f>
        <v>449.25173899999999</v>
      </c>
      <c r="H19" s="24">
        <f>SUM(H20:H27)</f>
        <v>417.04874699999999</v>
      </c>
      <c r="I19" s="21">
        <f t="shared" si="3"/>
        <v>-7.1681396429719708</v>
      </c>
      <c r="J19" s="21">
        <f t="shared" si="4"/>
        <v>17.044908435637019</v>
      </c>
      <c r="K19" s="16"/>
    </row>
    <row r="20" spans="1:11">
      <c r="A20" s="14" t="s">
        <v>40</v>
      </c>
      <c r="B20" s="9" t="str">
        <f>CONCATENATE(A20,[10]resumen_pais_manufacturas!B23)</f>
        <v xml:space="preserve">   Argentina</v>
      </c>
      <c r="C20" s="21">
        <f>[10]resumen_pais_manufacturas!C23/1000000</f>
        <v>93.092584000000002</v>
      </c>
      <c r="D20" s="24">
        <f>[10]resumen_pais_manufacturas!D23/1000000</f>
        <v>75.287389000000005</v>
      </c>
      <c r="E20" s="21">
        <f t="shared" si="0"/>
        <v>-19.126330191887252</v>
      </c>
      <c r="F20" s="21">
        <f t="shared" si="1"/>
        <v>0.82648572242923035</v>
      </c>
      <c r="G20" s="21">
        <f>[10]resumen_pais_manufacturas!E23/1000000</f>
        <v>26.892275999999999</v>
      </c>
      <c r="H20" s="24">
        <f>[10]resumen_pais_manufacturas!F23/1000000</f>
        <v>21.51981</v>
      </c>
      <c r="I20" s="21">
        <f t="shared" si="3"/>
        <v>-19.977728921122186</v>
      </c>
      <c r="J20" s="21">
        <f t="shared" si="4"/>
        <v>0.87952114384917657</v>
      </c>
      <c r="K20" s="16"/>
    </row>
    <row r="21" spans="1:11">
      <c r="A21" s="14" t="s">
        <v>40</v>
      </c>
      <c r="B21" s="9" t="str">
        <f>CONCATENATE(A21,[10]resumen_pais_manufacturas!B24)</f>
        <v xml:space="preserve">   Brasil </v>
      </c>
      <c r="C21" s="21">
        <f>[10]resumen_pais_manufacturas!C24/1000000</f>
        <v>337.03397100000001</v>
      </c>
      <c r="D21" s="24">
        <f>[10]resumen_pais_manufacturas!D24/1000000</f>
        <v>344.63896299999999</v>
      </c>
      <c r="E21" s="21">
        <f t="shared" si="0"/>
        <v>2.2564467247724318</v>
      </c>
      <c r="F21" s="21">
        <f t="shared" si="1"/>
        <v>3.7833584893256922</v>
      </c>
      <c r="G21" s="21">
        <f>[10]resumen_pais_manufacturas!E24/1000000</f>
        <v>76.712517000000005</v>
      </c>
      <c r="H21" s="24">
        <f>[10]resumen_pais_manufacturas!F24/1000000</f>
        <v>107.813844</v>
      </c>
      <c r="I21" s="21">
        <f t="shared" si="3"/>
        <v>40.542701786202628</v>
      </c>
      <c r="J21" s="21">
        <f t="shared" si="4"/>
        <v>4.4063844149951459</v>
      </c>
      <c r="K21" s="16"/>
    </row>
    <row r="22" spans="1:11">
      <c r="A22" s="14" t="s">
        <v>40</v>
      </c>
      <c r="B22" s="9" t="str">
        <f>CONCATENATE(A22,[10]resumen_pais_manufacturas!B25)</f>
        <v xml:space="preserve">   Cuba </v>
      </c>
      <c r="C22" s="21">
        <f>[10]resumen_pais_manufacturas!C25/1000000</f>
        <v>0.56799900000000003</v>
      </c>
      <c r="D22" s="24">
        <f>[10]resumen_pais_manufacturas!D25/1000000</f>
        <v>1.362411</v>
      </c>
      <c r="E22" s="21">
        <f t="shared" si="0"/>
        <v>139.86151384069339</v>
      </c>
      <c r="F22" s="21">
        <f t="shared" si="1"/>
        <v>1.4956199896645771E-2</v>
      </c>
      <c r="G22" s="21">
        <f>[10]resumen_pais_manufacturas!E25/1000000</f>
        <v>8.6040000000000005E-2</v>
      </c>
      <c r="H22" s="24">
        <f>[10]resumen_pais_manufacturas!F25/1000000</f>
        <v>1.2124159999999999</v>
      </c>
      <c r="I22" s="21">
        <f t="shared" si="3"/>
        <v>1309.1306369130634</v>
      </c>
      <c r="J22" s="21">
        <f t="shared" si="4"/>
        <v>4.955180864241103E-2</v>
      </c>
      <c r="K22" s="16"/>
    </row>
    <row r="23" spans="1:11">
      <c r="A23" s="14" t="s">
        <v>40</v>
      </c>
      <c r="B23" s="9" t="str">
        <f>CONCATENATE(A23,[10]resumen_pais_manufacturas!B26)</f>
        <v xml:space="preserve">   Chile </v>
      </c>
      <c r="C23" s="21">
        <f>[10]resumen_pais_manufacturas!C26/1000000</f>
        <v>70.389506999999995</v>
      </c>
      <c r="D23" s="24">
        <f>[10]resumen_pais_manufacturas!D26/1000000</f>
        <v>52.213296</v>
      </c>
      <c r="E23" s="21">
        <f t="shared" si="0"/>
        <v>-25.822330308408038</v>
      </c>
      <c r="F23" s="21">
        <f t="shared" si="1"/>
        <v>0.57318422431904548</v>
      </c>
      <c r="G23" s="21">
        <f>[10]resumen_pais_manufacturas!E26/1000000</f>
        <v>17.707428</v>
      </c>
      <c r="H23" s="24">
        <f>[10]resumen_pais_manufacturas!F26/1000000</f>
        <v>11.721081</v>
      </c>
      <c r="I23" s="21">
        <f t="shared" si="3"/>
        <v>-33.80698201907132</v>
      </c>
      <c r="J23" s="21">
        <f t="shared" si="4"/>
        <v>0.4790441257738266</v>
      </c>
      <c r="K23" s="16"/>
    </row>
    <row r="24" spans="1:11">
      <c r="A24" s="14" t="s">
        <v>40</v>
      </c>
      <c r="B24" s="9" t="str">
        <f>CONCATENATE(A24,[10]resumen_pais_manufacturas!B27)</f>
        <v xml:space="preserve">   México </v>
      </c>
      <c r="C24" s="21">
        <f>[10]resumen_pais_manufacturas!C27/1000000</f>
        <v>1080.9793549999999</v>
      </c>
      <c r="D24" s="24">
        <f>[10]resumen_pais_manufacturas!D27/1000000</f>
        <v>855.13363900000002</v>
      </c>
      <c r="E24" s="21">
        <f t="shared" si="0"/>
        <v>-20.892694662054843</v>
      </c>
      <c r="F24" s="21">
        <f t="shared" si="1"/>
        <v>9.3874386240496612</v>
      </c>
      <c r="G24" s="21">
        <f>[10]resumen_pais_manufacturas!E27/1000000</f>
        <v>312.00119899999999</v>
      </c>
      <c r="H24" s="24">
        <f>[10]resumen_pais_manufacturas!F27/1000000</f>
        <v>259.41556000000003</v>
      </c>
      <c r="I24" s="21">
        <f t="shared" si="3"/>
        <v>-16.854306704122624</v>
      </c>
      <c r="J24" s="21">
        <f t="shared" si="4"/>
        <v>10.602392403254244</v>
      </c>
      <c r="K24" s="16"/>
    </row>
    <row r="25" spans="1:11">
      <c r="A25" s="14" t="s">
        <v>40</v>
      </c>
      <c r="B25" s="9" t="str">
        <f>CONCATENATE(A25,[10]resumen_pais_manufacturas!B28)</f>
        <v xml:space="preserve">   Paraguay </v>
      </c>
      <c r="C25" s="21">
        <f>[10]resumen_pais_manufacturas!C28/1000000</f>
        <v>1.4801629999999999</v>
      </c>
      <c r="D25" s="24">
        <f>[10]resumen_pais_manufacturas!D28/1000000</f>
        <v>1.7823530000000001</v>
      </c>
      <c r="E25" s="21">
        <f t="shared" si="0"/>
        <v>20.415994724905318</v>
      </c>
      <c r="F25" s="21">
        <f t="shared" si="1"/>
        <v>1.956621588814703E-2</v>
      </c>
      <c r="G25" s="21">
        <f>[10]resumen_pais_manufacturas!E28/1000000</f>
        <v>0.30493999999999999</v>
      </c>
      <c r="H25" s="24">
        <f>[10]resumen_pais_manufacturas!F28/1000000</f>
        <v>0.573017</v>
      </c>
      <c r="I25" s="21">
        <f t="shared" si="3"/>
        <v>87.911392405063296</v>
      </c>
      <c r="J25" s="21">
        <f t="shared" si="4"/>
        <v>2.3419378111843164E-2</v>
      </c>
      <c r="K25" s="16"/>
    </row>
    <row r="26" spans="1:11">
      <c r="A26" s="14" t="s">
        <v>40</v>
      </c>
      <c r="B26" s="9" t="str">
        <f>CONCATENATE(A26,[10]resumen_pais_manufacturas!B29)</f>
        <v xml:space="preserve">   Uruguay </v>
      </c>
      <c r="C26" s="21">
        <f>[10]resumen_pais_manufacturas!C29/1000000</f>
        <v>11.467955999999999</v>
      </c>
      <c r="D26" s="24">
        <f>[10]resumen_pais_manufacturas!D29/1000000</f>
        <v>11.550549</v>
      </c>
      <c r="E26" s="21">
        <f t="shared" si="0"/>
        <v>0.72020680930413583</v>
      </c>
      <c r="F26" s="21">
        <f t="shared" si="1"/>
        <v>0.1267989760505471</v>
      </c>
      <c r="G26" s="21">
        <f>[10]resumen_pais_manufacturas!E29/1000000</f>
        <v>4.0773710000000003</v>
      </c>
      <c r="H26" s="24">
        <f>[10]resumen_pais_manufacturas!F29/1000000</f>
        <v>4.3567929999999997</v>
      </c>
      <c r="I26" s="21">
        <f t="shared" si="3"/>
        <v>6.8529942455567427</v>
      </c>
      <c r="J26" s="21">
        <f t="shared" si="4"/>
        <v>0.17806344771975613</v>
      </c>
      <c r="K26" s="16"/>
    </row>
    <row r="27" spans="1:11">
      <c r="A27" s="14" t="s">
        <v>40</v>
      </c>
      <c r="B27" s="9" t="str">
        <f>CONCATENATE(A27,[10]resumen_pais_manufacturas!B30)</f>
        <v xml:space="preserve">   Venezuela</v>
      </c>
      <c r="C27" s="21">
        <f>[10]resumen_pais_manufacturas!C30/1000000</f>
        <v>61.503912999999997</v>
      </c>
      <c r="D27" s="24">
        <f>[10]resumen_pais_manufacturas!D30/1000000</f>
        <v>24.329619000000001</v>
      </c>
      <c r="E27" s="21">
        <f t="shared" ref="E27" si="5">IF(OR(OR(D27=0,C27=0),D27=""),"",(D27/C27-1)*100)</f>
        <v>-60.442160810158526</v>
      </c>
      <c r="F27" s="21">
        <f t="shared" ref="F27" si="6">(D27/D$13)*100</f>
        <v>0.26708434178322915</v>
      </c>
      <c r="G27" s="21">
        <f>[10]resumen_pais_manufacturas!E30/1000000</f>
        <v>11.469968</v>
      </c>
      <c r="H27" s="24">
        <f>[10]resumen_pais_manufacturas!F30/1000000</f>
        <v>10.436226</v>
      </c>
      <c r="I27" s="21">
        <f t="shared" ref="I27" si="7">IF(OR(OR(H27=0,G27=0),H27=""),"",(H27/G27-1)*100)</f>
        <v>-9.0125970708898269</v>
      </c>
      <c r="J27" s="21">
        <f t="shared" ref="J27" si="8">(H27/H$13)*100</f>
        <v>0.42653171329061534</v>
      </c>
      <c r="K27" s="16"/>
    </row>
    <row r="28" spans="1:11">
      <c r="A28" s="14" t="s">
        <v>40</v>
      </c>
      <c r="B28" s="9" t="str">
        <f>+[10]resumen_pais_manufacturas!B44</f>
        <v xml:space="preserve">Canadá </v>
      </c>
      <c r="C28" s="21">
        <f>+[10]resumen_pais_manufacturas!C44/1000000</f>
        <v>106.58827700000001</v>
      </c>
      <c r="D28" s="24">
        <f>+[10]resumen_pais_manufacturas!D44/1000000</f>
        <v>95.762739999999994</v>
      </c>
      <c r="E28" s="21">
        <f t="shared" si="0"/>
        <v>-10.156404911208018</v>
      </c>
      <c r="F28" s="21">
        <f t="shared" si="1"/>
        <v>1.0512588947758905</v>
      </c>
      <c r="G28" s="21">
        <f>+[10]resumen_pais_manufacturas!E44/1000000</f>
        <v>29.014171999999999</v>
      </c>
      <c r="H28" s="24">
        <f>+[10]resumen_pais_manufacturas!F44/1000000</f>
        <v>34.492640000000002</v>
      </c>
      <c r="I28" s="21">
        <f t="shared" si="3"/>
        <v>18.882041507164171</v>
      </c>
      <c r="J28" s="21">
        <f t="shared" si="4"/>
        <v>1.4097246298725623</v>
      </c>
      <c r="K28" s="16"/>
    </row>
    <row r="29" spans="1:11">
      <c r="A29" s="14" t="s">
        <v>40</v>
      </c>
      <c r="B29" s="9" t="str">
        <f>+[10]resumen_pais_manufacturas!B45</f>
        <v>Estados Unidos</v>
      </c>
      <c r="C29" s="21">
        <f>+[10]resumen_pais_manufacturas!C45/1000000</f>
        <v>1817.0509870000001</v>
      </c>
      <c r="D29" s="24">
        <f>+[10]resumen_pais_manufacturas!D45/1000000</f>
        <v>2911.6555539999999</v>
      </c>
      <c r="E29" s="21">
        <f t="shared" si="0"/>
        <v>60.240718330486764</v>
      </c>
      <c r="F29" s="21">
        <f t="shared" si="1"/>
        <v>31.963410817883069</v>
      </c>
      <c r="G29" s="21">
        <f>+[10]resumen_pais_manufacturas!E45/1000000</f>
        <v>397.89353799999998</v>
      </c>
      <c r="H29" s="24">
        <f>+[10]resumen_pais_manufacturas!F45/1000000</f>
        <v>651.17306199999996</v>
      </c>
      <c r="I29" s="21">
        <f t="shared" si="3"/>
        <v>63.655098615851344</v>
      </c>
      <c r="J29" s="21">
        <f t="shared" si="4"/>
        <v>26.613640005836981</v>
      </c>
      <c r="K29" s="16"/>
    </row>
    <row r="30" spans="1:11">
      <c r="A30" s="14"/>
      <c r="B30" s="10" t="s">
        <v>32</v>
      </c>
      <c r="C30" s="21">
        <f>SUM(C31:C40)</f>
        <v>1136.2195300000001</v>
      </c>
      <c r="D30" s="24">
        <f>SUM(D31:D40)</f>
        <v>1338.2167169999998</v>
      </c>
      <c r="E30" s="21">
        <f t="shared" si="0"/>
        <v>17.778006949062018</v>
      </c>
      <c r="F30" s="21">
        <f t="shared" si="1"/>
        <v>14.690601238895635</v>
      </c>
      <c r="G30" s="21">
        <f>SUM(G31:G40)</f>
        <v>293.48301600000002</v>
      </c>
      <c r="H30" s="24">
        <f>SUM(H31:H40)</f>
        <v>354.09990199999999</v>
      </c>
      <c r="I30" s="21">
        <f t="shared" si="3"/>
        <v>20.654307982169563</v>
      </c>
      <c r="J30" s="21">
        <f t="shared" si="4"/>
        <v>14.472170100197044</v>
      </c>
      <c r="K30" s="16"/>
    </row>
    <row r="31" spans="1:11">
      <c r="A31" s="14" t="s">
        <v>40</v>
      </c>
      <c r="B31" s="9" t="str">
        <f>CONCATENATE(A31,[10]resumen_pais_manufacturas!B59)</f>
        <v xml:space="preserve">   Alemania </v>
      </c>
      <c r="C31" s="21">
        <f>[10]resumen_pais_manufacturas!C59/1000000</f>
        <v>352.95688999999999</v>
      </c>
      <c r="D31" s="24">
        <f>[10]resumen_pais_manufacturas!D59/1000000</f>
        <v>430.29804799999999</v>
      </c>
      <c r="E31" s="21">
        <f t="shared" si="0"/>
        <v>21.912352525544975</v>
      </c>
      <c r="F31" s="21">
        <f t="shared" si="1"/>
        <v>4.7237020407384245</v>
      </c>
      <c r="G31" s="21">
        <f>[10]resumen_pais_manufacturas!E59/1000000</f>
        <v>90.499288000000007</v>
      </c>
      <c r="H31" s="24">
        <f>[10]resumen_pais_manufacturas!F59/1000000</f>
        <v>120.21019800000001</v>
      </c>
      <c r="I31" s="21">
        <f t="shared" si="3"/>
        <v>32.82999309342631</v>
      </c>
      <c r="J31" s="21">
        <f t="shared" si="4"/>
        <v>4.9130271525304359</v>
      </c>
      <c r="K31" s="16"/>
    </row>
    <row r="32" spans="1:11">
      <c r="A32" s="14" t="s">
        <v>40</v>
      </c>
      <c r="B32" s="9" t="str">
        <f>CONCATENATE(A32,[10]resumen_pais_manufacturas!B60)</f>
        <v xml:space="preserve">   Bélgica </v>
      </c>
      <c r="C32" s="21">
        <f>[10]resumen_pais_manufacturas!C60/1000000</f>
        <v>52.191732999999999</v>
      </c>
      <c r="D32" s="24">
        <f>[10]resumen_pais_manufacturas!D60/1000000</f>
        <v>55.082977</v>
      </c>
      <c r="E32" s="21">
        <f t="shared" si="0"/>
        <v>5.5396589341074387</v>
      </c>
      <c r="F32" s="21">
        <f t="shared" si="1"/>
        <v>0.60468684920654736</v>
      </c>
      <c r="G32" s="21">
        <f>[10]resumen_pais_manufacturas!E60/1000000</f>
        <v>9.3174890000000001</v>
      </c>
      <c r="H32" s="24">
        <f>[10]resumen_pais_manufacturas!F60/1000000</f>
        <v>21.070444999999999</v>
      </c>
      <c r="I32" s="21">
        <f t="shared" si="3"/>
        <v>126.138662465821</v>
      </c>
      <c r="J32" s="21">
        <f t="shared" si="4"/>
        <v>0.86115546037865398</v>
      </c>
      <c r="K32" s="16"/>
    </row>
    <row r="33" spans="1:11">
      <c r="A33" s="14" t="s">
        <v>40</v>
      </c>
      <c r="B33" s="9" t="str">
        <f>CONCATENATE(A33,[10]resumen_pais_manufacturas!B61)</f>
        <v xml:space="preserve">   España </v>
      </c>
      <c r="C33" s="21">
        <f>[10]resumen_pais_manufacturas!C61/1000000</f>
        <v>95.893804000000003</v>
      </c>
      <c r="D33" s="24">
        <f>[10]resumen_pais_manufacturas!D61/1000000</f>
        <v>163.97385800000001</v>
      </c>
      <c r="E33" s="21">
        <f t="shared" si="0"/>
        <v>70.995258463205829</v>
      </c>
      <c r="F33" s="21">
        <f t="shared" si="1"/>
        <v>1.800063121974359</v>
      </c>
      <c r="G33" s="21">
        <f>[10]resumen_pais_manufacturas!E61/1000000</f>
        <v>23.714074</v>
      </c>
      <c r="H33" s="24">
        <f>[10]resumen_pais_manufacturas!F61/1000000</f>
        <v>28.189995</v>
      </c>
      <c r="I33" s="21">
        <f t="shared" si="3"/>
        <v>18.874534169033975</v>
      </c>
      <c r="J33" s="21">
        <f t="shared" si="4"/>
        <v>1.1521336223462275</v>
      </c>
      <c r="K33" s="16"/>
    </row>
    <row r="34" spans="1:11">
      <c r="A34" s="14" t="s">
        <v>40</v>
      </c>
      <c r="B34" s="9" t="str">
        <f>CONCATENATE(A34,[10]resumen_pais_manufacturas!B62)</f>
        <v xml:space="preserve">   Finlandia </v>
      </c>
      <c r="C34" s="21">
        <f>[10]resumen_pais_manufacturas!C62/1000000</f>
        <v>22.550934999999999</v>
      </c>
      <c r="D34" s="24">
        <f>[10]resumen_pais_manufacturas!D62/1000000</f>
        <v>69.859211000000002</v>
      </c>
      <c r="E34" s="21">
        <f t="shared" si="0"/>
        <v>209.78409986104788</v>
      </c>
      <c r="F34" s="21">
        <f t="shared" si="1"/>
        <v>0.76689657110663023</v>
      </c>
      <c r="G34" s="21">
        <f>[10]resumen_pais_manufacturas!E62/1000000</f>
        <v>4.6084949999999996</v>
      </c>
      <c r="H34" s="24">
        <f>[10]resumen_pais_manufacturas!F62/1000000</f>
        <v>9.3229209999999991</v>
      </c>
      <c r="I34" s="21">
        <f t="shared" si="3"/>
        <v>102.29860290615483</v>
      </c>
      <c r="J34" s="21">
        <f t="shared" si="4"/>
        <v>0.38103060119654908</v>
      </c>
      <c r="K34" s="16"/>
    </row>
    <row r="35" spans="1:11">
      <c r="A35" s="14" t="s">
        <v>40</v>
      </c>
      <c r="B35" s="9" t="str">
        <f>CONCATENATE(A35,[10]resumen_pais_manufacturas!B63)</f>
        <v xml:space="preserve">   Francia </v>
      </c>
      <c r="C35" s="21">
        <f>[10]resumen_pais_manufacturas!C63/1000000</f>
        <v>249.674385</v>
      </c>
      <c r="D35" s="24">
        <f>[10]resumen_pais_manufacturas!D63/1000000</f>
        <v>231.35239000000001</v>
      </c>
      <c r="E35" s="21">
        <f t="shared" si="0"/>
        <v>-7.3383559150451028</v>
      </c>
      <c r="F35" s="21">
        <f t="shared" si="1"/>
        <v>2.5397274327693715</v>
      </c>
      <c r="G35" s="21">
        <f>[10]resumen_pais_manufacturas!E63/1000000</f>
        <v>74.692170000000004</v>
      </c>
      <c r="H35" s="24">
        <f>[10]resumen_pais_manufacturas!F63/1000000</f>
        <v>52.314075000000003</v>
      </c>
      <c r="I35" s="21">
        <f t="shared" si="3"/>
        <v>-29.960429587197691</v>
      </c>
      <c r="J35" s="21">
        <f t="shared" si="4"/>
        <v>2.1380920688152738</v>
      </c>
      <c r="K35" s="16"/>
    </row>
    <row r="36" spans="1:11">
      <c r="A36" s="14" t="s">
        <v>40</v>
      </c>
      <c r="B36" s="7" t="str">
        <f>CONCATENATE(A36,[10]resumen_pais_manufacturas!B64)</f>
        <v xml:space="preserve">   Irlanda </v>
      </c>
      <c r="C36" s="21">
        <f>[10]resumen_pais_manufacturas!C64/1000000</f>
        <v>38.752077999999997</v>
      </c>
      <c r="D36" s="24">
        <f>[10]resumen_pais_manufacturas!D64/1000000</f>
        <v>49.386046999999998</v>
      </c>
      <c r="E36" s="21">
        <f t="shared" si="0"/>
        <v>27.441029097846069</v>
      </c>
      <c r="F36" s="21">
        <f t="shared" si="1"/>
        <v>0.54214740708724696</v>
      </c>
      <c r="G36" s="21">
        <f>[10]resumen_pais_manufacturas!E64/1000000</f>
        <v>9.0350940000000008</v>
      </c>
      <c r="H36" s="24">
        <f>[10]resumen_pais_manufacturas!F64/1000000</f>
        <v>17.594944999999999</v>
      </c>
      <c r="I36" s="21">
        <f t="shared" si="3"/>
        <v>94.74003258848218</v>
      </c>
      <c r="J36" s="21">
        <f t="shared" si="4"/>
        <v>0.71911072413573118</v>
      </c>
      <c r="K36" s="16"/>
    </row>
    <row r="37" spans="1:11">
      <c r="A37" s="14" t="s">
        <v>40</v>
      </c>
      <c r="B37" s="7" t="str">
        <f>CONCATENATE(A37,[10]resumen_pais_manufacturas!B65)</f>
        <v xml:space="preserve">   Italia </v>
      </c>
      <c r="C37" s="21">
        <f>[10]resumen_pais_manufacturas!C65/1000000</f>
        <v>139.519825</v>
      </c>
      <c r="D37" s="24">
        <f>[10]resumen_pais_manufacturas!D65/1000000</f>
        <v>180.01653200000001</v>
      </c>
      <c r="E37" s="21">
        <f t="shared" si="0"/>
        <v>29.025772502223269</v>
      </c>
      <c r="F37" s="21">
        <f t="shared" si="1"/>
        <v>1.9761754986512372</v>
      </c>
      <c r="G37" s="21">
        <f>[10]resumen_pais_manufacturas!E65/1000000</f>
        <v>35.467035000000003</v>
      </c>
      <c r="H37" s="24">
        <f>[10]resumen_pais_manufacturas!F65/1000000</f>
        <v>57.177441999999999</v>
      </c>
      <c r="I37" s="21">
        <f t="shared" si="3"/>
        <v>61.212917854565504</v>
      </c>
      <c r="J37" s="21">
        <f t="shared" si="4"/>
        <v>2.3368593491396976</v>
      </c>
      <c r="K37" s="16"/>
    </row>
    <row r="38" spans="1:11">
      <c r="A38" s="14" t="s">
        <v>40</v>
      </c>
      <c r="B38" s="7" t="str">
        <f>CONCATENATE(A38,[10]resumen_pais_manufacturas!B66)</f>
        <v xml:space="preserve">   Países Bajos </v>
      </c>
      <c r="C38" s="21">
        <f>[10]resumen_pais_manufacturas!C66/1000000</f>
        <v>42.458562999999998</v>
      </c>
      <c r="D38" s="24">
        <f>[10]resumen_pais_manufacturas!D66/1000000</f>
        <v>33.777859999999997</v>
      </c>
      <c r="E38" s="21">
        <f t="shared" si="0"/>
        <v>-20.445117278227254</v>
      </c>
      <c r="F38" s="21">
        <f t="shared" si="1"/>
        <v>0.37080471769599282</v>
      </c>
      <c r="G38" s="21">
        <f>[10]resumen_pais_manufacturas!E66/1000000</f>
        <v>6.6439339999999998</v>
      </c>
      <c r="H38" s="24">
        <f>[10]resumen_pais_manufacturas!F66/1000000</f>
        <v>11.351058</v>
      </c>
      <c r="I38" s="21">
        <f t="shared" si="3"/>
        <v>70.848446116412362</v>
      </c>
      <c r="J38" s="21">
        <f t="shared" si="4"/>
        <v>0.46392117384207143</v>
      </c>
      <c r="K38" s="16"/>
    </row>
    <row r="39" spans="1:11">
      <c r="A39" s="14" t="s">
        <v>40</v>
      </c>
      <c r="B39" s="9" t="str">
        <f>CONCATENATE(A39,[10]resumen_pais_manufacturas!B67)</f>
        <v xml:space="preserve">   Reino Unido </v>
      </c>
      <c r="C39" s="21">
        <f>[10]resumen_pais_manufacturas!C67/1000000</f>
        <v>97.746073999999993</v>
      </c>
      <c r="D39" s="24">
        <f>[10]resumen_pais_manufacturas!D67/1000000</f>
        <v>95.887551999999999</v>
      </c>
      <c r="E39" s="21">
        <f t="shared" si="0"/>
        <v>-1.90137764510111</v>
      </c>
      <c r="F39" s="21">
        <f t="shared" si="1"/>
        <v>1.0526290490255996</v>
      </c>
      <c r="G39" s="21">
        <f>[10]resumen_pais_manufacturas!E67/1000000</f>
        <v>28.499613</v>
      </c>
      <c r="H39" s="24">
        <f>[10]resumen_pais_manufacturas!F67/1000000</f>
        <v>29.967745000000001</v>
      </c>
      <c r="I39" s="21">
        <f t="shared" si="3"/>
        <v>5.1514103016065516</v>
      </c>
      <c r="J39" s="21">
        <f t="shared" si="4"/>
        <v>1.2247908025665861</v>
      </c>
      <c r="K39" s="16"/>
    </row>
    <row r="40" spans="1:11">
      <c r="A40" s="14" t="s">
        <v>40</v>
      </c>
      <c r="B40" s="9" t="str">
        <f>CONCATENATE(A40,[10]resumen_pais_manufacturas!B68)</f>
        <v xml:space="preserve">   Suecia </v>
      </c>
      <c r="C40" s="21">
        <f>[10]resumen_pais_manufacturas!C68/1000000</f>
        <v>44.475242999999999</v>
      </c>
      <c r="D40" s="24">
        <f>[10]resumen_pais_manufacturas!D68/1000000</f>
        <v>28.582242000000001</v>
      </c>
      <c r="E40" s="21">
        <f t="shared" si="0"/>
        <v>-35.734489410209626</v>
      </c>
      <c r="F40" s="21">
        <f t="shared" si="1"/>
        <v>0.31376855064022857</v>
      </c>
      <c r="G40" s="21">
        <f>[10]resumen_pais_manufacturas!E68/1000000</f>
        <v>11.005824</v>
      </c>
      <c r="H40" s="24">
        <f>[10]resumen_pais_manufacturas!F68/1000000</f>
        <v>6.901078</v>
      </c>
      <c r="I40" s="21">
        <f t="shared" si="3"/>
        <v>-37.296126123768659</v>
      </c>
      <c r="J40" s="21">
        <f t="shared" si="4"/>
        <v>0.28204914524581715</v>
      </c>
      <c r="K40" s="16"/>
    </row>
    <row r="41" spans="1:11">
      <c r="A41" s="14" t="s">
        <v>40</v>
      </c>
      <c r="B41" s="9" t="str">
        <f>CONCATENATE(A41,[10]resumen_pais_manufacturas!B69)</f>
        <v xml:space="preserve">   Resto </v>
      </c>
      <c r="C41" s="21">
        <f>[10]resumen_pais_manufacturas!C69/1000000</f>
        <v>73.929985000000002</v>
      </c>
      <c r="D41" s="24">
        <f>[10]resumen_pais_manufacturas!D69/1000000</f>
        <v>96.407793999999996</v>
      </c>
      <c r="E41" s="21">
        <f t="shared" ref="E41:E42" si="9">IF(OR(OR(D41=0,C41=0),D41=""),"",(D41/C41-1)*100)</f>
        <v>30.40418444559403</v>
      </c>
      <c r="F41" s="21">
        <f t="shared" ref="F41:F42" si="10">(D41/D$13)*100</f>
        <v>1.058340132793002</v>
      </c>
      <c r="G41" s="21">
        <f>[10]resumen_pais_manufacturas!E69/1000000</f>
        <v>20.882836000000001</v>
      </c>
      <c r="H41" s="24">
        <f>[10]resumen_pais_manufacturas!F69/1000000</f>
        <v>35.181134999999998</v>
      </c>
      <c r="I41" s="21">
        <f t="shared" ref="I41" si="11">IF(OR(OR(H41=0,G41=0),H41=""),"",(H41/G41-1)*100)</f>
        <v>68.469143750398629</v>
      </c>
      <c r="J41" s="21">
        <f t="shared" ref="J41" si="12">(H41/H$13)*100</f>
        <v>1.4378636287733162</v>
      </c>
      <c r="K41" s="16"/>
    </row>
    <row r="42" spans="1:11">
      <c r="A42" s="14"/>
      <c r="B42" s="9" t="str">
        <f>+[10]resumen_pais_manufacturas!B83</f>
        <v>Corea del Sur</v>
      </c>
      <c r="C42" s="21">
        <f>+[10]resumen_pais_manufacturas!C83/1000000</f>
        <v>144.97375700000001</v>
      </c>
      <c r="D42" s="24">
        <f>+[10]resumen_pais_manufacturas!D83/1000000</f>
        <v>145.21057200000001</v>
      </c>
      <c r="E42" s="21">
        <f t="shared" si="9"/>
        <v>0.16335025379801138</v>
      </c>
      <c r="F42" s="21">
        <f t="shared" si="10"/>
        <v>1.5940845618086421</v>
      </c>
      <c r="G42" s="21">
        <f>+[10]resumen_pais_manufacturas!E83/1000000</f>
        <v>34.002535999999999</v>
      </c>
      <c r="H42" s="24">
        <f>+[10]resumen_pais_manufacturas!F83/1000000</f>
        <v>49.611362999999997</v>
      </c>
      <c r="I42" s="21">
        <f t="shared" si="3"/>
        <v>45.904890741090611</v>
      </c>
      <c r="J42" s="21">
        <f t="shared" si="4"/>
        <v>2.0276314118794132</v>
      </c>
      <c r="K42" s="16"/>
    </row>
    <row r="43" spans="1:11">
      <c r="A43" s="14"/>
      <c r="B43" s="9" t="str">
        <f>+[10]resumen_pais_manufacturas!B84</f>
        <v xml:space="preserve">China </v>
      </c>
      <c r="C43" s="21">
        <f>+[10]resumen_pais_manufacturas!C84/1000000</f>
        <v>1572.5475329999999</v>
      </c>
      <c r="D43" s="24">
        <f>+[10]resumen_pais_manufacturas!D84/1000000</f>
        <v>1714.012567</v>
      </c>
      <c r="E43" s="21">
        <f t="shared" ref="E43:E44" si="13">IF(OR(OR(D43=0,C43=0),D43=""),"",(D43/C43-1)*100)</f>
        <v>8.9959146563997727</v>
      </c>
      <c r="F43" s="21">
        <f t="shared" ref="F43:F44" si="14">(D43/D$13)*100</f>
        <v>18.815992073915254</v>
      </c>
      <c r="G43" s="21">
        <f>+[10]resumen_pais_manufacturas!E84/1000000</f>
        <v>393.82126399999999</v>
      </c>
      <c r="H43" s="24">
        <f>+[10]resumen_pais_manufacturas!F84/1000000</f>
        <v>444.79755599999999</v>
      </c>
      <c r="I43" s="21">
        <f t="shared" ref="I43:I44" si="15">IF(OR(OR(H43=0,G43=0),H43=""),"",(H43/G43-1)*100)</f>
        <v>12.944017162059595</v>
      </c>
      <c r="J43" s="21">
        <f t="shared" ref="J43:J44" si="16">(H43/H$13)*100</f>
        <v>18.179010652716642</v>
      </c>
      <c r="K43" s="16"/>
    </row>
    <row r="44" spans="1:11">
      <c r="A44" s="14"/>
      <c r="B44" s="9" t="str">
        <f>+[10]resumen_pais_manufacturas!B85</f>
        <v xml:space="preserve">Japón </v>
      </c>
      <c r="C44" s="21">
        <f>+[10]resumen_pais_manufacturas!C85/1000000</f>
        <v>235.657567</v>
      </c>
      <c r="D44" s="24">
        <f>+[10]resumen_pais_manufacturas!D85/1000000</f>
        <v>202.31650099999999</v>
      </c>
      <c r="E44" s="21">
        <f t="shared" si="13"/>
        <v>-14.148099050857132</v>
      </c>
      <c r="F44" s="21">
        <f t="shared" si="14"/>
        <v>2.2209788612584118</v>
      </c>
      <c r="G44" s="21">
        <f>+[10]resumen_pais_manufacturas!E85/1000000</f>
        <v>60.599691999999997</v>
      </c>
      <c r="H44" s="24">
        <f>+[10]resumen_pais_manufacturas!F85/1000000</f>
        <v>58.403920999999997</v>
      </c>
      <c r="I44" s="21">
        <f t="shared" si="15"/>
        <v>-3.6234029044240001</v>
      </c>
      <c r="J44" s="21">
        <f t="shared" si="16"/>
        <v>2.3869859168457781</v>
      </c>
      <c r="K44" s="16"/>
    </row>
    <row r="45" spans="1:11">
      <c r="A45" s="14"/>
      <c r="B45" s="9" t="s">
        <v>2</v>
      </c>
      <c r="C45" s="21">
        <f>+C13-C14-C30-C28-C29-C42-C43-C44</f>
        <v>1200.6541903500704</v>
      </c>
      <c r="D45" s="24">
        <f>+D13-D14-D30-D28-D29-D42-D43-D44</f>
        <v>1233.944509620087</v>
      </c>
      <c r="E45" s="21">
        <f t="shared" si="0"/>
        <v>2.7726817211465526</v>
      </c>
      <c r="F45" s="21">
        <f t="shared" si="1"/>
        <v>13.545927585175518</v>
      </c>
      <c r="G45" s="21">
        <f t="shared" ref="G45:H45" si="17">+G13-G14-G30-G28-G29-G42-G43-G44</f>
        <v>280.34007020999746</v>
      </c>
      <c r="H45" s="24">
        <f t="shared" si="17"/>
        <v>407.6915839199869</v>
      </c>
      <c r="I45" s="21">
        <f t="shared" si="3"/>
        <v>45.427510100355192</v>
      </c>
      <c r="J45" s="21">
        <f t="shared" si="4"/>
        <v>16.662478350273048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totales'!C24</f>
        <v>1628.7036878800002</v>
      </c>
      <c r="D13" s="24">
        <f>+'Resumen importaciones totales'!D24</f>
        <v>2019.4275319499989</v>
      </c>
      <c r="E13" s="24">
        <f>IF(OR(OR(D13=0,C13=0),D13=""),"",(D13/C13-1)*100)</f>
        <v>23.989866725149</v>
      </c>
      <c r="F13" s="22">
        <f>(D13/D$13)*100</f>
        <v>100</v>
      </c>
      <c r="G13" s="24">
        <f>+'Resumen importaciones totales'!G24</f>
        <v>364.49232509999996</v>
      </c>
      <c r="H13" s="24">
        <f>+'Resumen importaciones totales'!H24</f>
        <v>477.62160175999969</v>
      </c>
      <c r="I13" s="24">
        <f>IF(OR(OR(H13=0,G13=0),H13=""),"",(H13/G13-1)*100)</f>
        <v>31.037492114261191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457.03029200000003</v>
      </c>
      <c r="D14" s="24">
        <f>+D15+D19</f>
        <v>359.25762300000002</v>
      </c>
      <c r="E14" s="21">
        <f t="shared" ref="E14:E45" si="0">IF(OR(OR(D14=0,C14=0),D14=""),"",(D14/C14-1)*100)</f>
        <v>-21.393039085470512</v>
      </c>
      <c r="F14" s="21">
        <f t="shared" ref="F14:F45" si="1">(D14/D$13)*100</f>
        <v>17.790072548584789</v>
      </c>
      <c r="G14" s="21">
        <f>+G15+G19</f>
        <v>116.93894499999999</v>
      </c>
      <c r="H14" s="24">
        <f t="shared" ref="H14" si="2">+H15+H19</f>
        <v>92.334510999999992</v>
      </c>
      <c r="I14" s="21">
        <f t="shared" ref="I14:I45" si="3">IF(OR(OR(H14=0,G14=0),H14=""),"",(H14/G14-1)*100)</f>
        <v>-21.040410446665135</v>
      </c>
      <c r="J14" s="21">
        <f>(H14/H$13)*100</f>
        <v>19.332147176709398</v>
      </c>
      <c r="K14" s="16"/>
    </row>
    <row r="15" spans="1:14">
      <c r="A15" s="14"/>
      <c r="B15" s="10" t="s">
        <v>34</v>
      </c>
      <c r="C15" s="21">
        <f>+SUM(C16:C18)</f>
        <v>32.320864</v>
      </c>
      <c r="D15" s="24">
        <f>+SUM(D16:D18)</f>
        <v>29.515528999999997</v>
      </c>
      <c r="E15" s="21">
        <f t="shared" si="0"/>
        <v>-8.6796411135544034</v>
      </c>
      <c r="F15" s="21">
        <f>(D15/D$13)*100</f>
        <v>1.4615790135088049</v>
      </c>
      <c r="G15" s="21">
        <f t="shared" ref="G15:H15" si="4">+SUM(G16:G18)</f>
        <v>7.0094110000000001</v>
      </c>
      <c r="H15" s="24">
        <f t="shared" si="4"/>
        <v>7.2102699999999995</v>
      </c>
      <c r="I15" s="21">
        <f t="shared" si="3"/>
        <v>2.8655617426342817</v>
      </c>
      <c r="J15" s="21">
        <f t="shared" ref="J15:J45" si="5">(H15/H$13)*100</f>
        <v>1.5096197436277372</v>
      </c>
      <c r="K15" s="16"/>
    </row>
    <row r="16" spans="1:14">
      <c r="A16" s="14" t="s">
        <v>40</v>
      </c>
      <c r="B16" s="9" t="str">
        <f>CONCATENATE(A16,[11]resumen_pais_rec_nat!B7)</f>
        <v xml:space="preserve">   Bolivia</v>
      </c>
      <c r="C16" s="21">
        <f>[11]resumen_pais_rec_nat!C7/1000000</f>
        <v>6.3584690000000004</v>
      </c>
      <c r="D16" s="24">
        <f>[11]resumen_pais_rec_nat!D7/1000000</f>
        <v>7.7247199999999996</v>
      </c>
      <c r="E16" s="21">
        <f t="shared" si="0"/>
        <v>21.487106408791167</v>
      </c>
      <c r="F16" s="21">
        <f t="shared" si="1"/>
        <v>0.38252028744704986</v>
      </c>
      <c r="G16" s="21">
        <f>[11]resumen_pais_rec_nat!E7/1000000</f>
        <v>1.5716319999999999</v>
      </c>
      <c r="H16" s="24">
        <f>[11]resumen_pais_rec_nat!F7/1000000</f>
        <v>1.7436210000000001</v>
      </c>
      <c r="I16" s="21">
        <f t="shared" si="3"/>
        <v>10.943337880623471</v>
      </c>
      <c r="J16" s="21">
        <f t="shared" si="5"/>
        <v>0.36506326212526563</v>
      </c>
      <c r="K16" s="16"/>
    </row>
    <row r="17" spans="1:11">
      <c r="A17" s="14" t="s">
        <v>40</v>
      </c>
      <c r="B17" s="9" t="str">
        <f>CONCATENATE(A17,[11]resumen_pais_rec_nat!B8)</f>
        <v xml:space="preserve">   Ecuador</v>
      </c>
      <c r="C17" s="21">
        <f>[11]resumen_pais_rec_nat!C8/1000000</f>
        <v>18.251728</v>
      </c>
      <c r="D17" s="24">
        <f>[11]resumen_pais_rec_nat!D8/1000000</f>
        <v>15.083174</v>
      </c>
      <c r="E17" s="21">
        <f t="shared" si="0"/>
        <v>-17.360295967592766</v>
      </c>
      <c r="F17" s="21">
        <f t="shared" si="1"/>
        <v>0.7469034546357497</v>
      </c>
      <c r="G17" s="21">
        <f>[11]resumen_pais_rec_nat!E8/1000000</f>
        <v>4.7418230000000001</v>
      </c>
      <c r="H17" s="24">
        <f>[11]resumen_pais_rec_nat!F8/1000000</f>
        <v>3.6833269999999998</v>
      </c>
      <c r="I17" s="21">
        <f t="shared" si="3"/>
        <v>-22.322554005073581</v>
      </c>
      <c r="J17" s="21">
        <f t="shared" si="5"/>
        <v>0.77118099064766266</v>
      </c>
      <c r="K17" s="16"/>
    </row>
    <row r="18" spans="1:11">
      <c r="A18" s="14" t="s">
        <v>40</v>
      </c>
      <c r="B18" s="9" t="str">
        <f>CONCATENATE(A18,[11]resumen_pais_rec_nat!B9)</f>
        <v xml:space="preserve">   Perú </v>
      </c>
      <c r="C18" s="21">
        <f>[11]resumen_pais_rec_nat!C9/1000000</f>
        <v>7.7106669999999999</v>
      </c>
      <c r="D18" s="24">
        <f>[11]resumen_pais_rec_nat!D9/1000000</f>
        <v>6.7076349999999998</v>
      </c>
      <c r="E18" s="21">
        <f t="shared" si="0"/>
        <v>-13.008368796110636</v>
      </c>
      <c r="F18" s="21">
        <f t="shared" si="1"/>
        <v>0.33215527142600537</v>
      </c>
      <c r="G18" s="21">
        <f>[11]resumen_pais_rec_nat!E9/1000000</f>
        <v>0.69595600000000002</v>
      </c>
      <c r="H18" s="24">
        <f>[11]resumen_pais_rec_nat!F9/1000000</f>
        <v>1.7833220000000001</v>
      </c>
      <c r="I18" s="21">
        <f t="shared" si="3"/>
        <v>156.24062440729011</v>
      </c>
      <c r="J18" s="21">
        <f t="shared" si="5"/>
        <v>0.37337549085480903</v>
      </c>
      <c r="K18" s="16"/>
    </row>
    <row r="19" spans="1:11">
      <c r="A19" s="14"/>
      <c r="B19" s="10" t="s">
        <v>35</v>
      </c>
      <c r="C19" s="21">
        <f>SUM(C20:C27)</f>
        <v>424.709428</v>
      </c>
      <c r="D19" s="24">
        <f>SUM(D20:D27)</f>
        <v>329.74209400000001</v>
      </c>
      <c r="E19" s="21">
        <f t="shared" si="0"/>
        <v>-22.360542935722162</v>
      </c>
      <c r="F19" s="21">
        <f t="shared" si="1"/>
        <v>16.328493535075982</v>
      </c>
      <c r="G19" s="21">
        <f>SUM(G20:G27)</f>
        <v>109.92953399999999</v>
      </c>
      <c r="H19" s="24">
        <f>SUM(H20:H27)</f>
        <v>85.124240999999998</v>
      </c>
      <c r="I19" s="21">
        <f t="shared" si="3"/>
        <v>-22.564721324116586</v>
      </c>
      <c r="J19" s="21">
        <f t="shared" si="5"/>
        <v>17.822527433081664</v>
      </c>
      <c r="K19" s="16"/>
    </row>
    <row r="20" spans="1:11">
      <c r="A20" s="14" t="s">
        <v>40</v>
      </c>
      <c r="B20" s="9" t="str">
        <f>CONCATENATE(A20,[11]resumen_pais_rec_nat!B23)</f>
        <v xml:space="preserve">   Argentina</v>
      </c>
      <c r="C20" s="21">
        <f>[11]resumen_pais_rec_nat!C23/1000000</f>
        <v>16.193819000000001</v>
      </c>
      <c r="D20" s="24">
        <f>[11]resumen_pais_rec_nat!D23/1000000</f>
        <v>9.1606170000000002</v>
      </c>
      <c r="E20" s="21">
        <f t="shared" si="0"/>
        <v>-43.431398115540262</v>
      </c>
      <c r="F20" s="21">
        <f t="shared" si="1"/>
        <v>0.45362444826897691</v>
      </c>
      <c r="G20" s="21">
        <f>[11]resumen_pais_rec_nat!E23/1000000</f>
        <v>4.0815419999999998</v>
      </c>
      <c r="H20" s="24">
        <f>[11]resumen_pais_rec_nat!F23/1000000</f>
        <v>2.225419</v>
      </c>
      <c r="I20" s="21">
        <f t="shared" si="3"/>
        <v>-45.476023522482436</v>
      </c>
      <c r="J20" s="21">
        <f t="shared" si="5"/>
        <v>0.46593767781848611</v>
      </c>
      <c r="K20" s="16"/>
    </row>
    <row r="21" spans="1:11">
      <c r="A21" s="14" t="s">
        <v>40</v>
      </c>
      <c r="B21" s="9" t="str">
        <f>CONCATENATE(A21,[11]resumen_pais_rec_nat!B24)</f>
        <v xml:space="preserve">   Brasil </v>
      </c>
      <c r="C21" s="21">
        <f>[11]resumen_pais_rec_nat!C24/1000000</f>
        <v>94.518000999999998</v>
      </c>
      <c r="D21" s="24">
        <f>[11]resumen_pais_rec_nat!D24/1000000</f>
        <v>77.865453000000002</v>
      </c>
      <c r="E21" s="21">
        <f t="shared" si="0"/>
        <v>-17.618387845506799</v>
      </c>
      <c r="F21" s="21">
        <f t="shared" si="1"/>
        <v>3.8558181349945051</v>
      </c>
      <c r="G21" s="21">
        <f>[11]resumen_pais_rec_nat!E24/1000000</f>
        <v>17.991496999999999</v>
      </c>
      <c r="H21" s="24">
        <f>[11]resumen_pais_rec_nat!F24/1000000</f>
        <v>22.642085000000002</v>
      </c>
      <c r="I21" s="21">
        <f t="shared" si="3"/>
        <v>25.848810690961411</v>
      </c>
      <c r="J21" s="21">
        <f t="shared" si="5"/>
        <v>4.7405906509600113</v>
      </c>
      <c r="K21" s="16"/>
    </row>
    <row r="22" spans="1:11">
      <c r="A22" s="14" t="s">
        <v>40</v>
      </c>
      <c r="B22" s="9" t="str">
        <f>CONCATENATE(A22,[11]resumen_pais_rec_nat!B25)</f>
        <v xml:space="preserve">   Cuba </v>
      </c>
      <c r="C22" s="21">
        <f>[11]resumen_pais_rec_nat!C25/1000000</f>
        <v>0.45781899999999998</v>
      </c>
      <c r="D22" s="24">
        <f>[11]resumen_pais_rec_nat!D25/1000000</f>
        <v>6.7972000000000005E-2</v>
      </c>
      <c r="E22" s="21">
        <f t="shared" si="0"/>
        <v>-85.153084515933159</v>
      </c>
      <c r="F22" s="21">
        <f t="shared" si="1"/>
        <v>3.3659043924376382E-3</v>
      </c>
      <c r="G22" s="21">
        <f>[11]resumen_pais_rec_nat!E25/1000000</f>
        <v>0</v>
      </c>
      <c r="H22" s="24">
        <f>[11]resumen_pais_rec_nat!F25/1000000</f>
        <v>1.2991000000000001E-2</v>
      </c>
      <c r="I22" s="21" t="str">
        <f t="shared" si="3"/>
        <v/>
      </c>
      <c r="J22" s="21">
        <f t="shared" si="5"/>
        <v>2.7199356042794426E-3</v>
      </c>
      <c r="K22" s="16"/>
    </row>
    <row r="23" spans="1:11">
      <c r="A23" s="14" t="s">
        <v>40</v>
      </c>
      <c r="B23" s="9" t="str">
        <f>CONCATENATE(A23,[11]resumen_pais_rec_nat!B26)</f>
        <v xml:space="preserve">   Chile </v>
      </c>
      <c r="C23" s="21">
        <f>[11]resumen_pais_rec_nat!C26/1000000</f>
        <v>34.8917</v>
      </c>
      <c r="D23" s="24">
        <f>[11]resumen_pais_rec_nat!D26/1000000</f>
        <v>30.787739999999999</v>
      </c>
      <c r="E23" s="21">
        <f t="shared" si="0"/>
        <v>-11.76199497301651</v>
      </c>
      <c r="F23" s="21">
        <f t="shared" si="1"/>
        <v>1.5245776098868353</v>
      </c>
      <c r="G23" s="21">
        <f>[11]resumen_pais_rec_nat!E26/1000000</f>
        <v>9.1080240000000003</v>
      </c>
      <c r="H23" s="24">
        <f>[11]resumen_pais_rec_nat!F26/1000000</f>
        <v>6.9284400000000002</v>
      </c>
      <c r="I23" s="21">
        <f t="shared" si="3"/>
        <v>-23.930371724975696</v>
      </c>
      <c r="J23" s="21">
        <f t="shared" si="5"/>
        <v>1.450612781010997</v>
      </c>
      <c r="K23" s="16"/>
    </row>
    <row r="24" spans="1:11">
      <c r="A24" s="14" t="s">
        <v>40</v>
      </c>
      <c r="B24" s="9" t="str">
        <f>CONCATENATE(A24,[11]resumen_pais_rec_nat!B27)</f>
        <v xml:space="preserve">   México </v>
      </c>
      <c r="C24" s="21">
        <f>[11]resumen_pais_rec_nat!C27/1000000</f>
        <v>256.78528899999998</v>
      </c>
      <c r="D24" s="24">
        <f>[11]resumen_pais_rec_nat!D27/1000000</f>
        <v>197.337278</v>
      </c>
      <c r="E24" s="21">
        <f t="shared" si="0"/>
        <v>-23.150863210080541</v>
      </c>
      <c r="F24" s="21">
        <f t="shared" si="1"/>
        <v>9.7719415466940394</v>
      </c>
      <c r="G24" s="21">
        <f>[11]resumen_pais_rec_nat!E27/1000000</f>
        <v>75.673812999999996</v>
      </c>
      <c r="H24" s="24">
        <f>[11]resumen_pais_rec_nat!F27/1000000</f>
        <v>48.393832000000003</v>
      </c>
      <c r="I24" s="21">
        <f t="shared" si="3"/>
        <v>-36.049433639613206</v>
      </c>
      <c r="J24" s="21">
        <f t="shared" si="5"/>
        <v>10.132253612833333</v>
      </c>
      <c r="K24" s="16"/>
    </row>
    <row r="25" spans="1:11">
      <c r="A25" s="14" t="s">
        <v>40</v>
      </c>
      <c r="B25" s="9" t="str">
        <f>CONCATENATE(A25,[11]resumen_pais_rec_nat!B28)</f>
        <v xml:space="preserve">   Paraguay </v>
      </c>
      <c r="C25" s="21">
        <f>[11]resumen_pais_rec_nat!C28/1000000</f>
        <v>1.0012E-2</v>
      </c>
      <c r="D25" s="24">
        <f>[11]resumen_pais_rec_nat!D28/1000000</f>
        <v>7.9547999999999994E-2</v>
      </c>
      <c r="E25" s="21">
        <f t="shared" si="0"/>
        <v>694.52656811825807</v>
      </c>
      <c r="F25" s="21">
        <f t="shared" si="1"/>
        <v>3.9391361532635383E-3</v>
      </c>
      <c r="G25" s="21">
        <f>[11]resumen_pais_rec_nat!E28/1000000</f>
        <v>0</v>
      </c>
      <c r="H25" s="24">
        <f>[11]resumen_pais_rec_nat!F28/1000000</f>
        <v>7.5230000000000002E-3</v>
      </c>
      <c r="I25" s="21" t="str">
        <f t="shared" si="3"/>
        <v/>
      </c>
      <c r="J25" s="21">
        <f t="shared" si="5"/>
        <v>1.5750962628738549E-3</v>
      </c>
      <c r="K25" s="16"/>
    </row>
    <row r="26" spans="1:11">
      <c r="A26" s="14" t="s">
        <v>40</v>
      </c>
      <c r="B26" s="9" t="str">
        <f>CONCATENATE(A26,[11]resumen_pais_rec_nat!B29)</f>
        <v xml:space="preserve">   Uruguay </v>
      </c>
      <c r="C26" s="21">
        <f>[11]resumen_pais_rec_nat!C29/1000000</f>
        <v>6.3259480000000003</v>
      </c>
      <c r="D26" s="24">
        <f>[11]resumen_pais_rec_nat!D29/1000000</f>
        <v>7.3201140000000002</v>
      </c>
      <c r="E26" s="21">
        <f t="shared" si="0"/>
        <v>15.71568403660606</v>
      </c>
      <c r="F26" s="21">
        <f t="shared" si="1"/>
        <v>0.36248460933537707</v>
      </c>
      <c r="G26" s="21">
        <f>[11]resumen_pais_rec_nat!E29/1000000</f>
        <v>1.7606379999999999</v>
      </c>
      <c r="H26" s="24">
        <f>[11]resumen_pais_rec_nat!F29/1000000</f>
        <v>3.2737099999999999</v>
      </c>
      <c r="I26" s="21">
        <f t="shared" si="3"/>
        <v>85.938847167901628</v>
      </c>
      <c r="J26" s="21">
        <f t="shared" si="5"/>
        <v>0.68541916612159592</v>
      </c>
      <c r="K26" s="16"/>
    </row>
    <row r="27" spans="1:11">
      <c r="A27" s="14" t="s">
        <v>40</v>
      </c>
      <c r="B27" s="9" t="str">
        <f>CONCATENATE(A27,[11]resumen_pais_rec_nat!B30)</f>
        <v xml:space="preserve">   Venezuela</v>
      </c>
      <c r="C27" s="21">
        <f>[11]resumen_pais_rec_nat!C30/1000000</f>
        <v>15.52684</v>
      </c>
      <c r="D27" s="24">
        <f>[11]resumen_pais_rec_nat!D30/1000000</f>
        <v>7.1233719999999998</v>
      </c>
      <c r="E27" s="21">
        <f t="shared" si="0"/>
        <v>-54.122203874065811</v>
      </c>
      <c r="F27" s="21">
        <f>(D27/D$13)*100</f>
        <v>0.35274214535054554</v>
      </c>
      <c r="G27" s="21">
        <f>[11]resumen_pais_rec_nat!E30/1000000</f>
        <v>1.31402</v>
      </c>
      <c r="H27" s="24">
        <f>[11]resumen_pais_rec_nat!F30/1000000</f>
        <v>1.6402410000000001</v>
      </c>
      <c r="I27" s="21">
        <f t="shared" si="3"/>
        <v>24.826182249889662</v>
      </c>
      <c r="J27" s="21">
        <f t="shared" si="5"/>
        <v>0.34341851247008831</v>
      </c>
      <c r="K27" s="16"/>
    </row>
    <row r="28" spans="1:11">
      <c r="A28" s="14" t="s">
        <v>40</v>
      </c>
      <c r="B28" s="9" t="str">
        <f>+[11]resumen_pais_rec_nat!B44</f>
        <v xml:space="preserve">Canadá </v>
      </c>
      <c r="C28" s="21">
        <f>+[11]resumen_pais_rec_nat!C44/1000000</f>
        <v>15.861506</v>
      </c>
      <c r="D28" s="24">
        <f>+[11]resumen_pais_rec_nat!D44/1000000</f>
        <v>15.531928000000001</v>
      </c>
      <c r="E28" s="21">
        <f t="shared" si="0"/>
        <v>-2.0778480933651533</v>
      </c>
      <c r="F28" s="21">
        <f>(D28/D$13)*100</f>
        <v>0.76912529686084186</v>
      </c>
      <c r="G28" s="21">
        <f>+[11]resumen_pais_rec_nat!E44/1000000</f>
        <v>3.4047260000000001</v>
      </c>
      <c r="H28" s="24">
        <f>+[11]resumen_pais_rec_nat!F44/1000000</f>
        <v>4.4934770000000004</v>
      </c>
      <c r="I28" s="21">
        <f t="shared" si="3"/>
        <v>31.977639316643991</v>
      </c>
      <c r="J28" s="21">
        <f t="shared" si="5"/>
        <v>0.94080271567321816</v>
      </c>
      <c r="K28" s="16"/>
    </row>
    <row r="29" spans="1:11">
      <c r="A29" s="14" t="s">
        <v>40</v>
      </c>
      <c r="B29" s="9" t="str">
        <f>+[11]resumen_pais_rec_nat!B45</f>
        <v>Estados Unidos</v>
      </c>
      <c r="C29" s="21">
        <f>+[11]resumen_pais_rec_nat!C45/1000000</f>
        <v>639.18381299999999</v>
      </c>
      <c r="D29" s="24">
        <f>+[11]resumen_pais_rec_nat!D45/1000000</f>
        <v>1130.473137</v>
      </c>
      <c r="E29" s="21">
        <f t="shared" si="0"/>
        <v>76.861978355512576</v>
      </c>
      <c r="F29" s="21">
        <f t="shared" si="1"/>
        <v>55.979881382937911</v>
      </c>
      <c r="G29" s="21">
        <f>+[11]resumen_pais_rec_nat!E45/1000000</f>
        <v>128.32198399999999</v>
      </c>
      <c r="H29" s="24">
        <f>+[11]resumen_pais_rec_nat!F45/1000000</f>
        <v>190.45688200000001</v>
      </c>
      <c r="I29" s="21">
        <f t="shared" si="3"/>
        <v>48.421085821116996</v>
      </c>
      <c r="J29" s="21">
        <f t="shared" si="5"/>
        <v>39.876103027622854</v>
      </c>
      <c r="K29" s="16"/>
    </row>
    <row r="30" spans="1:11">
      <c r="A30" s="14"/>
      <c r="B30" s="10" t="s">
        <v>32</v>
      </c>
      <c r="C30" s="21">
        <f>SUM(C31:C41)</f>
        <v>153.59183400000003</v>
      </c>
      <c r="D30" s="24">
        <f>SUM(D31:D41)</f>
        <v>135.900901</v>
      </c>
      <c r="E30" s="21">
        <f t="shared" si="0"/>
        <v>-11.518146856687729</v>
      </c>
      <c r="F30" s="21">
        <f t="shared" si="1"/>
        <v>6.729674566176258</v>
      </c>
      <c r="G30" s="21">
        <f>SUM(G31:G41)</f>
        <v>28.962727000000001</v>
      </c>
      <c r="H30" s="24">
        <f>SUM(H31:H41)</f>
        <v>32.258798999999996</v>
      </c>
      <c r="I30" s="21">
        <f t="shared" si="3"/>
        <v>11.380392460972333</v>
      </c>
      <c r="J30" s="21">
        <f t="shared" si="5"/>
        <v>6.7540494150869117</v>
      </c>
      <c r="K30" s="16"/>
    </row>
    <row r="31" spans="1:11">
      <c r="A31" s="14" t="s">
        <v>40</v>
      </c>
      <c r="B31" s="9" t="str">
        <f>CONCATENATE(A31,[11]resumen_pais_rec_nat!B59)</f>
        <v xml:space="preserve">   Alemania </v>
      </c>
      <c r="C31" s="21">
        <f>[11]resumen_pais_rec_nat!C59/1000000</f>
        <v>29.879586</v>
      </c>
      <c r="D31" s="24">
        <f>[11]resumen_pais_rec_nat!D59/1000000</f>
        <v>29.812491999999999</v>
      </c>
      <c r="E31" s="21">
        <f t="shared" si="0"/>
        <v>-0.22454795725751486</v>
      </c>
      <c r="F31" s="21">
        <f t="shared" si="1"/>
        <v>1.4762843196067785</v>
      </c>
      <c r="G31" s="21">
        <f>[11]resumen_pais_rec_nat!E59/1000000</f>
        <v>6.9656529999999997</v>
      </c>
      <c r="H31" s="24">
        <f>[11]resumen_pais_rec_nat!F59/1000000</f>
        <v>8.4960039999999992</v>
      </c>
      <c r="I31" s="21">
        <f t="shared" si="3"/>
        <v>21.969957446918475</v>
      </c>
      <c r="J31" s="21">
        <f t="shared" si="5"/>
        <v>1.7788148544146378</v>
      </c>
      <c r="K31" s="16"/>
    </row>
    <row r="32" spans="1:11">
      <c r="A32" s="14" t="s">
        <v>40</v>
      </c>
      <c r="B32" s="9" t="str">
        <f>CONCATENATE(A32,[11]resumen_pais_rec_nat!B60)</f>
        <v xml:space="preserve">   Austria </v>
      </c>
      <c r="C32" s="21">
        <f>[11]resumen_pais_rec_nat!C60/1000000</f>
        <v>2.8089599999999999</v>
      </c>
      <c r="D32" s="24">
        <f>[11]resumen_pais_rec_nat!D60/1000000</f>
        <v>2.8417690000000002</v>
      </c>
      <c r="E32" s="21">
        <f t="shared" si="0"/>
        <v>1.1680123604465908</v>
      </c>
      <c r="F32" s="21">
        <f t="shared" si="1"/>
        <v>0.14072151414395803</v>
      </c>
      <c r="G32" s="21">
        <f>[11]resumen_pais_rec_nat!E60/1000000</f>
        <v>0.94800099999999998</v>
      </c>
      <c r="H32" s="24">
        <f>[11]resumen_pais_rec_nat!F60/1000000</f>
        <v>1.1300269999999999</v>
      </c>
      <c r="I32" s="21">
        <f t="shared" si="3"/>
        <v>19.201034598064769</v>
      </c>
      <c r="J32" s="21">
        <f t="shared" si="5"/>
        <v>0.23659461712701757</v>
      </c>
      <c r="K32" s="16"/>
    </row>
    <row r="33" spans="1:11">
      <c r="A33" s="14" t="s">
        <v>40</v>
      </c>
      <c r="B33" s="9" t="str">
        <f>CONCATENATE(A33,[11]resumen_pais_rec_nat!B61)</f>
        <v xml:space="preserve">   España </v>
      </c>
      <c r="C33" s="21">
        <f>[11]resumen_pais_rec_nat!C61/1000000</f>
        <v>21.672787</v>
      </c>
      <c r="D33" s="24">
        <f>[11]resumen_pais_rec_nat!D61/1000000</f>
        <v>40.456558999999999</v>
      </c>
      <c r="E33" s="21">
        <f t="shared" si="0"/>
        <v>86.669850075119541</v>
      </c>
      <c r="F33" s="21">
        <f t="shared" si="1"/>
        <v>2.0033677049522223</v>
      </c>
      <c r="G33" s="21">
        <f>[11]resumen_pais_rec_nat!E61/1000000</f>
        <v>3.5136509999999999</v>
      </c>
      <c r="H33" s="24">
        <f>[11]resumen_pais_rec_nat!F61/1000000</f>
        <v>4.5371329999999999</v>
      </c>
      <c r="I33" s="21">
        <f t="shared" si="3"/>
        <v>29.128732477983732</v>
      </c>
      <c r="J33" s="21">
        <f t="shared" si="5"/>
        <v>0.94994300577716884</v>
      </c>
      <c r="K33" s="16"/>
    </row>
    <row r="34" spans="1:11">
      <c r="A34" s="14" t="s">
        <v>40</v>
      </c>
      <c r="B34" s="9" t="str">
        <f>CONCATENATE(A34,[11]resumen_pais_rec_nat!B62)</f>
        <v xml:space="preserve">   Finlandia </v>
      </c>
      <c r="C34" s="21">
        <f>[11]resumen_pais_rec_nat!C62/1000000</f>
        <v>8.9436260000000001</v>
      </c>
      <c r="D34" s="24">
        <f>[11]resumen_pais_rec_nat!D62/1000000</f>
        <v>7.619777</v>
      </c>
      <c r="E34" s="21">
        <f t="shared" si="0"/>
        <v>-14.802150716051854</v>
      </c>
      <c r="F34" s="21">
        <f t="shared" si="1"/>
        <v>0.37732361669062686</v>
      </c>
      <c r="G34" s="21">
        <f>[11]resumen_pais_rec_nat!E62/1000000</f>
        <v>0.73380900000000004</v>
      </c>
      <c r="H34" s="24">
        <f>[11]resumen_pais_rec_nat!F62/1000000</f>
        <v>2.346511</v>
      </c>
      <c r="I34" s="21">
        <f t="shared" si="3"/>
        <v>219.77135739681577</v>
      </c>
      <c r="J34" s="21">
        <f t="shared" si="5"/>
        <v>0.49129080245811396</v>
      </c>
      <c r="K34" s="16"/>
    </row>
    <row r="35" spans="1:11">
      <c r="A35" s="14" t="s">
        <v>40</v>
      </c>
      <c r="B35" s="9" t="str">
        <f>CONCATENATE(A35,[11]resumen_pais_rec_nat!B63)</f>
        <v xml:space="preserve">   Francia </v>
      </c>
      <c r="C35" s="21">
        <f>[11]resumen_pais_rec_nat!C63/1000000</f>
        <v>37.139989</v>
      </c>
      <c r="D35" s="24">
        <f>[11]resumen_pais_rec_nat!D63/1000000</f>
        <v>10.814260000000001</v>
      </c>
      <c r="E35" s="21">
        <f t="shared" si="0"/>
        <v>-70.882436179504509</v>
      </c>
      <c r="F35" s="21">
        <f t="shared" si="1"/>
        <v>0.53551116981937641</v>
      </c>
      <c r="G35" s="21">
        <f>[11]resumen_pais_rec_nat!E63/1000000</f>
        <v>3.4279489999999999</v>
      </c>
      <c r="H35" s="24">
        <f>[11]resumen_pais_rec_nat!F63/1000000</f>
        <v>2.9810500000000002</v>
      </c>
      <c r="I35" s="21">
        <f t="shared" si="3"/>
        <v>-13.036920911017047</v>
      </c>
      <c r="J35" s="21">
        <f t="shared" si="5"/>
        <v>0.62414471812310313</v>
      </c>
      <c r="K35" s="16"/>
    </row>
    <row r="36" spans="1:11">
      <c r="A36" s="14" t="s">
        <v>40</v>
      </c>
      <c r="B36" s="9" t="str">
        <f>CONCATENATE(A36,[11]resumen_pais_rec_nat!B64)</f>
        <v xml:space="preserve">   Irlanda </v>
      </c>
      <c r="C36" s="21">
        <f>[11]resumen_pais_rec_nat!C64/1000000</f>
        <v>4.0562300000000002</v>
      </c>
      <c r="D36" s="24">
        <f>[11]resumen_pais_rec_nat!D64/1000000</f>
        <v>2.7114539999999998</v>
      </c>
      <c r="E36" s="21">
        <f t="shared" si="0"/>
        <v>-33.153346826979742</v>
      </c>
      <c r="F36" s="21">
        <f t="shared" si="1"/>
        <v>0.13426844772101162</v>
      </c>
      <c r="G36" s="21">
        <f>[11]resumen_pais_rec_nat!E64/1000000</f>
        <v>1.438077</v>
      </c>
      <c r="H36" s="24">
        <f>[11]resumen_pais_rec_nat!F64/1000000</f>
        <v>0.95350400000000002</v>
      </c>
      <c r="I36" s="21">
        <f t="shared" si="3"/>
        <v>-33.695900845365024</v>
      </c>
      <c r="J36" s="21">
        <f t="shared" si="5"/>
        <v>0.19963586162904051</v>
      </c>
      <c r="K36" s="16"/>
    </row>
    <row r="37" spans="1:11">
      <c r="A37" s="14" t="s">
        <v>40</v>
      </c>
      <c r="B37" s="7" t="str">
        <f>CONCATENATE(A37,[11]resumen_pais_rec_nat!B65)</f>
        <v xml:space="preserve">   Italia </v>
      </c>
      <c r="C37" s="21">
        <f>[11]resumen_pais_rec_nat!C65/1000000</f>
        <v>15.795403</v>
      </c>
      <c r="D37" s="24">
        <f>[11]resumen_pais_rec_nat!D65/1000000</f>
        <v>15.283118999999999</v>
      </c>
      <c r="E37" s="21">
        <f t="shared" si="0"/>
        <v>-3.2432474182520155</v>
      </c>
      <c r="F37" s="21">
        <f t="shared" si="1"/>
        <v>0.75680452792689823</v>
      </c>
      <c r="G37" s="21">
        <f>[11]resumen_pais_rec_nat!E65/1000000</f>
        <v>4.4385029999999999</v>
      </c>
      <c r="H37" s="24">
        <f>[11]resumen_pais_rec_nat!F65/1000000</f>
        <v>4.4936579999999999</v>
      </c>
      <c r="I37" s="21">
        <f t="shared" si="3"/>
        <v>1.2426487038535328</v>
      </c>
      <c r="J37" s="21">
        <f t="shared" si="5"/>
        <v>0.94084061178162959</v>
      </c>
      <c r="K37" s="16"/>
    </row>
    <row r="38" spans="1:11">
      <c r="A38" s="14" t="s">
        <v>40</v>
      </c>
      <c r="B38" s="7" t="str">
        <f>CONCATENATE(A38,[11]resumen_pais_rec_nat!B66)</f>
        <v xml:space="preserve">   Países Bajos </v>
      </c>
      <c r="C38" s="21">
        <f>[11]resumen_pais_rec_nat!C66/1000000</f>
        <v>3.359969</v>
      </c>
      <c r="D38" s="24">
        <f>[11]resumen_pais_rec_nat!D66/1000000</f>
        <v>2.5366620000000002</v>
      </c>
      <c r="E38" s="21">
        <f t="shared" si="0"/>
        <v>-24.503410596942999</v>
      </c>
      <c r="F38" s="21">
        <f t="shared" si="1"/>
        <v>0.12561292543885194</v>
      </c>
      <c r="G38" s="21">
        <f>[11]resumen_pais_rec_nat!E66/1000000</f>
        <v>0.64866599999999996</v>
      </c>
      <c r="H38" s="24">
        <f>[11]resumen_pais_rec_nat!F66/1000000</f>
        <v>0.56598400000000004</v>
      </c>
      <c r="I38" s="21">
        <f t="shared" si="3"/>
        <v>-12.746467365331304</v>
      </c>
      <c r="J38" s="21">
        <f t="shared" si="5"/>
        <v>0.11850050289065478</v>
      </c>
      <c r="K38" s="16"/>
    </row>
    <row r="39" spans="1:11">
      <c r="A39" s="14" t="s">
        <v>40</v>
      </c>
      <c r="B39" s="7" t="str">
        <f>CONCATENATE(A39,[11]resumen_pais_rec_nat!B67)</f>
        <v xml:space="preserve">   Reino Unido </v>
      </c>
      <c r="C39" s="21">
        <f>[11]resumen_pais_rec_nat!C67/1000000</f>
        <v>18.066876000000001</v>
      </c>
      <c r="D39" s="24">
        <f>[11]resumen_pais_rec_nat!D67/1000000</f>
        <v>13.634159</v>
      </c>
      <c r="E39" s="21">
        <f t="shared" si="0"/>
        <v>-24.535049667690203</v>
      </c>
      <c r="F39" s="21">
        <f t="shared" si="1"/>
        <v>0.67514970377939676</v>
      </c>
      <c r="G39" s="21">
        <f>[11]resumen_pais_rec_nat!E67/1000000</f>
        <v>3.2967119999999999</v>
      </c>
      <c r="H39" s="24">
        <f>[11]resumen_pais_rec_nat!F67/1000000</f>
        <v>4.37751</v>
      </c>
      <c r="I39" s="21">
        <f t="shared" si="3"/>
        <v>32.784119449924653</v>
      </c>
      <c r="J39" s="21">
        <f t="shared" si="5"/>
        <v>0.91652261620270203</v>
      </c>
      <c r="K39" s="16"/>
    </row>
    <row r="40" spans="1:11">
      <c r="A40" s="14" t="s">
        <v>40</v>
      </c>
      <c r="B40" s="9" t="str">
        <f>CONCATENATE(A40,[11]resumen_pais_rec_nat!B68)</f>
        <v xml:space="preserve">   Suecia </v>
      </c>
      <c r="C40" s="21">
        <f>[11]resumen_pais_rec_nat!C68/1000000</f>
        <v>2.8701910000000002</v>
      </c>
      <c r="D40" s="24">
        <f>[11]resumen_pais_rec_nat!D68/1000000</f>
        <v>3.2071679999999998</v>
      </c>
      <c r="E40" s="21">
        <f t="shared" si="0"/>
        <v>11.740577543445706</v>
      </c>
      <c r="F40" s="21">
        <f t="shared" si="1"/>
        <v>0.15881570144302706</v>
      </c>
      <c r="G40" s="21">
        <f>[11]resumen_pais_rec_nat!E68/1000000</f>
        <v>1.1239060000000001</v>
      </c>
      <c r="H40" s="24">
        <f>[11]resumen_pais_rec_nat!F68/1000000</f>
        <v>0.48841600000000002</v>
      </c>
      <c r="I40" s="21">
        <f t="shared" si="3"/>
        <v>-56.542984911549546</v>
      </c>
      <c r="J40" s="21">
        <f t="shared" si="5"/>
        <v>0.1022600314140365</v>
      </c>
      <c r="K40" s="16"/>
    </row>
    <row r="41" spans="1:11">
      <c r="A41" s="14" t="s">
        <v>40</v>
      </c>
      <c r="B41" s="9" t="str">
        <f>CONCATENATE(A41,[11]resumen_pais_rec_nat!B69)</f>
        <v xml:space="preserve">   Resto </v>
      </c>
      <c r="C41" s="21">
        <f>[11]resumen_pais_rec_nat!C69/1000000</f>
        <v>8.9982170000000004</v>
      </c>
      <c r="D41" s="24">
        <f>[11]resumen_pais_rec_nat!D69/1000000</f>
        <v>6.9834820000000004</v>
      </c>
      <c r="E41" s="21">
        <f t="shared" si="0"/>
        <v>-22.390380227549521</v>
      </c>
      <c r="F41" s="21">
        <f t="shared" si="1"/>
        <v>0.34581493465411028</v>
      </c>
      <c r="G41" s="21">
        <f>[11]resumen_pais_rec_nat!E69/1000000</f>
        <v>2.4278</v>
      </c>
      <c r="H41" s="24">
        <f>[11]resumen_pais_rec_nat!F69/1000000</f>
        <v>1.8890020000000001</v>
      </c>
      <c r="I41" s="21">
        <f t="shared" si="3"/>
        <v>-22.192849493368485</v>
      </c>
      <c r="J41" s="21">
        <f t="shared" si="5"/>
        <v>0.39550179326880736</v>
      </c>
      <c r="K41" s="16"/>
    </row>
    <row r="42" spans="1:11">
      <c r="A42" s="14"/>
      <c r="B42" s="9" t="str">
        <f>+[11]resumen_pais_rec_nat!B83</f>
        <v>Corea del Sur</v>
      </c>
      <c r="C42" s="21">
        <f>+[11]resumen_pais_rec_nat!C83/1000000</f>
        <v>6.398568</v>
      </c>
      <c r="D42" s="24">
        <f>+[11]resumen_pais_rec_nat!D83/1000000</f>
        <v>7.2904</v>
      </c>
      <c r="E42" s="21">
        <f t="shared" si="0"/>
        <v>13.93799362607384</v>
      </c>
      <c r="F42" s="21">
        <f t="shared" si="1"/>
        <v>0.36101320223955979</v>
      </c>
      <c r="G42" s="21">
        <f>+[11]resumen_pais_rec_nat!G83/1000000</f>
        <v>0</v>
      </c>
      <c r="H42" s="24">
        <f>+[11]resumen_pais_rec_nat!H83/1000000</f>
        <v>0</v>
      </c>
      <c r="I42" s="21" t="str">
        <f t="shared" ref="I42:I44" si="6">IF(OR(OR(H42=0,G42=0),H42=""),"",(H42/G42-1)*100)</f>
        <v/>
      </c>
      <c r="J42" s="21">
        <f t="shared" ref="J42:J44" si="7">(H42/H$13)*100</f>
        <v>0</v>
      </c>
      <c r="K42" s="16"/>
    </row>
    <row r="43" spans="1:11">
      <c r="A43" s="14"/>
      <c r="B43" s="9" t="str">
        <f>+[11]resumen_pais_rec_nat!B84</f>
        <v xml:space="preserve">China </v>
      </c>
      <c r="C43" s="21">
        <f>+[11]resumen_pais_rec_nat!C84/1000000</f>
        <v>93.630679999999998</v>
      </c>
      <c r="D43" s="24">
        <f>+[11]resumen_pais_rec_nat!D84/1000000</f>
        <v>91.368493999999998</v>
      </c>
      <c r="E43" s="21">
        <f t="shared" ref="E43:E44" si="8">IF(OR(OR(D43=0,C43=0),D43=""),"",(D43/C43-1)*100)</f>
        <v>-2.4160734494291791</v>
      </c>
      <c r="F43" s="21">
        <f t="shared" ref="F43:F44" si="9">(D43/D$13)*100</f>
        <v>4.524475008606661</v>
      </c>
      <c r="G43" s="21">
        <f>+[11]resumen_pais_rec_nat!G84/1000000</f>
        <v>0</v>
      </c>
      <c r="H43" s="24">
        <f>+[11]resumen_pais_rec_nat!H84/1000000</f>
        <v>0</v>
      </c>
      <c r="I43" s="21" t="str">
        <f t="shared" si="6"/>
        <v/>
      </c>
      <c r="J43" s="21">
        <f t="shared" si="7"/>
        <v>0</v>
      </c>
      <c r="K43" s="16"/>
    </row>
    <row r="44" spans="1:11">
      <c r="A44" s="14"/>
      <c r="B44" s="9" t="str">
        <f>+[11]resumen_pais_rec_nat!B85</f>
        <v xml:space="preserve">Japón </v>
      </c>
      <c r="C44" s="21">
        <f>+[11]resumen_pais_rec_nat!C85/1000000</f>
        <v>20.715671</v>
      </c>
      <c r="D44" s="24">
        <f>+[11]resumen_pais_rec_nat!D85/1000000</f>
        <v>22.680807999999999</v>
      </c>
      <c r="E44" s="21">
        <f t="shared" si="8"/>
        <v>9.486233875793836</v>
      </c>
      <c r="F44" s="21">
        <f t="shared" si="9"/>
        <v>1.1231305724597587</v>
      </c>
      <c r="G44" s="21">
        <f>+[11]resumen_pais_rec_nat!G85/1000000</f>
        <v>0</v>
      </c>
      <c r="H44" s="24">
        <f>+[11]resumen_pais_rec_nat!H85/1000000</f>
        <v>0</v>
      </c>
      <c r="I44" s="21" t="str">
        <f t="shared" si="6"/>
        <v/>
      </c>
      <c r="J44" s="21">
        <f t="shared" si="7"/>
        <v>0</v>
      </c>
      <c r="K44" s="16"/>
    </row>
    <row r="45" spans="1:11">
      <c r="A45" s="14"/>
      <c r="B45" s="9" t="s">
        <v>2</v>
      </c>
      <c r="C45" s="21">
        <f>+C13-C14-C30-C28-C29-C42-C43-C44</f>
        <v>242.29132388000005</v>
      </c>
      <c r="D45" s="24">
        <f>+D13-D14-D30-D28-D29-D42-D43-D44</f>
        <v>256.92424094999888</v>
      </c>
      <c r="E45" s="21">
        <f t="shared" si="0"/>
        <v>6.0393896222409094</v>
      </c>
      <c r="F45" s="21">
        <f t="shared" si="1"/>
        <v>12.722627422134222</v>
      </c>
      <c r="G45" s="21">
        <f>+G13-G14-G30-G28-G29-G42-G43-G44</f>
        <v>86.863943099999972</v>
      </c>
      <c r="H45" s="24">
        <f>+H13-H14-H30-H28-H29-H42-H43-H44</f>
        <v>158.07793275999973</v>
      </c>
      <c r="I45" s="21">
        <f t="shared" si="3"/>
        <v>81.983372062693945</v>
      </c>
      <c r="J45" s="21">
        <f t="shared" si="5"/>
        <v>33.096897664907623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totales'!C25</f>
        <v>1117.6799255999745</v>
      </c>
      <c r="D13" s="24">
        <f>+'Resumen importaciones totales'!D25</f>
        <v>1086.5652897399987</v>
      </c>
      <c r="E13" s="24">
        <f>IF(OR(OR(D13=0,C13=0),D13=""),"",(D13/C13-1)*100)</f>
        <v>-2.783859237990105</v>
      </c>
      <c r="F13" s="22">
        <f>(D13/D$13)*100</f>
        <v>100</v>
      </c>
      <c r="G13" s="24">
        <f>+'Resumen importaciones totales'!G25</f>
        <v>276.48818440999844</v>
      </c>
      <c r="H13" s="24">
        <f>+'Resumen importaciones totales'!H25</f>
        <v>296.02373254000031</v>
      </c>
      <c r="I13" s="24">
        <f>IF(OR(OR(H13=0,G13=0),H13=""),"",(H13/G13-1)*100)</f>
        <v>7.0655996283128797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189.41030699999999</v>
      </c>
      <c r="D14" s="24">
        <f>+D15+D19</f>
        <v>181.62070900000001</v>
      </c>
      <c r="E14" s="21">
        <f t="shared" ref="E14:E45" si="0">IF(OR(OR(D14=0,C14=0),D14=""),"",(D14/C14-1)*100)</f>
        <v>-4.1125523332792957</v>
      </c>
      <c r="F14" s="21">
        <f t="shared" ref="F14:F45" si="1">(D14/D$13)*100</f>
        <v>16.715121559189466</v>
      </c>
      <c r="G14" s="21">
        <f>+G15+G19</f>
        <v>51.417439000000002</v>
      </c>
      <c r="H14" s="24">
        <f t="shared" ref="H14" si="2">+H15+H19</f>
        <v>71.421127999999996</v>
      </c>
      <c r="I14" s="21">
        <f t="shared" ref="I14:I45" si="3">IF(OR(OR(H14=0,G14=0),H14=""),"",(H14/G14-1)*100)</f>
        <v>38.904483360207799</v>
      </c>
      <c r="J14" s="21">
        <f>(H14/H$13)*100</f>
        <v>24.126825030945515</v>
      </c>
      <c r="K14" s="16"/>
    </row>
    <row r="15" spans="1:14">
      <c r="A15" s="14"/>
      <c r="B15" s="10" t="s">
        <v>34</v>
      </c>
      <c r="C15" s="21">
        <f>+SUM(C16:C18)</f>
        <v>32.431283000000001</v>
      </c>
      <c r="D15" s="24">
        <f>+SUM(D16:D18)</f>
        <v>30.651427000000002</v>
      </c>
      <c r="E15" s="21">
        <f t="shared" si="0"/>
        <v>-5.4880838355978678</v>
      </c>
      <c r="F15" s="21">
        <f>(D15/D$13)*100</f>
        <v>2.8209466370248677</v>
      </c>
      <c r="G15" s="21">
        <f>+SUM(G16:G18)</f>
        <v>7.3451069999999996</v>
      </c>
      <c r="H15" s="24">
        <f>+SUM(H16:H18)</f>
        <v>9.7033470000000008</v>
      </c>
      <c r="I15" s="21">
        <f t="shared" si="3"/>
        <v>32.106271562824084</v>
      </c>
      <c r="J15" s="21">
        <f t="shared" ref="J15:J45" si="4">(H15/H$13)*100</f>
        <v>3.2778949568473643</v>
      </c>
      <c r="K15" s="16"/>
    </row>
    <row r="16" spans="1:14">
      <c r="A16" s="14" t="s">
        <v>40</v>
      </c>
      <c r="B16" s="9" t="str">
        <f>CONCATENATE(A16,[12]resumen_pais_baja_tek!B7)</f>
        <v xml:space="preserve">   Bolivia</v>
      </c>
      <c r="C16" s="21">
        <f>[12]resumen_pais_baja_tek!C7/1000000</f>
        <v>8.5997000000000004E-2</v>
      </c>
      <c r="D16" s="24">
        <f>[12]resumen_pais_baja_tek!D7/1000000</f>
        <v>9.8799999999999995E-4</v>
      </c>
      <c r="E16" s="21">
        <f t="shared" si="0"/>
        <v>-98.851122713583024</v>
      </c>
      <c r="F16" s="21">
        <f t="shared" si="1"/>
        <v>9.0928728289895575E-5</v>
      </c>
      <c r="G16" s="21">
        <f>[12]resumen_pais_baja_tek!E7/1000000</f>
        <v>3.8404000000000001E-2</v>
      </c>
      <c r="H16" s="24">
        <f>[12]resumen_pais_baja_tek!F7/1000000</f>
        <v>0</v>
      </c>
      <c r="I16" s="21" t="str">
        <f t="shared" si="3"/>
        <v/>
      </c>
      <c r="J16" s="21">
        <f t="shared" si="4"/>
        <v>0</v>
      </c>
      <c r="K16" s="16"/>
    </row>
    <row r="17" spans="1:11">
      <c r="A17" s="14" t="s">
        <v>40</v>
      </c>
      <c r="B17" s="9" t="str">
        <f>CONCATENATE(A17,[12]resumen_pais_baja_tek!B8)</f>
        <v xml:space="preserve">   Ecuador</v>
      </c>
      <c r="C17" s="21">
        <f>[12]resumen_pais_baja_tek!C8/1000000</f>
        <v>12.471028</v>
      </c>
      <c r="D17" s="24">
        <f>[12]resumen_pais_baja_tek!D8/1000000</f>
        <v>14.421233000000001</v>
      </c>
      <c r="E17" s="21">
        <f t="shared" si="0"/>
        <v>15.637884864022444</v>
      </c>
      <c r="F17" s="21">
        <f t="shared" si="1"/>
        <v>1.3272311508727488</v>
      </c>
      <c r="G17" s="21">
        <f>[12]resumen_pais_baja_tek!E8/1000000</f>
        <v>3.5227759999999999</v>
      </c>
      <c r="H17" s="24">
        <f>[12]resumen_pais_baja_tek!F8/1000000</f>
        <v>5.0672870000000003</v>
      </c>
      <c r="I17" s="21">
        <f t="shared" si="3"/>
        <v>43.843576770138107</v>
      </c>
      <c r="J17" s="21">
        <f t="shared" si="4"/>
        <v>1.711784037219138</v>
      </c>
      <c r="K17" s="16"/>
    </row>
    <row r="18" spans="1:11">
      <c r="A18" s="14" t="s">
        <v>40</v>
      </c>
      <c r="B18" s="9" t="str">
        <f>CONCATENATE(A18,[12]resumen_pais_baja_tek!B9)</f>
        <v xml:space="preserve">   Perú </v>
      </c>
      <c r="C18" s="21">
        <f>[12]resumen_pais_baja_tek!C9/1000000</f>
        <v>19.874258000000001</v>
      </c>
      <c r="D18" s="24">
        <f>[12]resumen_pais_baja_tek!D9/1000000</f>
        <v>16.229206000000001</v>
      </c>
      <c r="E18" s="21">
        <f t="shared" si="0"/>
        <v>-18.340568991305229</v>
      </c>
      <c r="F18" s="21">
        <f t="shared" si="1"/>
        <v>1.4936245574238292</v>
      </c>
      <c r="G18" s="21">
        <f>[12]resumen_pais_baja_tek!E9/1000000</f>
        <v>3.7839269999999998</v>
      </c>
      <c r="H18" s="24">
        <f>[12]resumen_pais_baja_tek!F9/1000000</f>
        <v>4.6360599999999996</v>
      </c>
      <c r="I18" s="21">
        <f t="shared" si="3"/>
        <v>22.51980548250534</v>
      </c>
      <c r="J18" s="21">
        <f t="shared" si="4"/>
        <v>1.5661109196282261</v>
      </c>
      <c r="K18" s="16"/>
    </row>
    <row r="19" spans="1:11">
      <c r="A19" s="14"/>
      <c r="B19" s="10" t="s">
        <v>35</v>
      </c>
      <c r="C19" s="21">
        <f>SUM(C20:C27)</f>
        <v>156.97902399999998</v>
      </c>
      <c r="D19" s="24">
        <f>SUM(D20:D27)</f>
        <v>150.96928199999999</v>
      </c>
      <c r="E19" s="21">
        <f t="shared" si="0"/>
        <v>-3.8283726365886839</v>
      </c>
      <c r="F19" s="21">
        <f t="shared" si="1"/>
        <v>13.894174922164598</v>
      </c>
      <c r="G19" s="21">
        <f>SUM(G20:G27)</f>
        <v>44.072332000000003</v>
      </c>
      <c r="H19" s="24">
        <f>SUM(H20:H27)</f>
        <v>61.717780999999995</v>
      </c>
      <c r="I19" s="21">
        <f t="shared" si="3"/>
        <v>40.037475212339558</v>
      </c>
      <c r="J19" s="21">
        <f t="shared" si="4"/>
        <v>20.848930074098149</v>
      </c>
      <c r="K19" s="16"/>
    </row>
    <row r="20" spans="1:11">
      <c r="A20" s="14" t="s">
        <v>40</v>
      </c>
      <c r="B20" s="9" t="str">
        <f>CONCATENATE(A20,[12]resumen_pais_baja_tek!B23)</f>
        <v xml:space="preserve">   Argentina</v>
      </c>
      <c r="C20" s="21">
        <f>[12]resumen_pais_baja_tek!C23/1000000</f>
        <v>5.0665849999999999</v>
      </c>
      <c r="D20" s="24">
        <f>[12]resumen_pais_baja_tek!D23/1000000</f>
        <v>3.5044940000000002</v>
      </c>
      <c r="E20" s="21">
        <f t="shared" si="0"/>
        <v>-30.831240371966516</v>
      </c>
      <c r="F20" s="21">
        <f t="shared" si="1"/>
        <v>0.32252953716555599</v>
      </c>
      <c r="G20" s="21">
        <f>[12]resumen_pais_baja_tek!E23/1000000</f>
        <v>1.5568249999999999</v>
      </c>
      <c r="H20" s="24">
        <f>[12]resumen_pais_baja_tek!F23/1000000</f>
        <v>0.75465400000000005</v>
      </c>
      <c r="I20" s="21">
        <f t="shared" si="3"/>
        <v>-51.526086747065335</v>
      </c>
      <c r="J20" s="21">
        <f t="shared" si="4"/>
        <v>0.25493023600667802</v>
      </c>
      <c r="K20" s="16"/>
    </row>
    <row r="21" spans="1:11">
      <c r="A21" s="14" t="s">
        <v>40</v>
      </c>
      <c r="B21" s="9" t="str">
        <f>CONCATENATE(A21,[12]resumen_pais_baja_tek!B24)</f>
        <v xml:space="preserve">   Brasil </v>
      </c>
      <c r="C21" s="21">
        <f>[12]resumen_pais_baja_tek!C24/1000000</f>
        <v>44.694032999999997</v>
      </c>
      <c r="D21" s="24">
        <f>[12]resumen_pais_baja_tek!D24/1000000</f>
        <v>41.362580000000001</v>
      </c>
      <c r="E21" s="21">
        <f t="shared" si="0"/>
        <v>-7.4539100107613887</v>
      </c>
      <c r="F21" s="21">
        <f t="shared" si="1"/>
        <v>3.8067275285314466</v>
      </c>
      <c r="G21" s="21">
        <f>[12]resumen_pais_baja_tek!E24/1000000</f>
        <v>10.888379</v>
      </c>
      <c r="H21" s="24">
        <f>[12]resumen_pais_baja_tek!F24/1000000</f>
        <v>14.979388</v>
      </c>
      <c r="I21" s="21">
        <f t="shared" si="3"/>
        <v>37.572250194450433</v>
      </c>
      <c r="J21" s="21">
        <f t="shared" si="4"/>
        <v>5.0601983400016435</v>
      </c>
      <c r="K21" s="16"/>
    </row>
    <row r="22" spans="1:11">
      <c r="A22" s="14" t="s">
        <v>40</v>
      </c>
      <c r="B22" s="9" t="str">
        <f>CONCATENATE(A22,[12]resumen_pais_baja_tek!B25)</f>
        <v xml:space="preserve">   Cuba </v>
      </c>
      <c r="C22" s="21">
        <f>[12]resumen_pais_baja_tek!C25/1000000</f>
        <v>0</v>
      </c>
      <c r="D22" s="24">
        <f>[12]resumen_pais_baja_tek!D25/1000000</f>
        <v>1.0399999999999999E-4</v>
      </c>
      <c r="E22" s="21" t="str">
        <f t="shared" si="0"/>
        <v/>
      </c>
      <c r="F22" s="21">
        <f t="shared" si="1"/>
        <v>9.5714450831469015E-6</v>
      </c>
      <c r="G22" s="21">
        <f>[12]resumen_pais_baja_tek!E25/1000000</f>
        <v>0</v>
      </c>
      <c r="H22" s="24">
        <f>[12]resumen_pais_baja_tek!F25/1000000</f>
        <v>0</v>
      </c>
      <c r="I22" s="21" t="str">
        <f t="shared" si="3"/>
        <v/>
      </c>
      <c r="J22" s="21">
        <f t="shared" si="4"/>
        <v>0</v>
      </c>
      <c r="K22" s="16"/>
    </row>
    <row r="23" spans="1:11">
      <c r="A23" s="14" t="s">
        <v>40</v>
      </c>
      <c r="B23" s="9" t="str">
        <f>CONCATENATE(A23,[12]resumen_pais_baja_tek!B26)</f>
        <v xml:space="preserve">   Chile </v>
      </c>
      <c r="C23" s="21">
        <f>[12]resumen_pais_baja_tek!C26/1000000</f>
        <v>12.388798</v>
      </c>
      <c r="D23" s="24">
        <f>[12]resumen_pais_baja_tek!D26/1000000</f>
        <v>9.8985520000000005</v>
      </c>
      <c r="E23" s="21">
        <f t="shared" si="0"/>
        <v>-20.100787824613807</v>
      </c>
      <c r="F23" s="21">
        <f t="shared" si="1"/>
        <v>0.91099468144878792</v>
      </c>
      <c r="G23" s="21">
        <f>[12]resumen_pais_baja_tek!E26/1000000</f>
        <v>2.9765429999999999</v>
      </c>
      <c r="H23" s="24">
        <f>[12]resumen_pais_baja_tek!F26/1000000</f>
        <v>2.0277759999999998</v>
      </c>
      <c r="I23" s="21">
        <f t="shared" si="3"/>
        <v>-31.874795694199619</v>
      </c>
      <c r="J23" s="21">
        <f t="shared" si="4"/>
        <v>0.6850045375081526</v>
      </c>
      <c r="K23" s="16"/>
    </row>
    <row r="24" spans="1:11">
      <c r="A24" s="14" t="s">
        <v>40</v>
      </c>
      <c r="B24" s="9" t="str">
        <f>CONCATENATE(A24,[12]resumen_pais_baja_tek!B27)</f>
        <v xml:space="preserve">   México </v>
      </c>
      <c r="C24" s="21">
        <f>[12]resumen_pais_baja_tek!C27/1000000</f>
        <v>63.325518000000002</v>
      </c>
      <c r="D24" s="24">
        <f>[12]resumen_pais_baja_tek!D27/1000000</f>
        <v>88.593204999999998</v>
      </c>
      <c r="E24" s="21">
        <f t="shared" si="0"/>
        <v>39.901271711666041</v>
      </c>
      <c r="F24" s="21">
        <f t="shared" si="1"/>
        <v>8.1535095807449576</v>
      </c>
      <c r="G24" s="21">
        <f>[12]resumen_pais_baja_tek!E27/1000000</f>
        <v>20.891390000000001</v>
      </c>
      <c r="H24" s="24">
        <f>[12]resumen_pais_baja_tek!F27/1000000</f>
        <v>37.737744999999997</v>
      </c>
      <c r="I24" s="21">
        <f t="shared" si="3"/>
        <v>80.637789060469387</v>
      </c>
      <c r="J24" s="21">
        <f t="shared" si="4"/>
        <v>12.748216055582864</v>
      </c>
      <c r="K24" s="16"/>
    </row>
    <row r="25" spans="1:11">
      <c r="A25" s="14" t="s">
        <v>40</v>
      </c>
      <c r="B25" s="9" t="str">
        <f>CONCATENATE(A25,[12]resumen_pais_baja_tek!B28)</f>
        <v xml:space="preserve">   Paraguay </v>
      </c>
      <c r="C25" s="21">
        <f>[12]resumen_pais_baja_tek!C28/1000000</f>
        <v>0.256714</v>
      </c>
      <c r="D25" s="24">
        <f>[12]resumen_pais_baja_tek!D28/1000000</f>
        <v>0.129692</v>
      </c>
      <c r="E25" s="21">
        <f t="shared" si="0"/>
        <v>-49.47996603223821</v>
      </c>
      <c r="F25" s="21">
        <f t="shared" si="1"/>
        <v>1.1935960151187386E-2</v>
      </c>
      <c r="G25" s="21">
        <f>[12]resumen_pais_baja_tek!E28/1000000</f>
        <v>0.16974600000000001</v>
      </c>
      <c r="H25" s="24">
        <f>[12]resumen_pais_baja_tek!F28/1000000</f>
        <v>9.0506000000000003E-2</v>
      </c>
      <c r="I25" s="21">
        <f t="shared" si="3"/>
        <v>-46.6815123773167</v>
      </c>
      <c r="J25" s="21">
        <f t="shared" si="4"/>
        <v>3.0573900012483068E-2</v>
      </c>
      <c r="K25" s="16"/>
    </row>
    <row r="26" spans="1:11">
      <c r="A26" s="14" t="s">
        <v>40</v>
      </c>
      <c r="B26" s="9" t="str">
        <f>CONCATENATE(A26,[12]resumen_pais_baja_tek!B29)</f>
        <v xml:space="preserve">   Uruguay </v>
      </c>
      <c r="C26" s="21">
        <f>[12]resumen_pais_baja_tek!C29/1000000</f>
        <v>0.83732200000000001</v>
      </c>
      <c r="D26" s="24">
        <f>[12]resumen_pais_baja_tek!D29/1000000</f>
        <v>0.66666800000000004</v>
      </c>
      <c r="E26" s="21">
        <f t="shared" si="0"/>
        <v>-20.380928722761372</v>
      </c>
      <c r="F26" s="21">
        <f t="shared" si="1"/>
        <v>6.1355539910494042E-2</v>
      </c>
      <c r="G26" s="21">
        <f>[12]resumen_pais_baja_tek!E29/1000000</f>
        <v>0.13731199999999999</v>
      </c>
      <c r="H26" s="24">
        <f>[12]resumen_pais_baja_tek!F29/1000000</f>
        <v>0.15981999999999999</v>
      </c>
      <c r="I26" s="21">
        <f t="shared" si="3"/>
        <v>16.391866697739466</v>
      </c>
      <c r="J26" s="21">
        <f t="shared" si="4"/>
        <v>5.3988914547047087E-2</v>
      </c>
      <c r="K26" s="16"/>
    </row>
    <row r="27" spans="1:11">
      <c r="A27" s="14" t="s">
        <v>40</v>
      </c>
      <c r="B27" s="9" t="str">
        <f>CONCATENATE(A27,[12]resumen_pais_baja_tek!B30)</f>
        <v xml:space="preserve">   Venezuela</v>
      </c>
      <c r="C27" s="21">
        <f>[12]resumen_pais_baja_tek!C30/1000000</f>
        <v>30.410053999999999</v>
      </c>
      <c r="D27" s="24">
        <f>[12]resumen_pais_baja_tek!D30/1000000</f>
        <v>6.813987</v>
      </c>
      <c r="E27" s="21">
        <f t="shared" si="0"/>
        <v>-77.592979611282516</v>
      </c>
      <c r="F27" s="21">
        <f>(D27/D$13)*100</f>
        <v>0.62711252276708573</v>
      </c>
      <c r="G27" s="21">
        <f>[12]resumen_pais_baja_tek!E30/1000000</f>
        <v>7.4521369999999996</v>
      </c>
      <c r="H27" s="24">
        <f>[12]resumen_pais_baja_tek!F30/1000000</f>
        <v>5.967892</v>
      </c>
      <c r="I27" s="21">
        <f t="shared" si="3"/>
        <v>-19.917038562227184</v>
      </c>
      <c r="J27" s="21">
        <f t="shared" si="4"/>
        <v>2.0160180904392813</v>
      </c>
      <c r="K27" s="16"/>
    </row>
    <row r="28" spans="1:11">
      <c r="A28" s="14" t="s">
        <v>40</v>
      </c>
      <c r="B28" s="9" t="str">
        <f>+[12]resumen_pais_baja_tek!B44</f>
        <v xml:space="preserve">Canadá </v>
      </c>
      <c r="C28" s="21">
        <f>+[12]resumen_pais_baja_tek!C44/1000000</f>
        <v>9.0641119999999997</v>
      </c>
      <c r="D28" s="24">
        <f>+[12]resumen_pais_baja_tek!D44/1000000</f>
        <v>7.0365640000000003</v>
      </c>
      <c r="E28" s="21">
        <f t="shared" si="0"/>
        <v>-22.368964549423044</v>
      </c>
      <c r="F28" s="21">
        <f>(D28/D$13)*100</f>
        <v>0.64759697980815867</v>
      </c>
      <c r="G28" s="21">
        <f>+[12]resumen_pais_baja_tek!E44/1000000</f>
        <v>3.4664899999999998</v>
      </c>
      <c r="H28" s="24">
        <f>+[12]resumen_pais_baja_tek!F44/1000000</f>
        <v>2.5248680000000001</v>
      </c>
      <c r="I28" s="21">
        <f t="shared" si="3"/>
        <v>-27.163557373596912</v>
      </c>
      <c r="J28" s="21">
        <f t="shared" si="4"/>
        <v>0.85292756034647554</v>
      </c>
      <c r="K28" s="16"/>
    </row>
    <row r="29" spans="1:11">
      <c r="A29" s="14" t="s">
        <v>40</v>
      </c>
      <c r="B29" s="9" t="str">
        <f>+[12]resumen_pais_baja_tek!B45</f>
        <v>Estados Unidos</v>
      </c>
      <c r="C29" s="21">
        <f>+[12]resumen_pais_baja_tek!C45/1000000</f>
        <v>162.311567</v>
      </c>
      <c r="D29" s="24">
        <f>+[12]resumen_pais_baja_tek!D45/1000000</f>
        <v>171.731067</v>
      </c>
      <c r="E29" s="21">
        <f t="shared" si="0"/>
        <v>5.80334487190306</v>
      </c>
      <c r="F29" s="21">
        <f t="shared" si="1"/>
        <v>15.80494689289155</v>
      </c>
      <c r="G29" s="21">
        <f>+[12]resumen_pais_baja_tek!E45/1000000</f>
        <v>36.292980999999997</v>
      </c>
      <c r="H29" s="24">
        <f>+[12]resumen_pais_baja_tek!F45/1000000</f>
        <v>48.781872</v>
      </c>
      <c r="I29" s="21">
        <f t="shared" si="3"/>
        <v>34.411312203866643</v>
      </c>
      <c r="J29" s="21">
        <f t="shared" si="4"/>
        <v>16.479040913859276</v>
      </c>
      <c r="K29" s="16"/>
    </row>
    <row r="30" spans="1:11">
      <c r="A30" s="14"/>
      <c r="B30" s="10" t="s">
        <v>32</v>
      </c>
      <c r="C30" s="21">
        <f>SUM(C31:C41)</f>
        <v>134.10776200000001</v>
      </c>
      <c r="D30" s="24">
        <f>SUM(D31:D41)</f>
        <v>135.37294499999999</v>
      </c>
      <c r="E30" s="21">
        <f t="shared" si="0"/>
        <v>0.94340773504220099</v>
      </c>
      <c r="F30" s="21">
        <f t="shared" si="1"/>
        <v>12.458795277032365</v>
      </c>
      <c r="G30" s="21">
        <f>SUM(G31:G41)</f>
        <v>41.284299999999995</v>
      </c>
      <c r="H30" s="24">
        <f>SUM(H31:H41)</f>
        <v>39.567691999999994</v>
      </c>
      <c r="I30" s="21">
        <f t="shared" si="3"/>
        <v>-4.1580164856858453</v>
      </c>
      <c r="J30" s="21">
        <f t="shared" si="4"/>
        <v>13.366391829632576</v>
      </c>
      <c r="K30" s="16"/>
    </row>
    <row r="31" spans="1:11">
      <c r="A31" s="14" t="s">
        <v>40</v>
      </c>
      <c r="B31" s="9" t="str">
        <f>CONCATENATE(A31,[12]resumen_pais_baja_tek!B59)</f>
        <v xml:space="preserve">   Alemania </v>
      </c>
      <c r="C31" s="21">
        <f>[12]resumen_pais_baja_tek!C59/1000000</f>
        <v>33.566136999999998</v>
      </c>
      <c r="D31" s="24">
        <f>[12]resumen_pais_baja_tek!D59/1000000</f>
        <v>31.124324999999999</v>
      </c>
      <c r="E31" s="21">
        <f t="shared" si="0"/>
        <v>-7.274629189531101</v>
      </c>
      <c r="F31" s="21">
        <f t="shared" si="1"/>
        <v>2.8644689181491945</v>
      </c>
      <c r="G31" s="21">
        <f>[12]resumen_pais_baja_tek!E59/1000000</f>
        <v>15.513203000000001</v>
      </c>
      <c r="H31" s="24">
        <f>[12]resumen_pais_baja_tek!F59/1000000</f>
        <v>8.5476849999999995</v>
      </c>
      <c r="I31" s="21">
        <f t="shared" si="3"/>
        <v>-44.900579203405002</v>
      </c>
      <c r="J31" s="21">
        <f t="shared" si="4"/>
        <v>2.8874999063951705</v>
      </c>
      <c r="K31" s="16"/>
    </row>
    <row r="32" spans="1:11">
      <c r="A32" s="14" t="s">
        <v>40</v>
      </c>
      <c r="B32" s="9" t="str">
        <f>CONCATENATE(A32,[12]resumen_pais_baja_tek!B60)</f>
        <v xml:space="preserve">   Austria </v>
      </c>
      <c r="C32" s="21">
        <f>[12]resumen_pais_baja_tek!C60/1000000</f>
        <v>5.5870980000000001</v>
      </c>
      <c r="D32" s="24">
        <f>[12]resumen_pais_baja_tek!D60/1000000</f>
        <v>6.0800020000000004</v>
      </c>
      <c r="E32" s="21">
        <f t="shared" si="0"/>
        <v>8.8221828219229295</v>
      </c>
      <c r="F32" s="21">
        <f t="shared" si="1"/>
        <v>0.55956158892714747</v>
      </c>
      <c r="G32" s="21">
        <f>[12]resumen_pais_baja_tek!E60/1000000</f>
        <v>1.3397509999999999</v>
      </c>
      <c r="H32" s="24">
        <f>[12]resumen_pais_baja_tek!F60/1000000</f>
        <v>1.4536500000000001</v>
      </c>
      <c r="I32" s="21">
        <f t="shared" si="3"/>
        <v>8.5015051304309743</v>
      </c>
      <c r="J32" s="21">
        <f t="shared" si="4"/>
        <v>0.49105860112198102</v>
      </c>
      <c r="K32" s="16"/>
    </row>
    <row r="33" spans="1:11">
      <c r="A33" s="14" t="s">
        <v>40</v>
      </c>
      <c r="B33" s="9" t="str">
        <f>CONCATENATE(A33,[12]resumen_pais_baja_tek!B61)</f>
        <v xml:space="preserve">   Bélgica </v>
      </c>
      <c r="C33" s="21">
        <f>[12]resumen_pais_baja_tek!C61/1000000</f>
        <v>2.0948929999999999</v>
      </c>
      <c r="D33" s="24">
        <f>[12]resumen_pais_baja_tek!D61/1000000</f>
        <v>4.3241230000000002</v>
      </c>
      <c r="E33" s="21">
        <f t="shared" si="0"/>
        <v>106.41259481987863</v>
      </c>
      <c r="F33" s="21">
        <f t="shared" si="1"/>
        <v>0.39796255603146574</v>
      </c>
      <c r="G33" s="21">
        <f>[12]resumen_pais_baja_tek!E61/1000000</f>
        <v>0.59401499999999996</v>
      </c>
      <c r="H33" s="24">
        <f>[12]resumen_pais_baja_tek!F61/1000000</f>
        <v>1.564775</v>
      </c>
      <c r="I33" s="21">
        <f t="shared" si="3"/>
        <v>163.42348257198896</v>
      </c>
      <c r="J33" s="21">
        <f t="shared" si="4"/>
        <v>0.52859782105090491</v>
      </c>
      <c r="K33" s="16"/>
    </row>
    <row r="34" spans="1:11">
      <c r="A34" s="14" t="s">
        <v>40</v>
      </c>
      <c r="B34" s="9" t="str">
        <f>CONCATENATE(A34,[12]resumen_pais_baja_tek!B62)</f>
        <v xml:space="preserve">   España </v>
      </c>
      <c r="C34" s="21">
        <f>[12]resumen_pais_baja_tek!C62/1000000</f>
        <v>19.448322000000001</v>
      </c>
      <c r="D34" s="24">
        <f>[12]resumen_pais_baja_tek!D62/1000000</f>
        <v>21.794127</v>
      </c>
      <c r="E34" s="21">
        <f t="shared" si="0"/>
        <v>12.061734683331537</v>
      </c>
      <c r="F34" s="21">
        <f t="shared" si="1"/>
        <v>2.0057816318810495</v>
      </c>
      <c r="G34" s="21">
        <f>[12]resumen_pais_baja_tek!E62/1000000</f>
        <v>5.8122949999999998</v>
      </c>
      <c r="H34" s="24">
        <f>[12]resumen_pais_baja_tek!F62/1000000</f>
        <v>6.5737740000000002</v>
      </c>
      <c r="I34" s="21">
        <f t="shared" si="3"/>
        <v>13.101176041477602</v>
      </c>
      <c r="J34" s="21">
        <f t="shared" si="4"/>
        <v>2.2206915450982354</v>
      </c>
      <c r="K34" s="16"/>
    </row>
    <row r="35" spans="1:11">
      <c r="A35" s="14" t="s">
        <v>40</v>
      </c>
      <c r="B35" s="9" t="str">
        <f>CONCATENATE(A35,[12]resumen_pais_baja_tek!B63)</f>
        <v xml:space="preserve">   Finlandia </v>
      </c>
      <c r="C35" s="21">
        <f>[12]resumen_pais_baja_tek!C63/1000000</f>
        <v>1.4696549999999999</v>
      </c>
      <c r="D35" s="24">
        <f>[12]resumen_pais_baja_tek!D63/1000000</f>
        <v>4.5928259999999996</v>
      </c>
      <c r="E35" s="21">
        <f t="shared" si="0"/>
        <v>212.51048715514864</v>
      </c>
      <c r="F35" s="21">
        <f t="shared" si="1"/>
        <v>0.42269213303316594</v>
      </c>
      <c r="G35" s="21">
        <f>[12]resumen_pais_baja_tek!E63/1000000</f>
        <v>0.33178800000000003</v>
      </c>
      <c r="H35" s="24">
        <f>[12]resumen_pais_baja_tek!F63/1000000</f>
        <v>1.8693169999999999</v>
      </c>
      <c r="I35" s="21">
        <f t="shared" si="3"/>
        <v>463.40705510747819</v>
      </c>
      <c r="J35" s="21">
        <f t="shared" si="4"/>
        <v>0.63147538339596054</v>
      </c>
      <c r="K35" s="16"/>
    </row>
    <row r="36" spans="1:11">
      <c r="A36" s="14" t="s">
        <v>40</v>
      </c>
      <c r="B36" s="9" t="str">
        <f>CONCATENATE(A36,[12]resumen_pais_baja_tek!B64)</f>
        <v xml:space="preserve">   Francia </v>
      </c>
      <c r="C36" s="21">
        <f>[12]resumen_pais_baja_tek!C64/1000000</f>
        <v>9.3450059999999997</v>
      </c>
      <c r="D36" s="24">
        <f>[12]resumen_pais_baja_tek!D64/1000000</f>
        <v>9.5681530000000006</v>
      </c>
      <c r="E36" s="21">
        <f t="shared" si="0"/>
        <v>2.3878743363032751</v>
      </c>
      <c r="F36" s="21">
        <f t="shared" si="1"/>
        <v>0.8805870287177624</v>
      </c>
      <c r="G36" s="21">
        <f>[12]resumen_pais_baja_tek!E64/1000000</f>
        <v>2.6704469999999998</v>
      </c>
      <c r="H36" s="24">
        <f>[12]resumen_pais_baja_tek!F64/1000000</f>
        <v>2.5677120000000002</v>
      </c>
      <c r="I36" s="21">
        <f t="shared" si="3"/>
        <v>-3.847108742468941</v>
      </c>
      <c r="J36" s="21">
        <f t="shared" si="4"/>
        <v>0.86740072424870107</v>
      </c>
      <c r="K36" s="16"/>
    </row>
    <row r="37" spans="1:11">
      <c r="A37" s="14" t="s">
        <v>40</v>
      </c>
      <c r="B37" s="7" t="str">
        <f>CONCATENATE(A37,[12]resumen_pais_baja_tek!B65)</f>
        <v xml:space="preserve">   Irlanda </v>
      </c>
      <c r="C37" s="21">
        <f>[12]resumen_pais_baja_tek!C65/1000000</f>
        <v>12.310264999999999</v>
      </c>
      <c r="D37" s="24">
        <f>[12]resumen_pais_baja_tek!D65/1000000</f>
        <v>11.473553000000001</v>
      </c>
      <c r="E37" s="21">
        <f t="shared" si="0"/>
        <v>-6.7968642429712016</v>
      </c>
      <c r="F37" s="21">
        <f t="shared" si="1"/>
        <v>1.0559469466161095</v>
      </c>
      <c r="G37" s="21">
        <f>[12]resumen_pais_baja_tek!E65/1000000</f>
        <v>2.933929</v>
      </c>
      <c r="H37" s="24">
        <f>[12]resumen_pais_baja_tek!F65/1000000</f>
        <v>3.2639239999999998</v>
      </c>
      <c r="I37" s="21">
        <f t="shared" si="3"/>
        <v>11.247545526834489</v>
      </c>
      <c r="J37" s="21">
        <f t="shared" si="4"/>
        <v>1.1025886242276068</v>
      </c>
      <c r="K37" s="16"/>
    </row>
    <row r="38" spans="1:11">
      <c r="A38" s="14" t="s">
        <v>40</v>
      </c>
      <c r="B38" s="7" t="str">
        <f>CONCATENATE(A38,[12]resumen_pais_baja_tek!B66)</f>
        <v xml:space="preserve">   Italia </v>
      </c>
      <c r="C38" s="21">
        <f>[12]resumen_pais_baja_tek!C66/1000000</f>
        <v>22.246230000000001</v>
      </c>
      <c r="D38" s="24">
        <f>[12]resumen_pais_baja_tek!D66/1000000</f>
        <v>22.277099</v>
      </c>
      <c r="E38" s="21">
        <f t="shared" si="0"/>
        <v>0.13876058999660046</v>
      </c>
      <c r="F38" s="21">
        <f t="shared" si="1"/>
        <v>2.0502310547146805</v>
      </c>
      <c r="G38" s="21">
        <f>[12]resumen_pais_baja_tek!E66/1000000</f>
        <v>5.6378180000000002</v>
      </c>
      <c r="H38" s="24">
        <f>[12]resumen_pais_baja_tek!F66/1000000</f>
        <v>6.5299940000000003</v>
      </c>
      <c r="I38" s="21">
        <f t="shared" si="3"/>
        <v>15.824845711585578</v>
      </c>
      <c r="J38" s="21">
        <f t="shared" si="4"/>
        <v>2.2059021903311864</v>
      </c>
      <c r="K38" s="16"/>
    </row>
    <row r="39" spans="1:11">
      <c r="A39" s="14" t="s">
        <v>40</v>
      </c>
      <c r="B39" s="7" t="str">
        <f>CONCATENATE(A39,[12]resumen_pais_baja_tek!B67)</f>
        <v xml:space="preserve">   Países Bajos </v>
      </c>
      <c r="C39" s="21">
        <f>[12]resumen_pais_baja_tek!C67/1000000</f>
        <v>6.9809960000000002</v>
      </c>
      <c r="D39" s="24">
        <f>[12]resumen_pais_baja_tek!D67/1000000</f>
        <v>4.6041069999999999</v>
      </c>
      <c r="E39" s="21">
        <f t="shared" si="0"/>
        <v>-34.047992578709398</v>
      </c>
      <c r="F39" s="21">
        <f t="shared" si="1"/>
        <v>0.42373035872531001</v>
      </c>
      <c r="G39" s="21">
        <f>[12]resumen_pais_baja_tek!E67/1000000</f>
        <v>1.602366</v>
      </c>
      <c r="H39" s="24">
        <f>[12]resumen_pais_baja_tek!F67/1000000</f>
        <v>1.1114360000000001</v>
      </c>
      <c r="I39" s="21">
        <f t="shared" si="3"/>
        <v>-30.637819324673632</v>
      </c>
      <c r="J39" s="21">
        <f t="shared" si="4"/>
        <v>0.37545503208929942</v>
      </c>
      <c r="K39" s="16"/>
    </row>
    <row r="40" spans="1:11">
      <c r="A40" s="14" t="s">
        <v>40</v>
      </c>
      <c r="B40" s="9" t="str">
        <f>CONCATENATE(A40,[12]resumen_pais_baja_tek!B68)</f>
        <v xml:space="preserve">   Reino Unido </v>
      </c>
      <c r="C40" s="21">
        <f>[12]resumen_pais_baja_tek!C68/1000000</f>
        <v>8.870628</v>
      </c>
      <c r="D40" s="24">
        <f>[12]resumen_pais_baja_tek!D68/1000000</f>
        <v>6.2083170000000001</v>
      </c>
      <c r="E40" s="21">
        <f t="shared" si="0"/>
        <v>-30.012655248309361</v>
      </c>
      <c r="F40" s="21">
        <f t="shared" si="1"/>
        <v>0.57137081946410895</v>
      </c>
      <c r="G40" s="21">
        <f>[12]resumen_pais_baja_tek!E68/1000000</f>
        <v>2.2380499999999999</v>
      </c>
      <c r="H40" s="24">
        <f>[12]resumen_pais_baja_tek!F68/1000000</f>
        <v>1.3707100000000001</v>
      </c>
      <c r="I40" s="21">
        <f t="shared" si="3"/>
        <v>-38.754272692745907</v>
      </c>
      <c r="J40" s="21">
        <f t="shared" si="4"/>
        <v>0.46304057726681846</v>
      </c>
      <c r="K40" s="16"/>
    </row>
    <row r="41" spans="1:11">
      <c r="A41" s="14" t="s">
        <v>40</v>
      </c>
      <c r="B41" s="9" t="str">
        <f>CONCATENATE(A41,[12]resumen_pais_baja_tek!B69)</f>
        <v xml:space="preserve">   Resto </v>
      </c>
      <c r="C41" s="21">
        <f>[12]resumen_pais_baja_tek!C69/1000000</f>
        <v>12.188532</v>
      </c>
      <c r="D41" s="24">
        <f>[12]resumen_pais_baja_tek!D69/1000000</f>
        <v>13.326313000000001</v>
      </c>
      <c r="E41" s="21">
        <f t="shared" si="0"/>
        <v>9.3348485281082194</v>
      </c>
      <c r="F41" s="21">
        <f t="shared" si="1"/>
        <v>1.2264622407723718</v>
      </c>
      <c r="G41" s="21">
        <f>[12]resumen_pais_baja_tek!E69/1000000</f>
        <v>2.6106379999999998</v>
      </c>
      <c r="H41" s="24">
        <f>[12]resumen_pais_baja_tek!F69/1000000</f>
        <v>4.714715</v>
      </c>
      <c r="I41" s="21">
        <f t="shared" si="3"/>
        <v>80.596275699656573</v>
      </c>
      <c r="J41" s="21">
        <f t="shared" si="4"/>
        <v>1.5926814244067147</v>
      </c>
      <c r="K41" s="16"/>
    </row>
    <row r="42" spans="1:11">
      <c r="A42" s="14"/>
      <c r="B42" s="9" t="str">
        <f>+[12]resumen_pais_baja_tek!B83</f>
        <v>Corea del Sur</v>
      </c>
      <c r="C42" s="21">
        <f>+[12]resumen_pais_baja_tek!C83/1000000</f>
        <v>13.383635999999999</v>
      </c>
      <c r="D42" s="24">
        <f>+[12]resumen_pais_baja_tek!D83/1000000</f>
        <v>17.173984999999998</v>
      </c>
      <c r="E42" s="21">
        <f t="shared" si="0"/>
        <v>28.320771724514927</v>
      </c>
      <c r="F42" s="21">
        <f t="shared" si="1"/>
        <v>1.5805755219835447</v>
      </c>
      <c r="G42" s="21">
        <f>+[12]resumen_pais_baja_tek!E83/1000000</f>
        <v>1.9348920000000001</v>
      </c>
      <c r="H42" s="24">
        <f>+[12]resumen_pais_baja_tek!F83/1000000</f>
        <v>5.3548910000000003</v>
      </c>
      <c r="I42" s="21">
        <f t="shared" si="3"/>
        <v>176.75399970644355</v>
      </c>
      <c r="J42" s="21">
        <f t="shared" si="4"/>
        <v>1.8089397610296056</v>
      </c>
      <c r="K42" s="16"/>
    </row>
    <row r="43" spans="1:11">
      <c r="A43" s="14"/>
      <c r="B43" s="9" t="str">
        <f>+[12]resumen_pais_baja_tek!B84</f>
        <v xml:space="preserve">China </v>
      </c>
      <c r="C43" s="21">
        <f>+[12]resumen_pais_baja_tek!C84/1000000</f>
        <v>390.441442</v>
      </c>
      <c r="D43" s="24">
        <f>+[12]resumen_pais_baja_tek!D84/1000000</f>
        <v>381.963548</v>
      </c>
      <c r="E43" s="21">
        <f t="shared" ref="E43:E44" si="5">IF(OR(OR(D43=0,C43=0),D43=""),"",(D43/C43-1)*100)</f>
        <v>-2.1713612050433873</v>
      </c>
      <c r="F43" s="21">
        <f t="shared" ref="F43:F44" si="6">(D43/D$13)*100</f>
        <v>35.153299263903328</v>
      </c>
      <c r="G43" s="21">
        <f>+[12]resumen_pais_baja_tek!E84/1000000</f>
        <v>86.963946000000007</v>
      </c>
      <c r="H43" s="24">
        <f>+[12]resumen_pais_baja_tek!F84/1000000</f>
        <v>74.642506999999995</v>
      </c>
      <c r="I43" s="21">
        <f t="shared" ref="I43:I44" si="7">IF(OR(OR(H43=0,G43=0),H43=""),"",(H43/G43-1)*100)</f>
        <v>-14.168445162320499</v>
      </c>
      <c r="J43" s="21">
        <f t="shared" ref="J43:J44" si="8">(H43/H$13)*100</f>
        <v>25.215041496686048</v>
      </c>
      <c r="K43" s="16"/>
    </row>
    <row r="44" spans="1:11">
      <c r="A44" s="14"/>
      <c r="B44" s="9" t="str">
        <f>+[12]resumen_pais_baja_tek!B85</f>
        <v xml:space="preserve">Japón </v>
      </c>
      <c r="C44" s="21">
        <f>+[12]resumen_pais_baja_tek!C85/1000000</f>
        <v>10.864934999999999</v>
      </c>
      <c r="D44" s="24">
        <f>+[12]resumen_pais_baja_tek!D85/1000000</f>
        <v>8.8955749999999991</v>
      </c>
      <c r="E44" s="21">
        <f t="shared" si="5"/>
        <v>-18.125833242444621</v>
      </c>
      <c r="F44" s="21">
        <f t="shared" si="6"/>
        <v>0.81868757303379325</v>
      </c>
      <c r="G44" s="21">
        <f>+[12]resumen_pais_baja_tek!E85/1000000</f>
        <v>4.3062649999999998</v>
      </c>
      <c r="H44" s="24">
        <f>+[12]resumen_pais_baja_tek!F85/1000000</f>
        <v>1.510094</v>
      </c>
      <c r="I44" s="21">
        <f t="shared" si="7"/>
        <v>-64.932627230326048</v>
      </c>
      <c r="J44" s="21">
        <f t="shared" si="8"/>
        <v>0.51012599126522673</v>
      </c>
      <c r="K44" s="16"/>
    </row>
    <row r="45" spans="1:11">
      <c r="A45" s="14"/>
      <c r="B45" s="9" t="s">
        <v>2</v>
      </c>
      <c r="C45" s="21">
        <f>+C13-C14-C30-C28-C29-C42-C43-C44</f>
        <v>208.09616459997449</v>
      </c>
      <c r="D45" s="24">
        <f>+D13-D14-D30-D28-D29-D42-D43-D44</f>
        <v>182.77089673999859</v>
      </c>
      <c r="E45" s="21">
        <f t="shared" si="0"/>
        <v>-12.169983002165818</v>
      </c>
      <c r="F45" s="21">
        <f t="shared" si="1"/>
        <v>16.820976932157787</v>
      </c>
      <c r="G45" s="21">
        <f>+G13-G14-G30-G28-G29-G42-G43-G44</f>
        <v>50.821871409998451</v>
      </c>
      <c r="H45" s="24">
        <f>+H13-H14-H30-H28-H29-H42-H43-H44</f>
        <v>52.220680540000309</v>
      </c>
      <c r="I45" s="21">
        <f t="shared" si="3"/>
        <v>2.7523762726428425</v>
      </c>
      <c r="J45" s="21">
        <f t="shared" si="4"/>
        <v>17.640707416235273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totales'!C26</f>
        <v>2918.3510972700524</v>
      </c>
      <c r="D13" s="24">
        <f>+'Resumen importaciones totales'!D26</f>
        <v>2696.7597739900416</v>
      </c>
      <c r="E13" s="24">
        <f>IF(OR(OR(D13=0,C13=0),D13=""),"",(D13/C13-1)*100)</f>
        <v>-7.593031677624273</v>
      </c>
      <c r="F13" s="22">
        <f>(D13/D$13)*100</f>
        <v>100</v>
      </c>
      <c r="G13" s="24">
        <f>+'Resumen importaciones totales'!G26</f>
        <v>724.82486959000221</v>
      </c>
      <c r="H13" s="24">
        <f>+'Resumen importaciones totales'!H26</f>
        <v>809.20029579000106</v>
      </c>
      <c r="I13" s="24">
        <f>IF(OR(OR(H13=0,G13=0),H13=""),"",(H13/G13-1)*100)</f>
        <v>11.640801763290188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+C15+C19</f>
        <v>762.74649999999986</v>
      </c>
      <c r="D14" s="24">
        <f>+D15+D19</f>
        <v>606.23405600000001</v>
      </c>
      <c r="E14" s="21">
        <f t="shared" ref="E14:E45" si="0">IF(OR(OR(D14=0,C14=0),D14=""),"",(D14/C14-1)*100)</f>
        <v>-20.519588618236838</v>
      </c>
      <c r="F14" s="21">
        <f t="shared" ref="F14:F45" si="1">(D14/D$13)*100</f>
        <v>22.480091176346605</v>
      </c>
      <c r="G14" s="21">
        <f>+G15+G19</f>
        <v>215.110772</v>
      </c>
      <c r="H14" s="24">
        <f t="shared" ref="H14" si="2">+H15+H19</f>
        <v>176.69984200000002</v>
      </c>
      <c r="I14" s="21">
        <f t="shared" ref="I14:I45" si="3">IF(OR(OR(H14=0,G14=0),H14=""),"",(H14/G14-1)*100)</f>
        <v>-17.856348914037635</v>
      </c>
      <c r="J14" s="21">
        <f>(H14/H$13)*100</f>
        <v>21.836354104084034</v>
      </c>
      <c r="K14" s="16"/>
    </row>
    <row r="15" spans="1:14">
      <c r="A15" s="14"/>
      <c r="B15" s="10" t="s">
        <v>34</v>
      </c>
      <c r="C15" s="21">
        <f>+SUM(C16:C18)</f>
        <v>64.932916000000006</v>
      </c>
      <c r="D15" s="24">
        <f>+SUM(D16:D18)</f>
        <v>33.686285999999996</v>
      </c>
      <c r="E15" s="21">
        <f t="shared" si="0"/>
        <v>-48.121402710452756</v>
      </c>
      <c r="F15" s="21">
        <f>(D15/D$13)*100</f>
        <v>1.2491392939371393</v>
      </c>
      <c r="G15" s="21">
        <f t="shared" ref="G15:H15" si="4">+SUM(G16:G18)</f>
        <v>17.094591000000001</v>
      </c>
      <c r="H15" s="24">
        <f t="shared" si="4"/>
        <v>9.7039840000000002</v>
      </c>
      <c r="I15" s="21">
        <f t="shared" si="3"/>
        <v>-43.233599446748983</v>
      </c>
      <c r="J15" s="21">
        <f t="shared" ref="J15:J45" si="5">(H15/H$13)*100</f>
        <v>1.1992066797907253</v>
      </c>
      <c r="K15" s="16"/>
    </row>
    <row r="16" spans="1:14">
      <c r="A16" s="14" t="s">
        <v>40</v>
      </c>
      <c r="B16" s="9" t="str">
        <f>CONCATENATE(A16,[13]resumen_pais_media_tek!B7)</f>
        <v xml:space="preserve">   Bolivia</v>
      </c>
      <c r="C16" s="21">
        <f>[13]resumen_pais_media_tek!C7/1000000</f>
        <v>2.3801600000000001</v>
      </c>
      <c r="D16" s="24">
        <f>[13]resumen_pais_media_tek!D7/1000000</f>
        <v>2.089709</v>
      </c>
      <c r="E16" s="21">
        <f t="shared" si="0"/>
        <v>-12.203003159451464</v>
      </c>
      <c r="F16" s="21">
        <f t="shared" si="1"/>
        <v>7.7489623664481311E-2</v>
      </c>
      <c r="G16" s="21">
        <f>[13]resumen_pais_media_tek!E7/1000000</f>
        <v>1.82958</v>
      </c>
      <c r="H16" s="24">
        <f>[13]resumen_pais_media_tek!F7/1000000</f>
        <v>0.53422199999999997</v>
      </c>
      <c r="I16" s="21">
        <f t="shared" si="3"/>
        <v>-70.800839536942902</v>
      </c>
      <c r="J16" s="21">
        <f t="shared" si="5"/>
        <v>6.6018512694493395E-2</v>
      </c>
      <c r="K16" s="16"/>
    </row>
    <row r="17" spans="1:11">
      <c r="A17" s="14" t="s">
        <v>40</v>
      </c>
      <c r="B17" s="9" t="str">
        <f>CONCATENATE(A17,[13]resumen_pais_media_tek!B8)</f>
        <v xml:space="preserve">   Ecuador</v>
      </c>
      <c r="C17" s="21">
        <f>[13]resumen_pais_media_tek!C8/1000000</f>
        <v>49.262151000000003</v>
      </c>
      <c r="D17" s="24">
        <f>[13]resumen_pais_media_tek!D8/1000000</f>
        <v>19.774452</v>
      </c>
      <c r="E17" s="21">
        <f t="shared" si="0"/>
        <v>-59.858732112611165</v>
      </c>
      <c r="F17" s="21">
        <f t="shared" si="1"/>
        <v>0.73326709300259019</v>
      </c>
      <c r="G17" s="21">
        <f>[13]resumen_pais_media_tek!E8/1000000</f>
        <v>11.331065000000001</v>
      </c>
      <c r="H17" s="24">
        <f>[13]resumen_pais_media_tek!F8/1000000</f>
        <v>7.2973559999999997</v>
      </c>
      <c r="I17" s="21">
        <f t="shared" si="3"/>
        <v>-35.598674970093278</v>
      </c>
      <c r="J17" s="21">
        <f t="shared" si="5"/>
        <v>0.90179848400522167</v>
      </c>
      <c r="K17" s="16"/>
    </row>
    <row r="18" spans="1:11">
      <c r="A18" s="14" t="s">
        <v>40</v>
      </c>
      <c r="B18" s="9" t="str">
        <f>CONCATENATE(A18,[13]resumen_pais_media_tek!B9)</f>
        <v xml:space="preserve">   Perú </v>
      </c>
      <c r="C18" s="21">
        <f>[13]resumen_pais_media_tek!C9/1000000</f>
        <v>13.290604999999999</v>
      </c>
      <c r="D18" s="24">
        <f>[13]resumen_pais_media_tek!D9/1000000</f>
        <v>11.822125</v>
      </c>
      <c r="E18" s="21">
        <f t="shared" si="0"/>
        <v>-11.049007927028153</v>
      </c>
      <c r="F18" s="21">
        <f t="shared" si="1"/>
        <v>0.4383825772700678</v>
      </c>
      <c r="G18" s="21">
        <f>[13]resumen_pais_media_tek!E9/1000000</f>
        <v>3.9339460000000002</v>
      </c>
      <c r="H18" s="24">
        <f>[13]resumen_pais_media_tek!F9/1000000</f>
        <v>1.872406</v>
      </c>
      <c r="I18" s="21">
        <f t="shared" si="3"/>
        <v>-52.403871329194665</v>
      </c>
      <c r="J18" s="21">
        <f t="shared" si="5"/>
        <v>0.23138968309101013</v>
      </c>
      <c r="K18" s="16"/>
    </row>
    <row r="19" spans="1:11">
      <c r="A19" s="14"/>
      <c r="B19" s="10" t="s">
        <v>35</v>
      </c>
      <c r="C19" s="21">
        <f>SUM(C20:C27)</f>
        <v>697.81358399999988</v>
      </c>
      <c r="D19" s="24">
        <f>SUM(D20:D27)</f>
        <v>572.54777000000001</v>
      </c>
      <c r="E19" s="21">
        <f t="shared" si="0"/>
        <v>-17.951185943092774</v>
      </c>
      <c r="F19" s="21">
        <f t="shared" si="1"/>
        <v>21.230951882409464</v>
      </c>
      <c r="G19" s="21">
        <f t="shared" ref="G19:H19" si="6">SUM(G20:G27)</f>
        <v>198.01618099999999</v>
      </c>
      <c r="H19" s="24">
        <f t="shared" si="6"/>
        <v>166.99585800000003</v>
      </c>
      <c r="I19" s="21">
        <f t="shared" si="3"/>
        <v>-15.665549574456229</v>
      </c>
      <c r="J19" s="21">
        <f t="shared" si="5"/>
        <v>20.637147424293307</v>
      </c>
      <c r="K19" s="16"/>
    </row>
    <row r="20" spans="1:11">
      <c r="A20" s="14" t="s">
        <v>40</v>
      </c>
      <c r="B20" s="9" t="str">
        <f>CONCATENATE(A20,[13]resumen_pais_media_tek!B23)</f>
        <v xml:space="preserve">   Argentina</v>
      </c>
      <c r="C20" s="21">
        <f>[13]resumen_pais_media_tek!C23/1000000</f>
        <v>55.823729999999998</v>
      </c>
      <c r="D20" s="24">
        <f>[13]resumen_pais_media_tek!D23/1000000</f>
        <v>47.550454999999999</v>
      </c>
      <c r="E20" s="21">
        <f t="shared" si="0"/>
        <v>-14.820355071221503</v>
      </c>
      <c r="F20" s="21">
        <f t="shared" si="1"/>
        <v>1.7632440033635561</v>
      </c>
      <c r="G20" s="21">
        <f>[13]resumen_pais_media_tek!E23/1000000</f>
        <v>17.747122000000001</v>
      </c>
      <c r="H20" s="24">
        <f>[13]resumen_pais_media_tek!F23/1000000</f>
        <v>14.493081</v>
      </c>
      <c r="I20" s="21">
        <f t="shared" si="3"/>
        <v>-18.335598301516164</v>
      </c>
      <c r="J20" s="21">
        <f t="shared" si="5"/>
        <v>1.7910375311777149</v>
      </c>
      <c r="K20" s="16"/>
    </row>
    <row r="21" spans="1:11">
      <c r="A21" s="14" t="s">
        <v>40</v>
      </c>
      <c r="B21" s="9" t="str">
        <f>CONCATENATE(A21,[13]resumen_pais_media_tek!B24)</f>
        <v xml:space="preserve">   Brasil </v>
      </c>
      <c r="C21" s="21">
        <f>[13]resumen_pais_media_tek!C24/1000000</f>
        <v>122.14804700000001</v>
      </c>
      <c r="D21" s="24">
        <f>[13]resumen_pais_media_tek!D24/1000000</f>
        <v>161.47483299999999</v>
      </c>
      <c r="E21" s="21">
        <f t="shared" si="0"/>
        <v>32.196000645020526</v>
      </c>
      <c r="F21" s="21">
        <f t="shared" si="1"/>
        <v>5.9877351537725909</v>
      </c>
      <c r="G21" s="21">
        <f>[13]resumen_pais_media_tek!E24/1000000</f>
        <v>31.920193000000001</v>
      </c>
      <c r="H21" s="24">
        <f>[13]resumen_pais_media_tek!F24/1000000</f>
        <v>49.561252000000003</v>
      </c>
      <c r="I21" s="21">
        <f t="shared" si="3"/>
        <v>55.266141404596155</v>
      </c>
      <c r="J21" s="21">
        <f t="shared" si="5"/>
        <v>6.124719955967719</v>
      </c>
      <c r="K21" s="16"/>
    </row>
    <row r="22" spans="1:11">
      <c r="A22" s="14" t="s">
        <v>40</v>
      </c>
      <c r="B22" s="9" t="str">
        <f>CONCATENATE(A22,[13]resumen_pais_media_tek!B25)</f>
        <v xml:space="preserve">   Cuba </v>
      </c>
      <c r="C22" s="21">
        <f>[13]resumen_pais_media_tek!C25/1000000</f>
        <v>0.109796</v>
      </c>
      <c r="D22" s="24">
        <f>[13]resumen_pais_media_tek!D25/1000000</f>
        <v>1.293849</v>
      </c>
      <c r="E22" s="21">
        <f t="shared" si="0"/>
        <v>1078.4117818499763</v>
      </c>
      <c r="F22" s="21">
        <f t="shared" si="1"/>
        <v>4.7977910842450067E-2</v>
      </c>
      <c r="G22" s="21">
        <f>[13]resumen_pais_media_tek!E25/1000000</f>
        <v>8.6040000000000005E-2</v>
      </c>
      <c r="H22" s="24">
        <f>[13]resumen_pais_media_tek!F25/1000000</f>
        <v>1.198939</v>
      </c>
      <c r="I22" s="21">
        <f t="shared" si="3"/>
        <v>1293.4669920966992</v>
      </c>
      <c r="J22" s="21">
        <f t="shared" si="5"/>
        <v>0.14816344065093393</v>
      </c>
      <c r="K22" s="16"/>
    </row>
    <row r="23" spans="1:11">
      <c r="A23" s="14" t="s">
        <v>40</v>
      </c>
      <c r="B23" s="9" t="str">
        <f>CONCATENATE(A23,[13]resumen_pais_media_tek!B26)</f>
        <v xml:space="preserve">   Chile </v>
      </c>
      <c r="C23" s="21">
        <f>[13]resumen_pais_media_tek!C26/1000000</f>
        <v>19.700631000000001</v>
      </c>
      <c r="D23" s="24">
        <f>[13]resumen_pais_media_tek!D26/1000000</f>
        <v>9.4705130000000004</v>
      </c>
      <c r="E23" s="21">
        <f t="shared" si="0"/>
        <v>-51.927869721533291</v>
      </c>
      <c r="F23" s="21">
        <f t="shared" si="1"/>
        <v>0.35118118756227684</v>
      </c>
      <c r="G23" s="21">
        <f>[13]resumen_pais_media_tek!E26/1000000</f>
        <v>4.8178429999999999</v>
      </c>
      <c r="H23" s="24">
        <f>[13]resumen_pais_media_tek!F26/1000000</f>
        <v>2.3667919999999998</v>
      </c>
      <c r="I23" s="21">
        <f t="shared" si="3"/>
        <v>-50.874447340853578</v>
      </c>
      <c r="J23" s="21">
        <f t="shared" si="5"/>
        <v>0.29248531078320511</v>
      </c>
      <c r="K23" s="16"/>
    </row>
    <row r="24" spans="1:11">
      <c r="A24" s="14" t="s">
        <v>40</v>
      </c>
      <c r="B24" s="9" t="str">
        <f>CONCATENATE(A24,[13]resumen_pais_media_tek!B27)</f>
        <v xml:space="preserve">   México </v>
      </c>
      <c r="C24" s="21">
        <f>[13]resumen_pais_media_tek!C27/1000000</f>
        <v>482.97046899999998</v>
      </c>
      <c r="D24" s="24">
        <f>[13]resumen_pais_media_tek!D27/1000000</f>
        <v>342.28194000000002</v>
      </c>
      <c r="E24" s="21">
        <f t="shared" si="0"/>
        <v>-29.129840855756328</v>
      </c>
      <c r="F24" s="21">
        <f t="shared" si="1"/>
        <v>12.692340760243926</v>
      </c>
      <c r="G24" s="21">
        <f>[13]resumen_pais_media_tek!E27/1000000</f>
        <v>139.247354</v>
      </c>
      <c r="H24" s="24">
        <f>[13]resumen_pais_media_tek!F27/1000000</f>
        <v>96.766576999999998</v>
      </c>
      <c r="I24" s="21">
        <f t="shared" si="3"/>
        <v>-30.507421347482122</v>
      </c>
      <c r="J24" s="21">
        <f t="shared" si="5"/>
        <v>11.958297284793911</v>
      </c>
      <c r="K24" s="16"/>
    </row>
    <row r="25" spans="1:11">
      <c r="A25" s="14" t="s">
        <v>40</v>
      </c>
      <c r="B25" s="9" t="str">
        <f>CONCATENATE(A25,[13]resumen_pais_media_tek!B28)</f>
        <v xml:space="preserve">   Paraguay </v>
      </c>
      <c r="C25" s="21">
        <f>[13]resumen_pais_media_tek!C28/1000000</f>
        <v>1.5430000000000001E-3</v>
      </c>
      <c r="D25" s="24">
        <f>[13]resumen_pais_media_tek!D28/1000000</f>
        <v>2.5070000000000001E-3</v>
      </c>
      <c r="E25" s="21">
        <f t="shared" si="0"/>
        <v>62.475696694750482</v>
      </c>
      <c r="F25" s="21">
        <f t="shared" si="1"/>
        <v>9.2963415732455891E-5</v>
      </c>
      <c r="G25" s="21">
        <f>[13]resumen_pais_media_tek!E28/1000000</f>
        <v>0</v>
      </c>
      <c r="H25" s="24">
        <f>[13]resumen_pais_media_tek!F28/1000000</f>
        <v>7.8299999999999995E-4</v>
      </c>
      <c r="I25" s="21" t="str">
        <f t="shared" si="3"/>
        <v/>
      </c>
      <c r="J25" s="21">
        <f t="shared" si="5"/>
        <v>9.6762198935626645E-5</v>
      </c>
      <c r="K25" s="16"/>
    </row>
    <row r="26" spans="1:11">
      <c r="A26" s="14" t="s">
        <v>40</v>
      </c>
      <c r="B26" s="9" t="str">
        <f>CONCATENATE(A26,[13]resumen_pais_media_tek!B29)</f>
        <v xml:space="preserve">   Uruguay </v>
      </c>
      <c r="C26" s="21">
        <f>[13]resumen_pais_media_tek!C29/1000000</f>
        <v>2.9325009999999998</v>
      </c>
      <c r="D26" s="24">
        <f>[13]resumen_pais_media_tek!D29/1000000</f>
        <v>1.185845</v>
      </c>
      <c r="E26" s="21">
        <f t="shared" si="0"/>
        <v>-59.561991624214272</v>
      </c>
      <c r="F26" s="21">
        <f t="shared" si="1"/>
        <v>4.3972956413743179E-2</v>
      </c>
      <c r="G26" s="21">
        <f>[13]resumen_pais_media_tek!E29/1000000</f>
        <v>1.849823</v>
      </c>
      <c r="H26" s="24">
        <f>[13]resumen_pais_media_tek!F29/1000000</f>
        <v>0.717441</v>
      </c>
      <c r="I26" s="21">
        <f t="shared" si="3"/>
        <v>-61.215694690789334</v>
      </c>
      <c r="J26" s="21">
        <f t="shared" si="5"/>
        <v>8.8660496509035638E-2</v>
      </c>
      <c r="K26" s="16"/>
    </row>
    <row r="27" spans="1:11">
      <c r="A27" s="14" t="s">
        <v>40</v>
      </c>
      <c r="B27" s="9" t="str">
        <f>CONCATENATE(A27,[13]resumen_pais_media_tek!B30)</f>
        <v xml:space="preserve">   Venezuela</v>
      </c>
      <c r="C27" s="21">
        <f>[13]resumen_pais_media_tek!C30/1000000</f>
        <v>14.126867000000001</v>
      </c>
      <c r="D27" s="24">
        <f>[13]resumen_pais_media_tek!D30/1000000</f>
        <v>9.2878279999999993</v>
      </c>
      <c r="E27" s="21">
        <f t="shared" ref="E27" si="7">IF(OR(OR(D27=0,C27=0),D27=""),"",(D27/C27-1)*100)</f>
        <v>-34.254155574622459</v>
      </c>
      <c r="F27" s="21">
        <f t="shared" ref="F27" si="8">(D27/D$13)*100</f>
        <v>0.34440694679519113</v>
      </c>
      <c r="G27" s="21">
        <f>[13]resumen_pais_media_tek!E30/1000000</f>
        <v>2.3478059999999998</v>
      </c>
      <c r="H27" s="24">
        <f>[13]resumen_pais_media_tek!F30/1000000</f>
        <v>1.8909929999999999</v>
      </c>
      <c r="I27" s="21">
        <f t="shared" ref="I27" si="9">IF(OR(OR(H27=0,G27=0),H27=""),"",(H27/G27-1)*100)</f>
        <v>-19.457016465585319</v>
      </c>
      <c r="J27" s="21">
        <f t="shared" ref="J27" si="10">(H27/H$13)*100</f>
        <v>0.23368664221184854</v>
      </c>
      <c r="K27" s="16"/>
    </row>
    <row r="28" spans="1:11">
      <c r="A28" s="14" t="s">
        <v>40</v>
      </c>
      <c r="B28" s="9" t="str">
        <f>+[13]resumen_pais_media_tek!B44</f>
        <v xml:space="preserve">Canadá </v>
      </c>
      <c r="C28" s="21">
        <f>+[13]resumen_pais_media_tek!C44/1000000</f>
        <v>51.031928999999998</v>
      </c>
      <c r="D28" s="24">
        <f>+[13]resumen_pais_media_tek!D44/1000000</f>
        <v>32.868017999999999</v>
      </c>
      <c r="E28" s="21">
        <f t="shared" si="0"/>
        <v>-35.593228310064475</v>
      </c>
      <c r="F28" s="21">
        <f>(D28/D$13)*100</f>
        <v>1.2187966580119038</v>
      </c>
      <c r="G28" s="21">
        <f>+[13]resumen_pais_media_tek!E44/1000000</f>
        <v>16.996822000000002</v>
      </c>
      <c r="H28" s="24">
        <f>+[13]resumen_pais_media_tek!F44/1000000</f>
        <v>10.100352000000001</v>
      </c>
      <c r="I28" s="21">
        <f t="shared" si="3"/>
        <v>-40.575055736890107</v>
      </c>
      <c r="J28" s="21">
        <f t="shared" si="5"/>
        <v>1.2481893608478345</v>
      </c>
      <c r="K28" s="16"/>
    </row>
    <row r="29" spans="1:11">
      <c r="A29" s="14" t="s">
        <v>40</v>
      </c>
      <c r="B29" s="9" t="str">
        <f>+[13]resumen_pais_media_tek!B45</f>
        <v>Estados Unidos</v>
      </c>
      <c r="C29" s="21">
        <f>+[13]resumen_pais_media_tek!C45/1000000</f>
        <v>642.58659899999998</v>
      </c>
      <c r="D29" s="24">
        <f>+[13]resumen_pais_media_tek!D45/1000000</f>
        <v>646.81613400000003</v>
      </c>
      <c r="E29" s="21">
        <f t="shared" ref="E29" si="11">IF(OR(OR(D29=0,C29=0),D29=""),"",(D29/C29-1)*100)</f>
        <v>0.65820466946899803</v>
      </c>
      <c r="F29" s="21">
        <f>(D29/D$13)*100</f>
        <v>23.984937043279576</v>
      </c>
      <c r="G29" s="21">
        <f>+[13]resumen_pais_media_tek!E45/1000000</f>
        <v>147.935508</v>
      </c>
      <c r="H29" s="24">
        <f>+[13]resumen_pais_media_tek!F45/1000000</f>
        <v>197.654324</v>
      </c>
      <c r="I29" s="21">
        <f t="shared" ref="I29" si="12">IF(OR(OR(H29=0,G29=0),H29=""),"",(H29/G29-1)*100)</f>
        <v>33.608439699277604</v>
      </c>
      <c r="J29" s="21">
        <f t="shared" ref="J29" si="13">(H29/H$13)*100</f>
        <v>24.425883805076374</v>
      </c>
      <c r="K29" s="16"/>
    </row>
    <row r="30" spans="1:11">
      <c r="A30" s="14"/>
      <c r="B30" s="10" t="s">
        <v>32</v>
      </c>
      <c r="C30" s="21">
        <f>SUM(C31:C40)</f>
        <v>418.93591599999996</v>
      </c>
      <c r="D30" s="24">
        <f>SUM(D31:D40)</f>
        <v>454.03929999999997</v>
      </c>
      <c r="E30" s="21">
        <f t="shared" si="0"/>
        <v>8.3791774969229404</v>
      </c>
      <c r="F30" s="21">
        <f t="shared" si="1"/>
        <v>16.83647555036827</v>
      </c>
      <c r="G30" s="21">
        <f>SUM(G31:G40)</f>
        <v>103.11678499999999</v>
      </c>
      <c r="H30" s="24">
        <f>SUM(H31:H40)</f>
        <v>148.38503599999999</v>
      </c>
      <c r="I30" s="21">
        <f t="shared" si="3"/>
        <v>43.899982917427074</v>
      </c>
      <c r="J30" s="21">
        <f t="shared" si="5"/>
        <v>18.337244409325823</v>
      </c>
      <c r="K30" s="16"/>
    </row>
    <row r="31" spans="1:11">
      <c r="A31" s="14" t="s">
        <v>40</v>
      </c>
      <c r="B31" s="9" t="str">
        <f>CONCATENATE(A31,[13]resumen_pais_media_tek!B59)</f>
        <v xml:space="preserve">   Alemania </v>
      </c>
      <c r="C31" s="21">
        <f>[13]resumen_pais_media_tek!C59/1000000</f>
        <v>163.388015</v>
      </c>
      <c r="D31" s="24">
        <f>[13]resumen_pais_media_tek!D59/1000000</f>
        <v>174.56141199999999</v>
      </c>
      <c r="E31" s="21">
        <f t="shared" si="0"/>
        <v>6.8385658519690029</v>
      </c>
      <c r="F31" s="21">
        <f t="shared" si="1"/>
        <v>6.4730056300759928</v>
      </c>
      <c r="G31" s="21">
        <f>[13]resumen_pais_media_tek!E59/1000000</f>
        <v>39.415998000000002</v>
      </c>
      <c r="H31" s="24">
        <f>[13]resumen_pais_media_tek!F59/1000000</f>
        <v>59.075631000000001</v>
      </c>
      <c r="I31" s="21">
        <f t="shared" si="3"/>
        <v>49.877293478652994</v>
      </c>
      <c r="J31" s="21">
        <f t="shared" si="5"/>
        <v>7.3004954777390445</v>
      </c>
      <c r="K31" s="16"/>
    </row>
    <row r="32" spans="1:11">
      <c r="A32" s="14" t="s">
        <v>40</v>
      </c>
      <c r="B32" s="9" t="str">
        <f>CONCATENATE(A32,[13]resumen_pais_media_tek!B60)</f>
        <v xml:space="preserve">   Austria </v>
      </c>
      <c r="C32" s="21">
        <f>[13]resumen_pais_media_tek!C60/1000000</f>
        <v>6.8225239999999996</v>
      </c>
      <c r="D32" s="24">
        <f>[13]resumen_pais_media_tek!D60/1000000</f>
        <v>6.7941289999999999</v>
      </c>
      <c r="E32" s="21">
        <f t="shared" si="0"/>
        <v>-0.41619494486204722</v>
      </c>
      <c r="F32" s="21">
        <f t="shared" si="1"/>
        <v>0.25193675259949533</v>
      </c>
      <c r="G32" s="21">
        <f>[13]resumen_pais_media_tek!E60/1000000</f>
        <v>1.9396119999999999</v>
      </c>
      <c r="H32" s="24">
        <f>[13]resumen_pais_media_tek!F60/1000000</f>
        <v>2.8614069999999998</v>
      </c>
      <c r="I32" s="21">
        <f t="shared" si="3"/>
        <v>47.524711127792571</v>
      </c>
      <c r="J32" s="21">
        <f t="shared" si="5"/>
        <v>0.35360923802017191</v>
      </c>
      <c r="K32" s="16"/>
    </row>
    <row r="33" spans="1:11">
      <c r="A33" s="14" t="s">
        <v>40</v>
      </c>
      <c r="B33" s="9" t="str">
        <f>CONCATENATE(A33,[13]resumen_pais_media_tek!B61)</f>
        <v xml:space="preserve">   Bélgica </v>
      </c>
      <c r="C33" s="21">
        <f>[13]resumen_pais_media_tek!C61/1000000</f>
        <v>18.146097000000001</v>
      </c>
      <c r="D33" s="24">
        <f>[13]resumen_pais_media_tek!D61/1000000</f>
        <v>18.355122000000001</v>
      </c>
      <c r="E33" s="21">
        <f t="shared" si="0"/>
        <v>1.1519005987899344</v>
      </c>
      <c r="F33" s="21">
        <f t="shared" si="1"/>
        <v>0.68063615369204111</v>
      </c>
      <c r="G33" s="21">
        <f>[13]resumen_pais_media_tek!E61/1000000</f>
        <v>4.0243039999999999</v>
      </c>
      <c r="H33" s="24">
        <f>[13]resumen_pais_media_tek!F61/1000000</f>
        <v>4.3473480000000002</v>
      </c>
      <c r="I33" s="21">
        <f t="shared" si="3"/>
        <v>8.0273259674219499</v>
      </c>
      <c r="J33" s="21">
        <f t="shared" si="5"/>
        <v>0.53724004089195221</v>
      </c>
      <c r="K33" s="16"/>
    </row>
    <row r="34" spans="1:11">
      <c r="A34" s="14" t="s">
        <v>40</v>
      </c>
      <c r="B34" s="9" t="str">
        <f>CONCATENATE(A34,[13]resumen_pais_media_tek!B62)</f>
        <v xml:space="preserve">   España </v>
      </c>
      <c r="C34" s="21">
        <f>[13]resumen_pais_media_tek!C62/1000000</f>
        <v>31.204613999999999</v>
      </c>
      <c r="D34" s="24">
        <f>[13]resumen_pais_media_tek!D62/1000000</f>
        <v>39.117848000000002</v>
      </c>
      <c r="E34" s="21">
        <f t="shared" si="0"/>
        <v>25.359179254708941</v>
      </c>
      <c r="F34" s="21">
        <f t="shared" si="1"/>
        <v>1.45054996656682</v>
      </c>
      <c r="G34" s="21">
        <f>[13]resumen_pais_media_tek!E62/1000000</f>
        <v>7.6246929999999997</v>
      </c>
      <c r="H34" s="24">
        <f>[13]resumen_pais_media_tek!F62/1000000</f>
        <v>9.5199459999999991</v>
      </c>
      <c r="I34" s="21">
        <f t="shared" si="3"/>
        <v>24.856777840104517</v>
      </c>
      <c r="J34" s="21">
        <f t="shared" si="5"/>
        <v>1.1764634849405147</v>
      </c>
      <c r="K34" s="16"/>
    </row>
    <row r="35" spans="1:11">
      <c r="A35" s="14" t="s">
        <v>40</v>
      </c>
      <c r="B35" s="9" t="str">
        <f>CONCATENATE(A35,[13]resumen_pais_media_tek!B63)</f>
        <v xml:space="preserve">   Finlandia </v>
      </c>
      <c r="C35" s="21">
        <f>[13]resumen_pais_media_tek!C63/1000000</f>
        <v>4.0074370000000004</v>
      </c>
      <c r="D35" s="24">
        <f>[13]resumen_pais_media_tek!D63/1000000</f>
        <v>7.5323900000000004</v>
      </c>
      <c r="E35" s="21">
        <f t="shared" si="0"/>
        <v>87.960284840410452</v>
      </c>
      <c r="F35" s="21">
        <f t="shared" si="1"/>
        <v>0.27931260591503526</v>
      </c>
      <c r="G35" s="21">
        <f>[13]resumen_pais_media_tek!E63/1000000</f>
        <v>1.209158</v>
      </c>
      <c r="H35" s="24">
        <f>[13]resumen_pais_media_tek!F63/1000000</f>
        <v>1.551661</v>
      </c>
      <c r="I35" s="21">
        <f t="shared" si="3"/>
        <v>28.325744030143298</v>
      </c>
      <c r="J35" s="21">
        <f t="shared" si="5"/>
        <v>0.19175240148487019</v>
      </c>
      <c r="K35" s="16"/>
    </row>
    <row r="36" spans="1:11">
      <c r="A36" s="14" t="s">
        <v>40</v>
      </c>
      <c r="B36" s="9" t="str">
        <f>CONCATENATE(A36,[13]resumen_pais_media_tek!B64)</f>
        <v xml:space="preserve">   Francia </v>
      </c>
      <c r="C36" s="21">
        <f>[13]resumen_pais_media_tek!C64/1000000</f>
        <v>53.445743</v>
      </c>
      <c r="D36" s="24">
        <f>[13]resumen_pais_media_tek!D64/1000000</f>
        <v>50.659526</v>
      </c>
      <c r="E36" s="21">
        <f t="shared" si="0"/>
        <v>-5.2131691760745058</v>
      </c>
      <c r="F36" s="21">
        <f t="shared" si="1"/>
        <v>1.8785331377531542</v>
      </c>
      <c r="G36" s="21">
        <f>[13]resumen_pais_media_tek!E64/1000000</f>
        <v>15.130542</v>
      </c>
      <c r="H36" s="24">
        <f>[13]resumen_pais_media_tek!F64/1000000</f>
        <v>18.162752000000001</v>
      </c>
      <c r="I36" s="21">
        <f t="shared" si="3"/>
        <v>20.040326380905604</v>
      </c>
      <c r="J36" s="21">
        <f t="shared" si="5"/>
        <v>2.2445310628894646</v>
      </c>
      <c r="K36" s="16"/>
    </row>
    <row r="37" spans="1:11">
      <c r="A37" s="14" t="s">
        <v>40</v>
      </c>
      <c r="B37" s="7" t="str">
        <f>CONCATENATE(A37,[13]resumen_pais_media_tek!B65)</f>
        <v xml:space="preserve">   Italia </v>
      </c>
      <c r="C37" s="21">
        <f>[13]resumen_pais_media_tek!C65/1000000</f>
        <v>61.338380999999998</v>
      </c>
      <c r="D37" s="24">
        <f>[13]resumen_pais_media_tek!D65/1000000</f>
        <v>89.674475000000001</v>
      </c>
      <c r="E37" s="21">
        <f t="shared" si="0"/>
        <v>46.196351351366772</v>
      </c>
      <c r="F37" s="21">
        <f t="shared" si="1"/>
        <v>3.3252674511426892</v>
      </c>
      <c r="G37" s="21">
        <f>[13]resumen_pais_media_tek!E65/1000000</f>
        <v>15.552937999999999</v>
      </c>
      <c r="H37" s="24">
        <f>[13]resumen_pais_media_tek!F65/1000000</f>
        <v>31.422439000000001</v>
      </c>
      <c r="I37" s="21">
        <f t="shared" si="3"/>
        <v>102.03539035518565</v>
      </c>
      <c r="J37" s="21">
        <f t="shared" si="5"/>
        <v>3.8831472459266831</v>
      </c>
      <c r="K37" s="16"/>
    </row>
    <row r="38" spans="1:11">
      <c r="A38" s="14" t="s">
        <v>40</v>
      </c>
      <c r="B38" s="7" t="str">
        <f>CONCATENATE(A38,[13]resumen_pais_media_tek!B66)</f>
        <v xml:space="preserve">   Países Bajos </v>
      </c>
      <c r="C38" s="21">
        <f>[13]resumen_pais_media_tek!C66/1000000</f>
        <v>18.055171000000001</v>
      </c>
      <c r="D38" s="24">
        <f>[13]resumen_pais_media_tek!D66/1000000</f>
        <v>12.64709</v>
      </c>
      <c r="E38" s="21">
        <f t="shared" si="0"/>
        <v>-29.953086570046892</v>
      </c>
      <c r="F38" s="21">
        <f t="shared" si="1"/>
        <v>0.4689735482551996</v>
      </c>
      <c r="G38" s="21">
        <f>[13]resumen_pais_media_tek!E66/1000000</f>
        <v>1.707036</v>
      </c>
      <c r="H38" s="24">
        <f>[13]resumen_pais_media_tek!F66/1000000</f>
        <v>6.3058820000000004</v>
      </c>
      <c r="I38" s="21">
        <f t="shared" si="3"/>
        <v>269.40533181491196</v>
      </c>
      <c r="J38" s="21">
        <f t="shared" si="5"/>
        <v>0.77927331870828509</v>
      </c>
      <c r="K38" s="16"/>
    </row>
    <row r="39" spans="1:11">
      <c r="A39" s="14" t="s">
        <v>40</v>
      </c>
      <c r="B39" s="7" t="str">
        <f>CONCATENATE(A39,[13]resumen_pais_media_tek!B67)</f>
        <v xml:space="preserve">   Reino Unido </v>
      </c>
      <c r="C39" s="21">
        <f>[13]resumen_pais_media_tek!C67/1000000</f>
        <v>33.360669000000001</v>
      </c>
      <c r="D39" s="24">
        <f>[13]resumen_pais_media_tek!D67/1000000</f>
        <v>40.544761000000001</v>
      </c>
      <c r="E39" s="21">
        <f t="shared" si="0"/>
        <v>21.534616107368819</v>
      </c>
      <c r="F39" s="21">
        <f t="shared" si="1"/>
        <v>1.5034620951799218</v>
      </c>
      <c r="G39" s="21">
        <f>[13]resumen_pais_media_tek!E67/1000000</f>
        <v>9.1065579999999997</v>
      </c>
      <c r="H39" s="24">
        <f>[13]resumen_pais_media_tek!F67/1000000</f>
        <v>11.451079</v>
      </c>
      <c r="I39" s="21">
        <f t="shared" si="3"/>
        <v>25.745413360349765</v>
      </c>
      <c r="J39" s="21">
        <f t="shared" si="5"/>
        <v>1.4151105801092931</v>
      </c>
      <c r="K39" s="16"/>
    </row>
    <row r="40" spans="1:11">
      <c r="A40" s="14" t="s">
        <v>40</v>
      </c>
      <c r="B40" s="9" t="str">
        <f>CONCATENATE(A40,[13]resumen_pais_media_tek!B68)</f>
        <v xml:space="preserve">   Suecia </v>
      </c>
      <c r="C40" s="21">
        <f>[13]resumen_pais_media_tek!C68/1000000</f>
        <v>29.167265</v>
      </c>
      <c r="D40" s="24">
        <f>[13]resumen_pais_media_tek!D68/1000000</f>
        <v>14.152547</v>
      </c>
      <c r="E40" s="21">
        <f t="shared" si="0"/>
        <v>-51.477977108926744</v>
      </c>
      <c r="F40" s="21">
        <f t="shared" si="1"/>
        <v>0.5247982091879223</v>
      </c>
      <c r="G40" s="21">
        <f>[13]resumen_pais_media_tek!E68/1000000</f>
        <v>7.4059460000000001</v>
      </c>
      <c r="H40" s="24">
        <f>[13]resumen_pais_media_tek!F68/1000000</f>
        <v>3.6868910000000001</v>
      </c>
      <c r="I40" s="21">
        <f t="shared" si="3"/>
        <v>-50.217149841492223</v>
      </c>
      <c r="J40" s="21">
        <f t="shared" si="5"/>
        <v>0.4556215586155446</v>
      </c>
      <c r="K40" s="16"/>
    </row>
    <row r="41" spans="1:11">
      <c r="A41" s="14" t="s">
        <v>40</v>
      </c>
      <c r="B41" s="9" t="str">
        <f>CONCATENATE(A41,[13]resumen_pais_media_tek!B69)</f>
        <v xml:space="preserve">   Resto </v>
      </c>
      <c r="C41" s="21">
        <f>[13]resumen_pais_media_tek!C69/1000000</f>
        <v>29.823212000000002</v>
      </c>
      <c r="D41" s="24">
        <f>[13]resumen_pais_media_tek!D69/1000000</f>
        <v>27.748290000000001</v>
      </c>
      <c r="E41" s="21">
        <f t="shared" ref="E41" si="14">IF(OR(OR(D41=0,C41=0),D41=""),"",(D41/C41-1)*100)</f>
        <v>-6.9574061975618218</v>
      </c>
      <c r="F41" s="21">
        <f t="shared" ref="F41" si="15">(D41/D$13)*100</f>
        <v>1.0289492696987428</v>
      </c>
      <c r="G41" s="21">
        <f>[13]resumen_pais_media_tek!E69/1000000</f>
        <v>9.4875080000000001</v>
      </c>
      <c r="H41" s="24">
        <f>[13]resumen_pais_media_tek!F69/1000000</f>
        <v>6.6601999999999997</v>
      </c>
      <c r="I41" s="21">
        <f t="shared" ref="I41" si="16">IF(OR(OR(H41=0,G41=0),H41=""),"",(H41/G41-1)*100)</f>
        <v>-29.800322698015126</v>
      </c>
      <c r="J41" s="21">
        <f t="shared" ref="J41" si="17">(H41/H$13)*100</f>
        <v>0.82305951130403643</v>
      </c>
      <c r="K41" s="16"/>
    </row>
    <row r="42" spans="1:11">
      <c r="A42" s="14"/>
      <c r="B42" s="9" t="str">
        <f>+[13]resumen_pais_media_tek!B83</f>
        <v>Corea del Sur</v>
      </c>
      <c r="C42" s="21">
        <f>+[13]resumen_pais_media_tek!C83/1000000</f>
        <v>100.021961</v>
      </c>
      <c r="D42" s="24">
        <f>+[13]resumen_pais_media_tek!D83/1000000</f>
        <v>100.231184</v>
      </c>
      <c r="E42" s="21">
        <f t="shared" si="0"/>
        <v>0.20917706262526536</v>
      </c>
      <c r="F42" s="21">
        <f t="shared" si="1"/>
        <v>3.7167264569398806</v>
      </c>
      <c r="G42" s="21">
        <f>+[13]resumen_pais_media_tek!E83/1000000</f>
        <v>27.989464999999999</v>
      </c>
      <c r="H42" s="24">
        <f>+[13]resumen_pais_media_tek!F83/1000000</f>
        <v>34.202502000000003</v>
      </c>
      <c r="I42" s="21">
        <f t="shared" si="3"/>
        <v>22.197769768018084</v>
      </c>
      <c r="J42" s="21">
        <f t="shared" si="5"/>
        <v>4.2267040901917863</v>
      </c>
      <c r="K42" s="16"/>
    </row>
    <row r="43" spans="1:11">
      <c r="A43" s="14"/>
      <c r="B43" s="9" t="str">
        <f>+[13]resumen_pais_media_tek!B84</f>
        <v xml:space="preserve">China </v>
      </c>
      <c r="C43" s="21">
        <f>+[13]resumen_pais_media_tek!C84/1000000</f>
        <v>336.56124799999998</v>
      </c>
      <c r="D43" s="24">
        <f>+[13]resumen_pais_media_tek!D84/1000000</f>
        <v>320.56662299999999</v>
      </c>
      <c r="E43" s="21">
        <f t="shared" ref="E43" si="18">IF(OR(OR(D43=0,C43=0),D43=""),"",(D43/C43-1)*100)</f>
        <v>-4.7523667965481238</v>
      </c>
      <c r="F43" s="21">
        <f t="shared" ref="F43" si="19">(D43/D$13)*100</f>
        <v>11.887103408016934</v>
      </c>
      <c r="G43" s="21">
        <f>+[13]resumen_pais_media_tek!E84/1000000</f>
        <v>83.967078000000001</v>
      </c>
      <c r="H43" s="24">
        <f>+[13]resumen_pais_media_tek!F84/1000000</f>
        <v>94.021263000000005</v>
      </c>
      <c r="I43" s="21">
        <f t="shared" ref="I43" si="20">IF(OR(OR(H43=0,G43=0),H43=""),"",(H43/G43-1)*100)</f>
        <v>11.973960794491379</v>
      </c>
      <c r="J43" s="21">
        <f t="shared" ref="J43" si="21">(H43/H$13)*100</f>
        <v>11.619034680185022</v>
      </c>
      <c r="K43" s="16"/>
    </row>
    <row r="44" spans="1:11">
      <c r="A44" s="14"/>
      <c r="B44" s="9" t="str">
        <f>+[13]resumen_pais_media_tek!B85</f>
        <v xml:space="preserve">Japón </v>
      </c>
      <c r="C44" s="21">
        <f>+[13]resumen_pais_media_tek!C85/1000000</f>
        <v>156.73654400000001</v>
      </c>
      <c r="D44" s="24">
        <f>+[13]resumen_pais_media_tek!D85/1000000</f>
        <v>125.80154899999999</v>
      </c>
      <c r="E44" s="21">
        <f t="shared" ref="E44" si="22">IF(OR(OR(D44=0,C44=0),D44=""),"",(D44/C44-1)*100)</f>
        <v>-19.7369383109532</v>
      </c>
      <c r="F44" s="21">
        <f t="shared" ref="F44" si="23">(D44/D$13)*100</f>
        <v>4.6649149180191145</v>
      </c>
      <c r="G44" s="21">
        <f>+[13]resumen_pais_media_tek!E85/1000000</f>
        <v>38.424844999999998</v>
      </c>
      <c r="H44" s="24">
        <f>+[13]resumen_pais_media_tek!F85/1000000</f>
        <v>39.830916999999999</v>
      </c>
      <c r="I44" s="21">
        <f t="shared" ref="I44" si="24">IF(OR(OR(H44=0,G44=0),H44=""),"",(H44/G44-1)*100)</f>
        <v>3.6592782612395736</v>
      </c>
      <c r="J44" s="21">
        <f t="shared" ref="J44" si="25">(H44/H$13)*100</f>
        <v>4.9222568512674751</v>
      </c>
      <c r="K44" s="16"/>
    </row>
    <row r="45" spans="1:11">
      <c r="A45" s="14"/>
      <c r="B45" s="9" t="s">
        <v>2</v>
      </c>
      <c r="C45" s="21">
        <f>+C13-C14-C28-C30-C42-C43-C44</f>
        <v>1092.3169992700525</v>
      </c>
      <c r="D45" s="24">
        <f>+D13-D14-D28-D30-D42-D43-D44</f>
        <v>1057.0190439900418</v>
      </c>
      <c r="E45" s="21">
        <f t="shared" si="0"/>
        <v>-3.231475414517837</v>
      </c>
      <c r="F45" s="21">
        <f t="shared" si="1"/>
        <v>39.195891832297299</v>
      </c>
      <c r="G45" s="21">
        <f t="shared" ref="G45:H45" si="26">+G13-G14-G28-G30-G42-G43-G44</f>
        <v>239.21910259000219</v>
      </c>
      <c r="H45" s="24">
        <f t="shared" si="26"/>
        <v>305.96038379000106</v>
      </c>
      <c r="I45" s="21">
        <f t="shared" si="3"/>
        <v>27.899645336596212</v>
      </c>
      <c r="J45" s="21">
        <f t="shared" si="5"/>
        <v>37.81021650409803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59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f>+'Resumen importaciones totales'!C27</f>
        <v>2343.3717036000435</v>
      </c>
      <c r="D13" s="24">
        <f>+'Resumen importaciones totales'!D27</f>
        <v>3306.5867379400479</v>
      </c>
      <c r="E13" s="24">
        <f>IF(OR(OR(D13=0,C13=0),D13=""),"",(D13/C13-1)*100)</f>
        <v>41.103809219009065</v>
      </c>
      <c r="F13" s="22">
        <f>(D13/D$13)*100</f>
        <v>100</v>
      </c>
      <c r="G13" s="24">
        <f>+'Resumen importaciones totales'!G27</f>
        <v>605.98032710999678</v>
      </c>
      <c r="H13" s="24">
        <f>+'Resumen importaciones totales'!H27</f>
        <v>863.91874282998549</v>
      </c>
      <c r="I13" s="24">
        <f>IF(OR(OR(H13=0,G13=0),H13=""),"",(H13/G13-1)*100)</f>
        <v>42.565476828287863</v>
      </c>
      <c r="J13" s="22">
        <f>(H13/H$13)*100</f>
        <v>100</v>
      </c>
      <c r="K13" s="16"/>
    </row>
    <row r="14" spans="1:14">
      <c r="A14" s="14"/>
      <c r="B14" s="10" t="s">
        <v>31</v>
      </c>
      <c r="C14" s="21">
        <f>+C15+C18</f>
        <v>369.219021</v>
      </c>
      <c r="D14" s="24">
        <f>+D15+D18</f>
        <v>306.03595999999999</v>
      </c>
      <c r="E14" s="21">
        <f t="shared" ref="E14:E43" si="0">IF(OR(OR(D14=0,C14=0),D14=""),"",(D14/C14-1)*100)</f>
        <v>-17.112623512427326</v>
      </c>
      <c r="F14" s="21">
        <f t="shared" ref="F14:F41" si="1">(D14/D$13)*100</f>
        <v>9.2553434781709569</v>
      </c>
      <c r="G14" s="21">
        <f>+G15+G18</f>
        <v>95.657476000000003</v>
      </c>
      <c r="H14" s="24">
        <f>+H15+H18</f>
        <v>101.99220899999999</v>
      </c>
      <c r="I14" s="21">
        <f t="shared" ref="I14:I43" si="2">IF(OR(OR(H14=0,G14=0),H14=""),"",(H14/G14-1)*100)</f>
        <v>6.6223083285199547</v>
      </c>
      <c r="J14" s="21">
        <f>(H14/H$13)*100</f>
        <v>11.805764123822406</v>
      </c>
      <c r="K14" s="16"/>
    </row>
    <row r="15" spans="1:14">
      <c r="A15" s="14"/>
      <c r="B15" s="10" t="s">
        <v>34</v>
      </c>
      <c r="C15" s="21">
        <f>+SUM(C16:C17)</f>
        <v>8.2140610000000009</v>
      </c>
      <c r="D15" s="24">
        <f>+SUM(D16:D17)</f>
        <v>8.0687099999999994</v>
      </c>
      <c r="E15" s="21">
        <f t="shared" si="0"/>
        <v>-1.7695388432104608</v>
      </c>
      <c r="F15" s="21">
        <f>(D15/D$13)*100</f>
        <v>0.24401930569124219</v>
      </c>
      <c r="G15" s="21">
        <f t="shared" ref="G15:H15" si="3">+SUM(G16:G17)</f>
        <v>1.930571</v>
      </c>
      <c r="H15" s="24">
        <f t="shared" si="3"/>
        <v>2.8279959999999997</v>
      </c>
      <c r="I15" s="21">
        <f t="shared" si="2"/>
        <v>46.484951861392275</v>
      </c>
      <c r="J15" s="21">
        <f t="shared" ref="J15:J41" si="4">(H15/H$13)*100</f>
        <v>0.32734513789296665</v>
      </c>
      <c r="K15" s="16"/>
    </row>
    <row r="16" spans="1:14">
      <c r="A16" s="14" t="s">
        <v>40</v>
      </c>
      <c r="B16" s="9" t="str">
        <f>CONCATENATE(A16,[14]resumen_pais_alta_tek!B7)</f>
        <v xml:space="preserve">   Ecuador</v>
      </c>
      <c r="C16" s="21">
        <f>[14]resumen_pais_alta_tek!C7/1000000</f>
        <v>7.6063150000000004</v>
      </c>
      <c r="D16" s="24">
        <f>[14]resumen_pais_alta_tek!D7/1000000</f>
        <v>5.6894780000000003</v>
      </c>
      <c r="E16" s="21">
        <f t="shared" si="0"/>
        <v>-25.200599764800693</v>
      </c>
      <c r="F16" s="21">
        <f t="shared" si="1"/>
        <v>0.17206498576669596</v>
      </c>
      <c r="G16" s="21">
        <f>[14]resumen_pais_alta_tek!E7/1000000</f>
        <v>1.920291</v>
      </c>
      <c r="H16" s="24">
        <f>[14]resumen_pais_alta_tek!F7/1000000</f>
        <v>2.123351</v>
      </c>
      <c r="I16" s="21">
        <f t="shared" si="2"/>
        <v>10.574438978259026</v>
      </c>
      <c r="J16" s="21">
        <f t="shared" si="4"/>
        <v>0.24578133274946948</v>
      </c>
      <c r="K16" s="16"/>
    </row>
    <row r="17" spans="1:11">
      <c r="A17" s="14" t="s">
        <v>40</v>
      </c>
      <c r="B17" s="9" t="str">
        <f>CONCATENATE(A17,[14]resumen_pais_alta_tek!B8)</f>
        <v xml:space="preserve">   Perú </v>
      </c>
      <c r="C17" s="21">
        <f>[14]resumen_pais_alta_tek!C8/1000000</f>
        <v>0.60774600000000001</v>
      </c>
      <c r="D17" s="24">
        <f>[14]resumen_pais_alta_tek!D8/1000000</f>
        <v>2.379232</v>
      </c>
      <c r="E17" s="21">
        <f t="shared" si="0"/>
        <v>291.48460047454034</v>
      </c>
      <c r="F17" s="21">
        <f t="shared" si="1"/>
        <v>7.1954319924546262E-2</v>
      </c>
      <c r="G17" s="21">
        <f>[14]resumen_pais_alta_tek!E8/1000000</f>
        <v>1.0279999999999999E-2</v>
      </c>
      <c r="H17" s="24">
        <f>[14]resumen_pais_alta_tek!F8/1000000</f>
        <v>0.70464499999999997</v>
      </c>
      <c r="I17" s="21">
        <f t="shared" si="2"/>
        <v>6754.523346303502</v>
      </c>
      <c r="J17" s="21">
        <f t="shared" si="4"/>
        <v>8.1563805143497189E-2</v>
      </c>
      <c r="K17" s="16"/>
    </row>
    <row r="18" spans="1:11">
      <c r="A18" s="14"/>
      <c r="B18" s="10" t="s">
        <v>35</v>
      </c>
      <c r="C18" s="21">
        <f>SUM(C19:C25)</f>
        <v>361.00495999999998</v>
      </c>
      <c r="D18" s="24">
        <f>SUM(D19:D25)</f>
        <v>297.96724999999998</v>
      </c>
      <c r="E18" s="21">
        <f t="shared" si="0"/>
        <v>-17.461729611692867</v>
      </c>
      <c r="F18" s="21">
        <f t="shared" si="1"/>
        <v>9.0113241724797142</v>
      </c>
      <c r="G18" s="21">
        <f>SUM(G19:G25)</f>
        <v>93.726905000000002</v>
      </c>
      <c r="H18" s="24">
        <f>SUM(H19:H25)</f>
        <v>99.16421299999999</v>
      </c>
      <c r="I18" s="21">
        <f t="shared" si="2"/>
        <v>5.8012243122719021</v>
      </c>
      <c r="J18" s="21">
        <f t="shared" si="4"/>
        <v>11.478418985929441</v>
      </c>
      <c r="K18" s="16"/>
    </row>
    <row r="19" spans="1:11">
      <c r="A19" s="14" t="s">
        <v>40</v>
      </c>
      <c r="B19" s="9" t="str">
        <f>CONCATENATE(A19,[14]resumen_pais_alta_tek!B23)</f>
        <v xml:space="preserve">   Brasil </v>
      </c>
      <c r="C19" s="21">
        <f>[14]resumen_pais_alta_tek!C23/1000000</f>
        <v>75.673889000000003</v>
      </c>
      <c r="D19" s="24">
        <f>[14]resumen_pais_alta_tek!D23/1000000</f>
        <v>63.936096999999997</v>
      </c>
      <c r="E19" s="21">
        <f t="shared" si="0"/>
        <v>-15.511019923926472</v>
      </c>
      <c r="F19" s="21">
        <f t="shared" si="1"/>
        <v>1.933598059485087</v>
      </c>
      <c r="G19" s="21">
        <f>[14]resumen_pais_alta_tek!E23/1000000</f>
        <v>15.912447999999999</v>
      </c>
      <c r="H19" s="24">
        <f>[14]resumen_pais_alta_tek!F23/1000000</f>
        <v>20.631119000000002</v>
      </c>
      <c r="I19" s="21">
        <f t="shared" si="2"/>
        <v>29.653960220325647</v>
      </c>
      <c r="J19" s="21">
        <f t="shared" si="4"/>
        <v>2.3880855892091803</v>
      </c>
      <c r="K19" s="16"/>
    </row>
    <row r="20" spans="1:11">
      <c r="A20" s="14" t="s">
        <v>40</v>
      </c>
      <c r="B20" s="9" t="str">
        <f>CONCATENATE(A20,[14]resumen_pais_alta_tek!B24)</f>
        <v xml:space="preserve">   Cuba </v>
      </c>
      <c r="C20" s="21">
        <f>[14]resumen_pais_alta_tek!C24/1000000</f>
        <v>3.8400000000000001E-4</v>
      </c>
      <c r="D20" s="24">
        <f>[14]resumen_pais_alta_tek!D24/1000000</f>
        <v>4.86E-4</v>
      </c>
      <c r="E20" s="21">
        <f t="shared" si="0"/>
        <v>26.5625</v>
      </c>
      <c r="F20" s="21">
        <f t="shared" si="1"/>
        <v>1.4697935923579324E-5</v>
      </c>
      <c r="G20" s="21">
        <f>[14]resumen_pais_alta_tek!E24/1000000</f>
        <v>0</v>
      </c>
      <c r="H20" s="24">
        <f>[14]resumen_pais_alta_tek!F24/1000000</f>
        <v>4.86E-4</v>
      </c>
      <c r="I20" s="21" t="str">
        <f t="shared" si="2"/>
        <v/>
      </c>
      <c r="J20" s="21">
        <f t="shared" si="4"/>
        <v>5.6255290677915321E-5</v>
      </c>
      <c r="K20" s="16"/>
    </row>
    <row r="21" spans="1:11">
      <c r="A21" s="14" t="s">
        <v>40</v>
      </c>
      <c r="B21" s="9" t="str">
        <f>CONCATENATE(A21,[14]resumen_pais_alta_tek!B25)</f>
        <v xml:space="preserve">   Chile </v>
      </c>
      <c r="C21" s="21">
        <f>[14]resumen_pais_alta_tek!C25/1000000</f>
        <v>3.4083770000000002</v>
      </c>
      <c r="D21" s="24">
        <f>[14]resumen_pais_alta_tek!D25/1000000</f>
        <v>2.0564909999999998</v>
      </c>
      <c r="E21" s="21">
        <f t="shared" si="0"/>
        <v>-39.663628759377268</v>
      </c>
      <c r="F21" s="21">
        <f t="shared" si="1"/>
        <v>6.2193771492628738E-2</v>
      </c>
      <c r="G21" s="21">
        <f>[14]resumen_pais_alta_tek!E25/1000000</f>
        <v>0.80501800000000001</v>
      </c>
      <c r="H21" s="24">
        <f>[14]resumen_pais_alta_tek!F25/1000000</f>
        <v>0.39807399999999998</v>
      </c>
      <c r="I21" s="21">
        <f t="shared" si="2"/>
        <v>-50.550919358324911</v>
      </c>
      <c r="J21" s="21">
        <f t="shared" si="4"/>
        <v>4.6077713130289008E-2</v>
      </c>
      <c r="K21" s="16"/>
    </row>
    <row r="22" spans="1:11">
      <c r="A22" s="14" t="s">
        <v>40</v>
      </c>
      <c r="B22" s="9" t="str">
        <f>CONCATENATE(A22,[14]resumen_pais_alta_tek!B26)</f>
        <v xml:space="preserve">   México </v>
      </c>
      <c r="C22" s="21">
        <f>[14]resumen_pais_alta_tek!C26/1000000</f>
        <v>277.89807999999999</v>
      </c>
      <c r="D22" s="24">
        <f>[14]resumen_pais_alta_tek!D26/1000000</f>
        <v>226.92121700000001</v>
      </c>
      <c r="E22" s="21">
        <f t="shared" si="0"/>
        <v>-18.343726232293498</v>
      </c>
      <c r="F22" s="21">
        <f t="shared" si="1"/>
        <v>6.8627026896432906</v>
      </c>
      <c r="G22" s="21">
        <f>[14]resumen_pais_alta_tek!E26/1000000</f>
        <v>76.188642999999999</v>
      </c>
      <c r="H22" s="24">
        <f>[14]resumen_pais_alta_tek!F26/1000000</f>
        <v>76.517405999999994</v>
      </c>
      <c r="I22" s="21">
        <f t="shared" si="2"/>
        <v>0.43151181994407484</v>
      </c>
      <c r="J22" s="21">
        <f t="shared" si="4"/>
        <v>8.8570142313787272</v>
      </c>
      <c r="K22" s="16"/>
    </row>
    <row r="23" spans="1:11">
      <c r="A23" s="14" t="s">
        <v>40</v>
      </c>
      <c r="B23" s="9" t="str">
        <f>CONCATENATE(A23,[14]resumen_pais_alta_tek!B27)</f>
        <v xml:space="preserve">   Paraguay </v>
      </c>
      <c r="C23" s="21">
        <f>[14]resumen_pais_alta_tek!C27/1000000</f>
        <v>1.211894</v>
      </c>
      <c r="D23" s="24">
        <f>[14]resumen_pais_alta_tek!D27/1000000</f>
        <v>1.5706059999999999</v>
      </c>
      <c r="E23" s="21">
        <f t="shared" si="0"/>
        <v>29.599288386608059</v>
      </c>
      <c r="F23" s="21">
        <f t="shared" si="1"/>
        <v>4.7499313475697996E-2</v>
      </c>
      <c r="G23" s="21">
        <f>[14]resumen_pais_alta_tek!E27/1000000</f>
        <v>0.13519400000000001</v>
      </c>
      <c r="H23" s="24">
        <f>[14]resumen_pais_alta_tek!F27/1000000</f>
        <v>0.47420600000000002</v>
      </c>
      <c r="I23" s="21">
        <f t="shared" si="2"/>
        <v>250.75964909685342</v>
      </c>
      <c r="J23" s="21">
        <f t="shared" si="4"/>
        <v>5.4890115990147134E-2</v>
      </c>
      <c r="K23" s="16"/>
    </row>
    <row r="24" spans="1:11">
      <c r="A24" s="14" t="s">
        <v>40</v>
      </c>
      <c r="B24" s="9" t="str">
        <f>CONCATENATE(A24,[14]resumen_pais_alta_tek!B28)</f>
        <v xml:space="preserve">   Uruguay </v>
      </c>
      <c r="C24" s="21">
        <f>[14]resumen_pais_alta_tek!C28/1000000</f>
        <v>1.3721840000000001</v>
      </c>
      <c r="D24" s="24">
        <f>[14]resumen_pais_alta_tek!D28/1000000</f>
        <v>2.3779219999999999</v>
      </c>
      <c r="E24" s="21">
        <f t="shared" si="0"/>
        <v>73.294689341954111</v>
      </c>
      <c r="F24" s="21">
        <f t="shared" si="1"/>
        <v>7.1914702031418906E-2</v>
      </c>
      <c r="G24" s="21">
        <f>[14]resumen_pais_alta_tek!E28/1000000</f>
        <v>0.329598</v>
      </c>
      <c r="H24" s="24">
        <f>[14]resumen_pais_alta_tek!F28/1000000</f>
        <v>0.205822</v>
      </c>
      <c r="I24" s="21">
        <f t="shared" si="2"/>
        <v>-37.553625932196191</v>
      </c>
      <c r="J24" s="21">
        <f t="shared" si="4"/>
        <v>2.3824231353724044E-2</v>
      </c>
      <c r="K24" s="16"/>
    </row>
    <row r="25" spans="1:11">
      <c r="A25" s="14" t="s">
        <v>40</v>
      </c>
      <c r="B25" s="9" t="str">
        <f>CONCATENATE(A25,[14]resumen_pais_alta_tek!B29)</f>
        <v xml:space="preserve">   Venezuela</v>
      </c>
      <c r="C25" s="21">
        <f>[14]resumen_pais_alta_tek!C29/1000000</f>
        <v>1.4401520000000001</v>
      </c>
      <c r="D25" s="24">
        <f>[14]resumen_pais_alta_tek!D29/1000000</f>
        <v>1.1044309999999999</v>
      </c>
      <c r="E25" s="21">
        <f t="shared" si="0"/>
        <v>-23.311497675245395</v>
      </c>
      <c r="F25" s="21">
        <f t="shared" si="1"/>
        <v>3.3400938415667977E-2</v>
      </c>
      <c r="G25" s="21">
        <f>[14]resumen_pais_alta_tek!E29/1000000</f>
        <v>0.35600399999999999</v>
      </c>
      <c r="H25" s="24">
        <f>[14]resumen_pais_alta_tek!F29/1000000</f>
        <v>0.93710000000000004</v>
      </c>
      <c r="I25" s="21">
        <f t="shared" si="2"/>
        <v>163.22737946764647</v>
      </c>
      <c r="J25" s="21">
        <f t="shared" si="4"/>
        <v>0.10847084957669639</v>
      </c>
      <c r="K25" s="16"/>
    </row>
    <row r="26" spans="1:11">
      <c r="A26" s="14" t="s">
        <v>40</v>
      </c>
      <c r="B26" s="9" t="str">
        <f>+[14]resumen_pais_alta_tek!B43</f>
        <v xml:space="preserve">Canadá </v>
      </c>
      <c r="C26" s="21">
        <f>+[14]resumen_pais_alta_tek!C43/1000000</f>
        <v>30.630728999999999</v>
      </c>
      <c r="D26" s="24">
        <f>+[14]resumen_pais_alta_tek!D43/1000000</f>
        <v>40.326230000000002</v>
      </c>
      <c r="E26" s="21">
        <f t="shared" ref="E26" si="5">IF(OR(OR(D26=0,C26=0),D26=""),"",(D26/C26-1)*100)</f>
        <v>31.652857494837949</v>
      </c>
      <c r="F26" s="21">
        <f>(D26/D$13)*100</f>
        <v>1.2195727254722681</v>
      </c>
      <c r="G26" s="21">
        <f>+[14]resumen_pais_alta_tek!E43/1000000</f>
        <v>5.1461329999999998</v>
      </c>
      <c r="H26" s="24">
        <f>+[14]resumen_pais_alta_tek!F43/1000000</f>
        <v>17.373943000000001</v>
      </c>
      <c r="I26" s="21">
        <f t="shared" ref="I26" si="6">IF(OR(OR(H26=0,G26=0),H26=""),"",(H26/G26-1)*100)</f>
        <v>237.6116202204646</v>
      </c>
      <c r="J26" s="21">
        <f t="shared" ref="J26" si="7">(H26/H$13)*100</f>
        <v>2.0110621680792842</v>
      </c>
      <c r="K26" s="16"/>
    </row>
    <row r="27" spans="1:11">
      <c r="A27" s="14" t="s">
        <v>40</v>
      </c>
      <c r="B27" s="9" t="str">
        <f>+[14]resumen_pais_alta_tek!B44</f>
        <v>Estados Unidos</v>
      </c>
      <c r="C27" s="21">
        <f>+[14]resumen_pais_alta_tek!C44/1000000</f>
        <v>372.96900699999998</v>
      </c>
      <c r="D27" s="24">
        <f>+[14]resumen_pais_alta_tek!D44/1000000</f>
        <v>962.63521600000001</v>
      </c>
      <c r="E27" s="21">
        <f t="shared" si="0"/>
        <v>158.10059225644989</v>
      </c>
      <c r="F27" s="21">
        <f>(D27/D$13)*100</f>
        <v>29.112655807713871</v>
      </c>
      <c r="G27" s="21">
        <f>+[14]resumen_pais_alta_tek!E44/1000000</f>
        <v>85.343064999999996</v>
      </c>
      <c r="H27" s="24">
        <f>+[14]resumen_pais_alta_tek!F44/1000000</f>
        <v>214.27998400000001</v>
      </c>
      <c r="I27" s="21">
        <f t="shared" si="2"/>
        <v>151.08072225903771</v>
      </c>
      <c r="J27" s="21">
        <f t="shared" si="4"/>
        <v>24.803256762096797</v>
      </c>
      <c r="K27" s="16"/>
    </row>
    <row r="28" spans="1:11">
      <c r="A28" s="14"/>
      <c r="B28" s="10" t="s">
        <v>32</v>
      </c>
      <c r="C28" s="21">
        <f>SUM(C29:C39)</f>
        <v>473.69079200000004</v>
      </c>
      <c r="D28" s="24">
        <f>SUM(D29:D39)</f>
        <v>681.56307800000002</v>
      </c>
      <c r="E28" s="21">
        <f t="shared" si="0"/>
        <v>43.883539539016404</v>
      </c>
      <c r="F28" s="21">
        <f t="shared" si="1"/>
        <v>20.612284873089497</v>
      </c>
      <c r="G28" s="21">
        <f>SUM(G29:G39)</f>
        <v>131.514534</v>
      </c>
      <c r="H28" s="24">
        <f>SUM(H29:H39)</f>
        <v>162.40930799999995</v>
      </c>
      <c r="I28" s="21">
        <f t="shared" si="2"/>
        <v>23.491528320360366</v>
      </c>
      <c r="J28" s="21">
        <f t="shared" si="4"/>
        <v>18.799141626212087</v>
      </c>
      <c r="K28" s="16"/>
    </row>
    <row r="29" spans="1:11">
      <c r="A29" s="14" t="s">
        <v>40</v>
      </c>
      <c r="B29" s="9" t="str">
        <f>CONCATENATE(A29,[14]resumen_pais_alta_tek!B58)</f>
        <v xml:space="preserve">   Alemania </v>
      </c>
      <c r="C29" s="21">
        <f>[14]resumen_pais_alta_tek!C58/1000000</f>
        <v>126.123152</v>
      </c>
      <c r="D29" s="24">
        <f>[14]resumen_pais_alta_tek!D58/1000000</f>
        <v>194.79981900000001</v>
      </c>
      <c r="E29" s="21">
        <f t="shared" ref="E29" si="8">IF(OR(OR(D29=0,C29=0),D29=""),"",(D29/C29-1)*100)</f>
        <v>54.452069989497254</v>
      </c>
      <c r="F29" s="21">
        <f t="shared" ref="F29" si="9">(D29/D$13)*100</f>
        <v>5.8912659621128602</v>
      </c>
      <c r="G29" s="21">
        <f>[14]resumen_pais_alta_tek!E58/1000000</f>
        <v>28.604433</v>
      </c>
      <c r="H29" s="24">
        <f>[14]resumen_pais_alta_tek!F58/1000000</f>
        <v>44.090877999999996</v>
      </c>
      <c r="I29" s="21">
        <f t="shared" ref="I29" si="10">IF(OR(OR(H29=0,G29=0),H29=""),"",(H29/G29-1)*100)</f>
        <v>54.140017388213899</v>
      </c>
      <c r="J29" s="21">
        <f t="shared" ref="J29" si="11">(H29/H$13)*100</f>
        <v>5.1035908603590556</v>
      </c>
      <c r="K29" s="16"/>
    </row>
    <row r="30" spans="1:11">
      <c r="A30" s="14" t="s">
        <v>40</v>
      </c>
      <c r="B30" s="9" t="str">
        <f>CONCATENATE(A30,[14]resumen_pais_alta_tek!B59)</f>
        <v xml:space="preserve">   Austria </v>
      </c>
      <c r="C30" s="21">
        <f>[14]resumen_pais_alta_tek!C59/1000000</f>
        <v>6.8715479999999998</v>
      </c>
      <c r="D30" s="24">
        <f>[14]resumen_pais_alta_tek!D59/1000000</f>
        <v>11.66581</v>
      </c>
      <c r="E30" s="21">
        <f t="shared" si="0"/>
        <v>69.769752026763115</v>
      </c>
      <c r="F30" s="21">
        <f t="shared" si="1"/>
        <v>0.35280520139228583</v>
      </c>
      <c r="G30" s="21">
        <f>[14]resumen_pais_alta_tek!E59/1000000</f>
        <v>2.5166499999999998</v>
      </c>
      <c r="H30" s="24">
        <f>[14]resumen_pais_alta_tek!F59/1000000</f>
        <v>3.2889879999999998</v>
      </c>
      <c r="I30" s="21">
        <f t="shared" si="2"/>
        <v>30.689130391592002</v>
      </c>
      <c r="J30" s="21">
        <f t="shared" si="4"/>
        <v>0.38070571188513441</v>
      </c>
      <c r="K30" s="16"/>
    </row>
    <row r="31" spans="1:11">
      <c r="A31" s="14" t="s">
        <v>40</v>
      </c>
      <c r="B31" s="9" t="str">
        <f>CONCATENATE(A31,[14]resumen_pais_alta_tek!B60)</f>
        <v xml:space="preserve">   Bélgica </v>
      </c>
      <c r="C31" s="21">
        <f>[14]resumen_pais_alta_tek!C60/1000000</f>
        <v>29.157043999999999</v>
      </c>
      <c r="D31" s="24">
        <f>[14]resumen_pais_alta_tek!D60/1000000</f>
        <v>30.295432999999999</v>
      </c>
      <c r="E31" s="21">
        <f t="shared" si="0"/>
        <v>3.9043361185722381</v>
      </c>
      <c r="F31" s="21">
        <f t="shared" si="1"/>
        <v>0.91621467697755243</v>
      </c>
      <c r="G31" s="21">
        <f>[14]resumen_pais_alta_tek!E60/1000000</f>
        <v>3.7095120000000001</v>
      </c>
      <c r="H31" s="24">
        <f>[14]resumen_pais_alta_tek!F60/1000000</f>
        <v>14.681372</v>
      </c>
      <c r="I31" s="21">
        <f t="shared" si="2"/>
        <v>295.77637166290333</v>
      </c>
      <c r="J31" s="21">
        <f t="shared" si="4"/>
        <v>1.699392694260508</v>
      </c>
      <c r="K31" s="16"/>
    </row>
    <row r="32" spans="1:11">
      <c r="A32" s="14" t="s">
        <v>40</v>
      </c>
      <c r="B32" s="9" t="str">
        <f>CONCATENATE(A32,[14]resumen_pais_alta_tek!B61)</f>
        <v xml:space="preserve">   España </v>
      </c>
      <c r="C32" s="21">
        <f>[14]resumen_pais_alta_tek!C61/1000000</f>
        <v>23.568082</v>
      </c>
      <c r="D32" s="24">
        <f>[14]resumen_pais_alta_tek!D61/1000000</f>
        <v>62.605325000000001</v>
      </c>
      <c r="E32" s="21">
        <f t="shared" si="0"/>
        <v>165.63606236604235</v>
      </c>
      <c r="F32" s="21">
        <f t="shared" si="1"/>
        <v>1.8933519656890097</v>
      </c>
      <c r="G32" s="21">
        <f>[14]resumen_pais_alta_tek!E61/1000000</f>
        <v>6.7634350000000003</v>
      </c>
      <c r="H32" s="24">
        <f>[14]resumen_pais_alta_tek!F61/1000000</f>
        <v>7.5591419999999996</v>
      </c>
      <c r="I32" s="21">
        <f t="shared" si="2"/>
        <v>11.764835471916246</v>
      </c>
      <c r="J32" s="21">
        <f t="shared" si="4"/>
        <v>0.87498298453834999</v>
      </c>
      <c r="K32" s="16"/>
    </row>
    <row r="33" spans="1:11">
      <c r="A33" s="14" t="s">
        <v>40</v>
      </c>
      <c r="B33" s="9" t="str">
        <f>CONCATENATE(A33,[14]resumen_pais_alta_tek!B62)</f>
        <v xml:space="preserve">   Finlandia </v>
      </c>
      <c r="C33" s="21">
        <f>[14]resumen_pais_alta_tek!C62/1000000</f>
        <v>8.130217</v>
      </c>
      <c r="D33" s="24">
        <f>[14]resumen_pais_alta_tek!D62/1000000</f>
        <v>50.114216999999996</v>
      </c>
      <c r="E33" s="21">
        <f t="shared" si="0"/>
        <v>516.39458085805086</v>
      </c>
      <c r="F33" s="21">
        <f t="shared" si="1"/>
        <v>1.5155875521118305</v>
      </c>
      <c r="G33" s="21">
        <f>[14]resumen_pais_alta_tek!E62/1000000</f>
        <v>2.3337400000000001</v>
      </c>
      <c r="H33" s="24">
        <f>[14]resumen_pais_alta_tek!F62/1000000</f>
        <v>3.5554329999999998</v>
      </c>
      <c r="I33" s="21">
        <f t="shared" si="2"/>
        <v>52.349147719968791</v>
      </c>
      <c r="J33" s="21">
        <f t="shared" si="4"/>
        <v>0.4115471541169804</v>
      </c>
      <c r="K33" s="16"/>
    </row>
    <row r="34" spans="1:11">
      <c r="A34" s="14" t="s">
        <v>40</v>
      </c>
      <c r="B34" s="9" t="str">
        <f>CONCATENATE(A34,[14]resumen_pais_alta_tek!B63)</f>
        <v xml:space="preserve">   Francia </v>
      </c>
      <c r="C34" s="21">
        <f>[14]resumen_pais_alta_tek!C63/1000000</f>
        <v>149.74364800000001</v>
      </c>
      <c r="D34" s="24">
        <f>[14]resumen_pais_alta_tek!D63/1000000</f>
        <v>160.310451</v>
      </c>
      <c r="E34" s="21">
        <f t="shared" si="0"/>
        <v>7.0565951485300982</v>
      </c>
      <c r="F34" s="21">
        <f t="shared" si="1"/>
        <v>4.8482155075681126</v>
      </c>
      <c r="G34" s="21">
        <f>[14]resumen_pais_alta_tek!E63/1000000</f>
        <v>53.463231</v>
      </c>
      <c r="H34" s="24">
        <f>[14]resumen_pais_alta_tek!F63/1000000</f>
        <v>28.60256</v>
      </c>
      <c r="I34" s="21">
        <f t="shared" si="2"/>
        <v>-46.500502373303995</v>
      </c>
      <c r="J34" s="21">
        <f t="shared" si="4"/>
        <v>3.3107928537706042</v>
      </c>
      <c r="K34" s="16"/>
    </row>
    <row r="35" spans="1:11">
      <c r="A35" s="14" t="s">
        <v>40</v>
      </c>
      <c r="B35" s="9" t="str">
        <f>CONCATENATE(A35,[14]resumen_pais_alta_tek!B64)</f>
        <v xml:space="preserve">   Irlanda </v>
      </c>
      <c r="C35" s="21">
        <f>[14]resumen_pais_alta_tek!C64/1000000</f>
        <v>17.634834999999999</v>
      </c>
      <c r="D35" s="24">
        <f>[14]resumen_pais_alta_tek!D64/1000000</f>
        <v>31.577987</v>
      </c>
      <c r="E35" s="21">
        <f t="shared" si="0"/>
        <v>79.065962341014256</v>
      </c>
      <c r="F35" s="21">
        <f t="shared" si="1"/>
        <v>0.95500252987987833</v>
      </c>
      <c r="G35" s="21">
        <f>[14]resumen_pais_alta_tek!E64/1000000</f>
        <v>3.5782229999999999</v>
      </c>
      <c r="H35" s="24">
        <f>[14]resumen_pais_alta_tek!F64/1000000</f>
        <v>12.044582999999999</v>
      </c>
      <c r="I35" s="21">
        <f t="shared" si="2"/>
        <v>236.60794757621312</v>
      </c>
      <c r="J35" s="21">
        <f t="shared" si="4"/>
        <v>1.3941800776939861</v>
      </c>
      <c r="K35" s="16"/>
    </row>
    <row r="36" spans="1:11">
      <c r="A36" s="14" t="s">
        <v>40</v>
      </c>
      <c r="B36" s="7" t="str">
        <f>CONCATENATE(A36,[14]resumen_pais_alta_tek!B65)</f>
        <v xml:space="preserve">   Italia </v>
      </c>
      <c r="C36" s="21">
        <f>[14]resumen_pais_alta_tek!C65/1000000</f>
        <v>40.139811000000002</v>
      </c>
      <c r="D36" s="24">
        <f>[14]resumen_pais_alta_tek!D65/1000000</f>
        <v>52.781840000000003</v>
      </c>
      <c r="E36" s="21">
        <f t="shared" si="0"/>
        <v>31.494988852837391</v>
      </c>
      <c r="F36" s="21">
        <f t="shared" si="1"/>
        <v>1.5962635848736959</v>
      </c>
      <c r="G36" s="21">
        <f>[14]resumen_pais_alta_tek!E65/1000000</f>
        <v>9.8377759999999999</v>
      </c>
      <c r="H36" s="24">
        <f>[14]resumen_pais_alta_tek!F65/1000000</f>
        <v>14.731351</v>
      </c>
      <c r="I36" s="21">
        <f t="shared" si="2"/>
        <v>49.742695910132539</v>
      </c>
      <c r="J36" s="21">
        <f t="shared" si="4"/>
        <v>1.7051778448218073</v>
      </c>
      <c r="K36" s="16"/>
    </row>
    <row r="37" spans="1:11">
      <c r="A37" s="14" t="s">
        <v>40</v>
      </c>
      <c r="B37" s="7" t="str">
        <f>CONCATENATE(A37,[14]resumen_pais_alta_tek!B66)</f>
        <v xml:space="preserve">   Países Bajos </v>
      </c>
      <c r="C37" s="21">
        <f>[14]resumen_pais_alta_tek!C66/1000000</f>
        <v>14.062428000000001</v>
      </c>
      <c r="D37" s="24">
        <f>[14]resumen_pais_alta_tek!D66/1000000</f>
        <v>13.990000999999999</v>
      </c>
      <c r="E37" s="21">
        <f t="shared" si="0"/>
        <v>-0.51503908144454602</v>
      </c>
      <c r="F37" s="21">
        <f t="shared" si="1"/>
        <v>0.42309493470948695</v>
      </c>
      <c r="G37" s="21">
        <f>[14]resumen_pais_alta_tek!E66/1000000</f>
        <v>2.685867</v>
      </c>
      <c r="H37" s="24">
        <f>[14]resumen_pais_alta_tek!F66/1000000</f>
        <v>3.3677549999999998</v>
      </c>
      <c r="I37" s="21">
        <f t="shared" si="2"/>
        <v>25.388003203434863</v>
      </c>
      <c r="J37" s="21">
        <f t="shared" si="4"/>
        <v>0.38982312028189847</v>
      </c>
      <c r="K37" s="16"/>
    </row>
    <row r="38" spans="1:11">
      <c r="A38" s="14" t="s">
        <v>40</v>
      </c>
      <c r="B38" s="7" t="str">
        <f>CONCATENATE(A38,[14]resumen_pais_alta_tek!B67)</f>
        <v xml:space="preserve">   Reino Unido </v>
      </c>
      <c r="C38" s="21">
        <f>[14]resumen_pais_alta_tek!C67/1000000</f>
        <v>37.447901000000002</v>
      </c>
      <c r="D38" s="24">
        <f>[14]resumen_pais_alta_tek!D67/1000000</f>
        <v>35.500315000000001</v>
      </c>
      <c r="E38" s="21">
        <f t="shared" si="0"/>
        <v>-5.200788156324176</v>
      </c>
      <c r="F38" s="21">
        <f t="shared" si="1"/>
        <v>1.0736241875244483</v>
      </c>
      <c r="G38" s="21">
        <f>[14]resumen_pais_alta_tek!E67/1000000</f>
        <v>13.858293</v>
      </c>
      <c r="H38" s="24">
        <f>[14]resumen_pais_alta_tek!F67/1000000</f>
        <v>12.768445</v>
      </c>
      <c r="I38" s="21">
        <f t="shared" si="2"/>
        <v>-7.8642297431581243</v>
      </c>
      <c r="J38" s="21">
        <f t="shared" si="4"/>
        <v>1.4779682818517992</v>
      </c>
      <c r="K38" s="16"/>
    </row>
    <row r="39" spans="1:11">
      <c r="A39" s="14" t="s">
        <v>40</v>
      </c>
      <c r="B39" s="9" t="str">
        <f>CONCATENATE(A39,[14]resumen_pais_alta_tek!B68)</f>
        <v xml:space="preserve">   Resto </v>
      </c>
      <c r="C39" s="21">
        <f>[14]resumen_pais_alta_tek!C68/1000000</f>
        <v>20.812125999999999</v>
      </c>
      <c r="D39" s="24">
        <f>[14]resumen_pais_alta_tek!D68/1000000</f>
        <v>37.921880000000002</v>
      </c>
      <c r="E39" s="21">
        <f t="shared" si="0"/>
        <v>82.210505548544162</v>
      </c>
      <c r="F39" s="21">
        <f t="shared" si="1"/>
        <v>1.1468587702503381</v>
      </c>
      <c r="G39" s="21">
        <f>[14]resumen_pais_alta_tek!E68/1000000</f>
        <v>4.1633740000000001</v>
      </c>
      <c r="H39" s="24">
        <f>[14]resumen_pais_alta_tek!F68/1000000</f>
        <v>17.718800999999999</v>
      </c>
      <c r="I39" s="21">
        <f t="shared" si="2"/>
        <v>325.58754029784495</v>
      </c>
      <c r="J39" s="21">
        <f t="shared" si="4"/>
        <v>2.0509800426319682</v>
      </c>
      <c r="K39" s="16"/>
    </row>
    <row r="40" spans="1:11">
      <c r="A40" s="14"/>
      <c r="B40" s="9" t="str">
        <f>+[14]resumen_pais_alta_tek!B82</f>
        <v>Corea del Sur</v>
      </c>
      <c r="C40" s="21">
        <f>+[14]resumen_pais_alta_tek!C82/1000000</f>
        <v>25.169592000000002</v>
      </c>
      <c r="D40" s="24">
        <f>+[14]resumen_pais_alta_tek!D82/1000000</f>
        <v>20.515003</v>
      </c>
      <c r="E40" s="21">
        <f t="shared" ref="E40" si="12">IF(OR(OR(D40=0,C40=0),D40=""),"",(D40/C40-1)*100)</f>
        <v>-18.492906043133317</v>
      </c>
      <c r="F40" s="21">
        <f t="shared" ref="F40" si="13">(D40/D$13)*100</f>
        <v>0.62042839416880158</v>
      </c>
      <c r="G40" s="21">
        <f>+[14]resumen_pais_alta_tek!E82/1000000</f>
        <v>2.3382239999999999</v>
      </c>
      <c r="H40" s="24">
        <f>+[14]resumen_pais_alta_tek!F82/1000000</f>
        <v>7.3333430000000002</v>
      </c>
      <c r="I40" s="21">
        <f t="shared" ref="I40" si="14">IF(OR(OR(H40=0,G40=0),H40=""),"",(H40/G40-1)*100)</f>
        <v>213.62876268484118</v>
      </c>
      <c r="J40" s="21">
        <f t="shared" ref="J40" si="15">(H40/H$13)*100</f>
        <v>0.84884638293385906</v>
      </c>
      <c r="K40" s="16"/>
    </row>
    <row r="41" spans="1:11">
      <c r="A41" s="14"/>
      <c r="B41" s="9" t="str">
        <f>+[14]resumen_pais_alta_tek!B83</f>
        <v xml:space="preserve">China </v>
      </c>
      <c r="C41" s="21">
        <f>+[14]resumen_pais_alta_tek!C83/1000000</f>
        <v>751.91416300000003</v>
      </c>
      <c r="D41" s="24">
        <f>+[14]resumen_pais_alta_tek!D83/1000000</f>
        <v>920.11390100000006</v>
      </c>
      <c r="E41" s="21">
        <f t="shared" si="0"/>
        <v>22.369539806101525</v>
      </c>
      <c r="F41" s="21">
        <f t="shared" si="1"/>
        <v>27.826697858626769</v>
      </c>
      <c r="G41" s="21">
        <f>+[14]resumen_pais_alta_tek!E83/1000000</f>
        <v>196.50801000000001</v>
      </c>
      <c r="H41" s="24">
        <f>+[14]resumen_pais_alta_tek!F83/1000000</f>
        <v>249.086536</v>
      </c>
      <c r="I41" s="21">
        <f t="shared" si="2"/>
        <v>26.756428910963969</v>
      </c>
      <c r="J41" s="21">
        <f t="shared" si="4"/>
        <v>28.832171783199623</v>
      </c>
      <c r="K41" s="16"/>
    </row>
    <row r="42" spans="1:11">
      <c r="A42" s="14"/>
      <c r="B42" s="9" t="str">
        <f>+[14]resumen_pais_alta_tek!B84</f>
        <v xml:space="preserve">Japón </v>
      </c>
      <c r="C42" s="21">
        <f>+[14]resumen_pais_alta_tek!C84/1000000</f>
        <v>47.340418</v>
      </c>
      <c r="D42" s="24">
        <f>+[14]resumen_pais_alta_tek!D84/1000000</f>
        <v>44.938569999999999</v>
      </c>
      <c r="E42" s="21">
        <f t="shared" ref="E42" si="16">IF(OR(OR(D42=0,C42=0),D42=""),"",(D42/C42-1)*100)</f>
        <v>-5.0735673690080247</v>
      </c>
      <c r="F42" s="21">
        <f t="shared" ref="F42" si="17">(D42/D$13)*100</f>
        <v>1.3590621859203376</v>
      </c>
      <c r="G42" s="21">
        <f>+[14]resumen_pais_alta_tek!E84/1000000</f>
        <v>12.651951</v>
      </c>
      <c r="H42" s="24">
        <f>+[14]resumen_pais_alta_tek!F84/1000000</f>
        <v>12.888515</v>
      </c>
      <c r="I42" s="21">
        <f t="shared" ref="I42" si="18">IF(OR(OR(H42=0,G42=0),H42=""),"",(H42/G42-1)*100)</f>
        <v>1.8697827710524528</v>
      </c>
      <c r="J42" s="21">
        <f t="shared" ref="J42" si="19">(H42/H$13)*100</f>
        <v>1.4918665796947979</v>
      </c>
      <c r="K42" s="16"/>
    </row>
    <row r="43" spans="1:11">
      <c r="A43" s="14"/>
      <c r="B43" s="9" t="s">
        <v>2</v>
      </c>
      <c r="C43" s="21">
        <f>+C13-C14-C27-C28-C41-C42-C26-C40</f>
        <v>272.43798160004354</v>
      </c>
      <c r="D43" s="24">
        <f>+D13-D14-D27-D28-D41-D42-D26-D40</f>
        <v>330.45877994004741</v>
      </c>
      <c r="E43" s="21">
        <f t="shared" si="0"/>
        <v>21.296883055455208</v>
      </c>
      <c r="F43" s="21">
        <f>(D43/D$13)*100</f>
        <v>9.9939546768374843</v>
      </c>
      <c r="G43" s="21">
        <f>+G13-G14-G27-G28-G41-G42-G26-G40</f>
        <v>76.820934109996742</v>
      </c>
      <c r="H43" s="24">
        <f t="shared" ref="H43" si="20">+H13-H14-H27-H28-H41-H42-H26-H40</f>
        <v>98.554904829985531</v>
      </c>
      <c r="I43" s="21">
        <f t="shared" si="2"/>
        <v>28.291729294607126</v>
      </c>
      <c r="J43" s="21">
        <f>(H43/H$13)*100</f>
        <v>11.407890573961144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0"/>
      <c r="E46" s="20"/>
    </row>
    <row r="47" spans="1:11">
      <c r="B47" s="20"/>
      <c r="C47" s="20"/>
      <c r="D47" s="80"/>
      <c r="E47" s="20"/>
    </row>
    <row r="48" spans="1:11">
      <c r="C48" s="20"/>
      <c r="D48" s="80"/>
    </row>
    <row r="49" spans="3:5">
      <c r="C49" s="20"/>
      <c r="D49" s="80"/>
    </row>
    <row r="50" spans="3:5">
      <c r="C50" s="20"/>
      <c r="D50" s="80"/>
      <c r="E50" s="80"/>
    </row>
    <row r="51" spans="3: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4">
        <f>+Principales_paises!C14</f>
        <v>1854.6116825499821</v>
      </c>
      <c r="D13" s="24">
        <f>+Principales_paises!D14</f>
        <v>3001.4386970000655</v>
      </c>
      <c r="E13" s="24">
        <f>IF(OR(OR(D13=0,C13=0),D13=""),"",(D13/C13-1)*100)</f>
        <v>61.836503309051928</v>
      </c>
      <c r="F13" s="22">
        <f>(D13/D$13)*100</f>
        <v>100</v>
      </c>
      <c r="G13" s="24">
        <f>+Principales_paises!G14</f>
        <v>406.67092777999505</v>
      </c>
      <c r="H13" s="24">
        <f>+Principales_paises!H14</f>
        <v>669.45335191000311</v>
      </c>
      <c r="I13" s="24">
        <f>IF(OR(OR(H13=0,G13=0),H13=""),"",(H13/G13-1)*100)</f>
        <v>64.617951807996164</v>
      </c>
      <c r="J13" s="22">
        <f>(H13/H$13)*100</f>
        <v>100</v>
      </c>
      <c r="K13" s="16"/>
    </row>
    <row r="14" spans="1:14">
      <c r="A14" s="14"/>
      <c r="B14" s="9" t="str">
        <f>+[7]Subpartida_Pais1!B2</f>
        <v>Gasóleo</v>
      </c>
      <c r="C14" s="21">
        <f>+[7]Subpartida_Pais1!C2</f>
        <v>436.19340059999996</v>
      </c>
      <c r="D14" s="24">
        <f>+[7]Subpartida_Pais1!E2</f>
        <v>770.91743556999995</v>
      </c>
      <c r="E14" s="21">
        <f t="shared" ref="E14:E44" si="0">IF(OR(OR(D14=0,C14=0),D14=""),"",(D14/C14-1)*100)</f>
        <v>76.737528470071965</v>
      </c>
      <c r="F14" s="21">
        <f t="shared" ref="F14:F44" si="1">(D14/D$13)*100</f>
        <v>25.684930241638153</v>
      </c>
      <c r="G14" s="21">
        <f>+[7]Subpartida_Pais1!D2</f>
        <v>92.101749010000006</v>
      </c>
      <c r="H14" s="24">
        <f>+[7]Subpartida_Pais1!F2</f>
        <v>109.40036995</v>
      </c>
      <c r="I14" s="21">
        <f t="shared" ref="I14:I44" si="2">IF(OR(OR(H14=0,G14=0),H14=""),"",(H14/G14-1)*100)</f>
        <v>18.782076481654862</v>
      </c>
      <c r="J14" s="21">
        <f>(H14/H$13)*100</f>
        <v>16.34174653661411</v>
      </c>
      <c r="K14" s="16"/>
    </row>
    <row r="15" spans="1:14">
      <c r="A15" s="14"/>
      <c r="B15" s="9" t="str">
        <f>+[7]Subpartida_Pais1!B3</f>
        <v>Aviones &gt; 15 mil kg</v>
      </c>
      <c r="C15" s="21">
        <f>+[7]Subpartida_Pais1!C3</f>
        <v>6.4003343099999999</v>
      </c>
      <c r="D15" s="24">
        <f>+[7]Subpartida_Pais1!E3</f>
        <v>343.82565829999999</v>
      </c>
      <c r="E15" s="21">
        <f t="shared" si="0"/>
        <v>5271.9952997267728</v>
      </c>
      <c r="F15" s="21">
        <f t="shared" si="1"/>
        <v>11.455361678506156</v>
      </c>
      <c r="G15" s="21">
        <f>+[7]Subpartida_Pais1!D3</f>
        <v>0.9224</v>
      </c>
      <c r="H15" s="24">
        <f>+[7]Subpartida_Pais1!F3</f>
        <v>79.571002499999992</v>
      </c>
      <c r="I15" s="21">
        <f t="shared" si="2"/>
        <v>8526.5180507372061</v>
      </c>
      <c r="J15" s="21">
        <f t="shared" ref="J15:J44" si="3">(H15/H$13)*100</f>
        <v>11.885966702979028</v>
      </c>
      <c r="K15" s="16"/>
    </row>
    <row r="16" spans="1:14">
      <c r="A16" s="14"/>
      <c r="B16" s="9" t="str">
        <f>+[7]Subpartida_Pais1!B4</f>
        <v>Helicopteros &lt; 2000 kg</v>
      </c>
      <c r="C16" s="21">
        <f>+[7]Subpartida_Pais1!C4</f>
        <v>0</v>
      </c>
      <c r="D16" s="24">
        <f>+[7]Subpartida_Pais1!E4</f>
        <v>229.52158145999999</v>
      </c>
      <c r="E16" s="21" t="str">
        <f t="shared" si="0"/>
        <v/>
      </c>
      <c r="F16" s="21">
        <f t="shared" si="1"/>
        <v>7.6470521183526596</v>
      </c>
      <c r="G16" s="21">
        <f>+[7]Subpartida_Pais1!D4</f>
        <v>0</v>
      </c>
      <c r="H16" s="24">
        <f>+[7]Subpartida_Pais1!F4</f>
        <v>15.2735585</v>
      </c>
      <c r="I16" s="21" t="str">
        <f t="shared" si="2"/>
        <v/>
      </c>
      <c r="J16" s="21">
        <f t="shared" si="3"/>
        <v>2.2814970537414347</v>
      </c>
      <c r="K16" s="16"/>
    </row>
    <row r="17" spans="1:11">
      <c r="A17" s="14"/>
      <c r="B17" s="9" t="str">
        <f>+[7]Subpartida_Pais1!B5</f>
        <v>Aceites livianos</v>
      </c>
      <c r="C17" s="21">
        <f>+[7]Subpartida_Pais1!C5</f>
        <v>64.596427249999991</v>
      </c>
      <c r="D17" s="24">
        <f>+[7]Subpartida_Pais1!E5</f>
        <v>136.68649754</v>
      </c>
      <c r="E17" s="21">
        <f t="shared" si="0"/>
        <v>111.6007082109948</v>
      </c>
      <c r="F17" s="21">
        <f t="shared" si="1"/>
        <v>4.5540326269737914</v>
      </c>
      <c r="G17" s="21">
        <f>+[7]Subpartida_Pais1!D5</f>
        <v>2.1030000000000002E-4</v>
      </c>
      <c r="H17" s="24">
        <f>+[7]Subpartida_Pais1!F5</f>
        <v>12.090380229999999</v>
      </c>
      <c r="I17" s="21">
        <f t="shared" si="2"/>
        <v>5749010.9034712315</v>
      </c>
      <c r="J17" s="21">
        <f t="shared" si="3"/>
        <v>1.8060078712736582</v>
      </c>
      <c r="K17" s="16"/>
    </row>
    <row r="18" spans="1:11">
      <c r="A18" s="14"/>
      <c r="B18" s="9" t="str">
        <f>+[7]Subpartida_Pais1!B6</f>
        <v>Gasolinas</v>
      </c>
      <c r="C18" s="21">
        <f>+[7]Subpartida_Pais1!C6</f>
        <v>7.7677409999999988E-2</v>
      </c>
      <c r="D18" s="24">
        <f>+[7]Subpartida_Pais1!E6</f>
        <v>80.356509070000001</v>
      </c>
      <c r="E18" s="21">
        <f t="shared" si="0"/>
        <v>103349.00669319434</v>
      </c>
      <c r="F18" s="21">
        <f t="shared" si="1"/>
        <v>2.6772663772982019</v>
      </c>
      <c r="G18" s="21">
        <f>+[7]Subpartida_Pais1!D6</f>
        <v>3.6413419999999995E-2</v>
      </c>
      <c r="H18" s="24">
        <f>+[7]Subpartida_Pais1!F6</f>
        <v>27.903655049999998</v>
      </c>
      <c r="I18" s="21">
        <f t="shared" si="2"/>
        <v>76530.140893110292</v>
      </c>
      <c r="J18" s="21">
        <f t="shared" si="3"/>
        <v>4.1681253772781437</v>
      </c>
      <c r="K18" s="16"/>
    </row>
    <row r="19" spans="1:11">
      <c r="A19" s="14"/>
      <c r="B19" s="9" t="str">
        <f>+[7]Subpartida_Pais1!B7</f>
        <v>Partes de aviones</v>
      </c>
      <c r="C19" s="21">
        <f>+[7]Subpartida_Pais1!C7</f>
        <v>42.532342550000045</v>
      </c>
      <c r="D19" s="24">
        <f>+[7]Subpartida_Pais1!E7</f>
        <v>40.43102077999999</v>
      </c>
      <c r="E19" s="21">
        <f t="shared" si="0"/>
        <v>-4.9405267709620944</v>
      </c>
      <c r="F19" s="21">
        <f t="shared" si="1"/>
        <v>1.3470546914854782</v>
      </c>
      <c r="G19" s="21">
        <f>+[7]Subpartida_Pais1!D7</f>
        <v>11.448882720000002</v>
      </c>
      <c r="H19" s="24">
        <f>+[7]Subpartida_Pais1!F7</f>
        <v>17.385113219999997</v>
      </c>
      <c r="I19" s="21">
        <f t="shared" si="2"/>
        <v>51.849867320502987</v>
      </c>
      <c r="J19" s="21">
        <f t="shared" si="3"/>
        <v>2.5969118192326475</v>
      </c>
      <c r="K19" s="16"/>
    </row>
    <row r="20" spans="1:11">
      <c r="A20" s="14"/>
      <c r="B20" s="9" t="str">
        <f>+[7]Subpartida_Pais1!B8</f>
        <v>Medicamentos uso humano</v>
      </c>
      <c r="C20" s="21">
        <f>+[7]Subpartida_Pais1!C8</f>
        <v>19.618598630000012</v>
      </c>
      <c r="D20" s="24">
        <f>+[7]Subpartida_Pais1!E8</f>
        <v>26.268784700000012</v>
      </c>
      <c r="E20" s="21">
        <f t="shared" si="0"/>
        <v>33.897355236325531</v>
      </c>
      <c r="F20" s="21">
        <f t="shared" si="1"/>
        <v>0.87520643770787765</v>
      </c>
      <c r="G20" s="21">
        <f>+[7]Subpartida_Pais1!D8</f>
        <v>5.7188703700000003</v>
      </c>
      <c r="H20" s="24">
        <f>+[7]Subpartida_Pais1!F8</f>
        <v>6.4734391500000008</v>
      </c>
      <c r="I20" s="21">
        <f t="shared" si="2"/>
        <v>13.194367614246172</v>
      </c>
      <c r="J20" s="21">
        <f t="shared" si="3"/>
        <v>0.96697389467552441</v>
      </c>
      <c r="K20" s="16"/>
    </row>
    <row r="21" spans="1:11">
      <c r="A21" s="14"/>
      <c r="B21" s="9" t="str">
        <f>+[7]Subpartida_Pais1!B9</f>
        <v>Camperos 1500 y 3000 cm3</v>
      </c>
      <c r="C21" s="21">
        <f>+[7]Subpartida_Pais1!C9</f>
        <v>10.609320449999988</v>
      </c>
      <c r="D21" s="24">
        <f>+[7]Subpartida_Pais1!E9</f>
        <v>25.623625639999982</v>
      </c>
      <c r="E21" s="21">
        <f t="shared" si="0"/>
        <v>141.51995182688646</v>
      </c>
      <c r="F21" s="21">
        <f t="shared" si="1"/>
        <v>0.85371144396887955</v>
      </c>
      <c r="G21" s="21">
        <f>+[7]Subpartida_Pais1!D9</f>
        <v>4.3595717299999999</v>
      </c>
      <c r="H21" s="24">
        <f>+[7]Subpartida_Pais1!F9</f>
        <v>10.47890628</v>
      </c>
      <c r="I21" s="21">
        <f t="shared" si="2"/>
        <v>140.3654975531278</v>
      </c>
      <c r="J21" s="21">
        <f t="shared" si="3"/>
        <v>1.5652929737528174</v>
      </c>
      <c r="K21" s="16"/>
    </row>
    <row r="22" spans="1:11">
      <c r="A22" s="14"/>
      <c r="B22" s="9" t="str">
        <f>+[7]Subpartida_Pais1!B10</f>
        <v>Fracciones de sangre</v>
      </c>
      <c r="C22" s="21">
        <f>+[7]Subpartida_Pais1!C10</f>
        <v>12.25027195</v>
      </c>
      <c r="D22" s="24">
        <f>+[7]Subpartida_Pais1!E10</f>
        <v>23.616915410000001</v>
      </c>
      <c r="E22" s="21">
        <f t="shared" si="0"/>
        <v>92.786866335648995</v>
      </c>
      <c r="F22" s="21">
        <f t="shared" si="1"/>
        <v>0.78685316590357424</v>
      </c>
      <c r="G22" s="21">
        <f>+[7]Subpartida_Pais1!D10</f>
        <v>0.96541079000000007</v>
      </c>
      <c r="H22" s="24">
        <f>+[7]Subpartida_Pais1!F10</f>
        <v>6.9155917300000009</v>
      </c>
      <c r="I22" s="21">
        <f t="shared" si="2"/>
        <v>616.33669331580609</v>
      </c>
      <c r="J22" s="21">
        <f t="shared" si="3"/>
        <v>1.0330207041714368</v>
      </c>
      <c r="K22" s="16"/>
    </row>
    <row r="23" spans="1:11">
      <c r="A23" s="14"/>
      <c r="B23" s="9" t="str">
        <f>+[7]Subpartida_Pais1!B11</f>
        <v>Partes de turborreactores</v>
      </c>
      <c r="C23" s="21">
        <f>+[7]Subpartida_Pais1!C11</f>
        <v>24.419615799999988</v>
      </c>
      <c r="D23" s="24">
        <f>+[7]Subpartida_Pais1!E11</f>
        <v>20.321035409999993</v>
      </c>
      <c r="E23" s="21">
        <f t="shared" si="0"/>
        <v>-16.783967543011048</v>
      </c>
      <c r="F23" s="21">
        <f t="shared" si="1"/>
        <v>0.67704316034543177</v>
      </c>
      <c r="G23" s="21">
        <f>+[7]Subpartida_Pais1!D11</f>
        <v>7.4664439500000004</v>
      </c>
      <c r="H23" s="24">
        <f>+[7]Subpartida_Pais1!F11</f>
        <v>4.3555867700000013</v>
      </c>
      <c r="I23" s="21">
        <f t="shared" si="2"/>
        <v>-41.66450857774133</v>
      </c>
      <c r="J23" s="21">
        <f t="shared" si="3"/>
        <v>0.6506184124066553</v>
      </c>
      <c r="K23" s="16"/>
    </row>
    <row r="24" spans="1:11">
      <c r="A24" s="14"/>
      <c r="B24" s="9" t="str">
        <f>+[7]Subpartida_Pais1!B12</f>
        <v>Tortasde soya</v>
      </c>
      <c r="C24" s="21">
        <f>+[7]Subpartida_Pais1!C12</f>
        <v>1.7976849999999996E-2</v>
      </c>
      <c r="D24" s="24">
        <f>+[7]Subpartida_Pais1!E12</f>
        <v>18.684460959999996</v>
      </c>
      <c r="E24" s="21">
        <f t="shared" si="0"/>
        <v>103836.2344348426</v>
      </c>
      <c r="F24" s="21">
        <f t="shared" si="1"/>
        <v>0.62251682763586313</v>
      </c>
      <c r="G24" s="21">
        <f>+[7]Subpartida_Pais1!D12</f>
        <v>0</v>
      </c>
      <c r="H24" s="24">
        <f>+[7]Subpartida_Pais1!F12</f>
        <v>3.07904424</v>
      </c>
      <c r="I24" s="21" t="str">
        <f t="shared" si="2"/>
        <v/>
      </c>
      <c r="J24" s="21">
        <f t="shared" si="3"/>
        <v>0.45993409865157064</v>
      </c>
      <c r="K24" s="16"/>
    </row>
    <row r="25" spans="1:11">
      <c r="A25" s="14"/>
      <c r="B25" s="9" t="str">
        <f>+[7]Subpartida_Pais1!B13</f>
        <v>Aditivos peptizantes</v>
      </c>
      <c r="C25" s="21">
        <f>+[7]Subpartida_Pais1!C13</f>
        <v>13.493985649999992</v>
      </c>
      <c r="D25" s="24">
        <f>+[7]Subpartida_Pais1!E13</f>
        <v>16.855444059999996</v>
      </c>
      <c r="E25" s="21">
        <f t="shared" si="0"/>
        <v>24.910789867336234</v>
      </c>
      <c r="F25" s="21">
        <f t="shared" si="1"/>
        <v>0.56157882141144488</v>
      </c>
      <c r="G25" s="21">
        <f>+[7]Subpartida_Pais1!D13</f>
        <v>1.4350021900000003</v>
      </c>
      <c r="H25" s="24">
        <f>+[7]Subpartida_Pais1!F13</f>
        <v>5.3106813599999994</v>
      </c>
      <c r="I25" s="21">
        <f t="shared" si="2"/>
        <v>270.08175994490978</v>
      </c>
      <c r="J25" s="21">
        <f t="shared" si="3"/>
        <v>0.79328624538934756</v>
      </c>
      <c r="K25" s="16"/>
    </row>
    <row r="26" spans="1:11">
      <c r="A26" s="14"/>
      <c r="B26" s="9" t="str">
        <f>+[7]Subpartida_Pais1!B14</f>
        <v>Unidades de proceso</v>
      </c>
      <c r="C26" s="21">
        <f>+[7]Subpartida_Pais1!C14</f>
        <v>14.298349229999987</v>
      </c>
      <c r="D26" s="24">
        <f>+[7]Subpartida_Pais1!E14</f>
        <v>16.466840680000015</v>
      </c>
      <c r="E26" s="21">
        <f t="shared" si="0"/>
        <v>15.166026616906381</v>
      </c>
      <c r="F26" s="21">
        <f t="shared" si="1"/>
        <v>0.54863158446176508</v>
      </c>
      <c r="G26" s="21">
        <f>+[7]Subpartida_Pais1!D14</f>
        <v>2.7369850300000005</v>
      </c>
      <c r="H26" s="24">
        <f>+[7]Subpartida_Pais1!F14</f>
        <v>3.8289036800000011</v>
      </c>
      <c r="I26" s="21">
        <f t="shared" si="2"/>
        <v>39.894944182431288</v>
      </c>
      <c r="J26" s="21">
        <f t="shared" si="3"/>
        <v>0.57194480677045501</v>
      </c>
      <c r="K26" s="16"/>
    </row>
    <row r="27" spans="1:11">
      <c r="A27" s="14"/>
      <c r="B27" s="9" t="str">
        <f>+[7]Subpartida_Pais1!B15</f>
        <v>Aparatos telecomunicación</v>
      </c>
      <c r="C27" s="21">
        <f>+[7]Subpartida_Pais1!C15</f>
        <v>18.863331730000009</v>
      </c>
      <c r="D27" s="24">
        <f>+[7]Subpartida_Pais1!E15</f>
        <v>14.857767489999995</v>
      </c>
      <c r="E27" s="21">
        <f t="shared" si="0"/>
        <v>-21.23465937689901</v>
      </c>
      <c r="F27" s="21">
        <f t="shared" si="1"/>
        <v>0.49502152100758601</v>
      </c>
      <c r="G27" s="21">
        <f>+[7]Subpartida_Pais1!D15</f>
        <v>4.3771858900000016</v>
      </c>
      <c r="H27" s="24">
        <f>+[7]Subpartida_Pais1!F15</f>
        <v>3.3323306899999996</v>
      </c>
      <c r="I27" s="21">
        <f t="shared" si="2"/>
        <v>-23.870478116706206</v>
      </c>
      <c r="J27" s="21">
        <f t="shared" si="3"/>
        <v>0.49776891556261504</v>
      </c>
      <c r="K27" s="16"/>
    </row>
    <row r="28" spans="1:11">
      <c r="A28" s="14"/>
      <c r="B28" s="9" t="str">
        <f>+[7]Subpartida_Pais1!B16</f>
        <v>Vacunas medicina humana</v>
      </c>
      <c r="C28" s="21">
        <f>+[7]Subpartida_Pais1!C16</f>
        <v>2.1267237199999998</v>
      </c>
      <c r="D28" s="24">
        <f>+[7]Subpartida_Pais1!E16</f>
        <v>14.69710392</v>
      </c>
      <c r="E28" s="21">
        <f t="shared" si="0"/>
        <v>591.06785154020861</v>
      </c>
      <c r="F28" s="21">
        <f t="shared" si="1"/>
        <v>0.48966863573424768</v>
      </c>
      <c r="G28" s="21">
        <f>+[7]Subpartida_Pais1!D16</f>
        <v>0.7852585099999998</v>
      </c>
      <c r="H28" s="24">
        <f>+[7]Subpartida_Pais1!F16</f>
        <v>11.062688379999999</v>
      </c>
      <c r="I28" s="21">
        <f t="shared" si="2"/>
        <v>1308.7957327581209</v>
      </c>
      <c r="J28" s="21">
        <f t="shared" si="3"/>
        <v>1.6524957785986549</v>
      </c>
      <c r="K28" s="16"/>
    </row>
    <row r="29" spans="1:11">
      <c r="A29" s="14"/>
      <c r="B29" s="9" t="str">
        <f>+[7]Subpartida_Pais1!B17</f>
        <v>Polietileno</v>
      </c>
      <c r="C29" s="21">
        <f>+[7]Subpartida_Pais1!C17</f>
        <v>9.5082006300000046</v>
      </c>
      <c r="D29" s="24">
        <f>+[7]Subpartida_Pais1!E17</f>
        <v>12.90186471</v>
      </c>
      <c r="E29" s="21">
        <f t="shared" si="0"/>
        <v>35.691969617178707</v>
      </c>
      <c r="F29" s="21">
        <f t="shared" si="1"/>
        <v>0.42985601281463448</v>
      </c>
      <c r="G29" s="21">
        <f>+[7]Subpartida_Pais1!D17</f>
        <v>0.99692544999999977</v>
      </c>
      <c r="H29" s="24">
        <f>+[7]Subpartida_Pais1!F17</f>
        <v>3.2100148600000002</v>
      </c>
      <c r="I29" s="21">
        <f t="shared" si="2"/>
        <v>221.99146485828015</v>
      </c>
      <c r="J29" s="21">
        <f t="shared" si="3"/>
        <v>0.47949791435677708</v>
      </c>
      <c r="K29" s="16"/>
    </row>
    <row r="30" spans="1:11">
      <c r="A30" s="14"/>
      <c r="B30" s="9" t="str">
        <f>+[7]Subpartida_Pais1!B18</f>
        <v>Polietileno</v>
      </c>
      <c r="C30" s="21">
        <f>+[7]Subpartida_Pais1!C18</f>
        <v>10.865041190000005</v>
      </c>
      <c r="D30" s="24">
        <f>+[7]Subpartida_Pais1!E18</f>
        <v>12.674878899999991</v>
      </c>
      <c r="E30" s="21">
        <f t="shared" si="0"/>
        <v>16.657439933736562</v>
      </c>
      <c r="F30" s="21">
        <f t="shared" si="1"/>
        <v>0.42229344589541395</v>
      </c>
      <c r="G30" s="21">
        <f>+[7]Subpartida_Pais1!D18</f>
        <v>4.9746676499999989</v>
      </c>
      <c r="H30" s="24">
        <f>+[7]Subpartida_Pais1!F18</f>
        <v>4.5409690199999995</v>
      </c>
      <c r="I30" s="21">
        <f t="shared" si="2"/>
        <v>-8.7181428089974862</v>
      </c>
      <c r="J30" s="21">
        <f t="shared" si="3"/>
        <v>0.67830999830596972</v>
      </c>
      <c r="K30" s="16"/>
    </row>
    <row r="31" spans="1:11">
      <c r="A31" s="14"/>
      <c r="B31" s="9" t="str">
        <f>+[7]Subpartida_Pais1!B19</f>
        <v>Camperos &gt; 3 mil cm3</v>
      </c>
      <c r="C31" s="21">
        <f>+[7]Subpartida_Pais1!C19</f>
        <v>7.8359886299999975</v>
      </c>
      <c r="D31" s="24">
        <f>+[7]Subpartida_Pais1!E19</f>
        <v>12.124548210000006</v>
      </c>
      <c r="E31" s="21">
        <f t="shared" si="0"/>
        <v>54.72901739011342</v>
      </c>
      <c r="F31" s="21">
        <f t="shared" si="1"/>
        <v>0.4039578826686841</v>
      </c>
      <c r="G31" s="21">
        <f>+[7]Subpartida_Pais1!D19</f>
        <v>1.55316382</v>
      </c>
      <c r="H31" s="24">
        <f>+[7]Subpartida_Pais1!F19</f>
        <v>3.8333525599999998</v>
      </c>
      <c r="I31" s="21">
        <f t="shared" si="2"/>
        <v>146.80928763844113</v>
      </c>
      <c r="J31" s="21">
        <f t="shared" si="3"/>
        <v>0.57260936091561021</v>
      </c>
      <c r="K31" s="16"/>
    </row>
    <row r="32" spans="1:11">
      <c r="A32" s="14"/>
      <c r="B32" s="9" t="str">
        <f>+[7]Subpartida_Pais1!B20</f>
        <v>Trigo y morcajo</v>
      </c>
      <c r="C32" s="21">
        <f>+[7]Subpartida_Pais1!C20</f>
        <v>1.3586560400000001</v>
      </c>
      <c r="D32" s="24">
        <f>+[7]Subpartida_Pais1!E20</f>
        <v>11.681204600000001</v>
      </c>
      <c r="E32" s="21">
        <f t="shared" si="0"/>
        <v>759.76172453478375</v>
      </c>
      <c r="F32" s="21">
        <f t="shared" si="1"/>
        <v>0.38918684601738995</v>
      </c>
      <c r="G32" s="21">
        <f>+[7]Subpartida_Pais1!D20</f>
        <v>0.10025136</v>
      </c>
      <c r="H32" s="24">
        <f>+[7]Subpartida_Pais1!F20</f>
        <v>3.7942105099999996</v>
      </c>
      <c r="I32" s="21">
        <f t="shared" si="2"/>
        <v>3684.6972948795901</v>
      </c>
      <c r="J32" s="21">
        <f t="shared" si="3"/>
        <v>0.56676249348439567</v>
      </c>
      <c r="K32" s="16"/>
    </row>
    <row r="33" spans="1:11">
      <c r="A33" s="14"/>
      <c r="B33" s="9" t="str">
        <f>+[7]Subpartida_Pais1!B21</f>
        <v>Aparatos de medicina</v>
      </c>
      <c r="C33" s="21">
        <f>+[7]Subpartida_Pais1!C21</f>
        <v>10.9930249</v>
      </c>
      <c r="D33" s="24">
        <f>+[7]Subpartida_Pais1!E21</f>
        <v>11.586423519999977</v>
      </c>
      <c r="E33" s="21">
        <f t="shared" si="0"/>
        <v>5.397955752833572</v>
      </c>
      <c r="F33" s="21">
        <f t="shared" si="1"/>
        <v>0.38602899108286287</v>
      </c>
      <c r="G33" s="21">
        <f>+[7]Subpartida_Pais1!D21</f>
        <v>3.4755043299999975</v>
      </c>
      <c r="H33" s="24">
        <f>+[7]Subpartida_Pais1!F21</f>
        <v>3.2983561999999975</v>
      </c>
      <c r="I33" s="21">
        <f t="shared" si="2"/>
        <v>-5.0970481743005109</v>
      </c>
      <c r="J33" s="21">
        <f t="shared" si="3"/>
        <v>0.4926939555369359</v>
      </c>
      <c r="K33" s="16"/>
    </row>
    <row r="34" spans="1:11">
      <c r="A34" s="14"/>
      <c r="B34" s="9" t="str">
        <f>+[7]Subpartida_Pais1!B22</f>
        <v>Juegos de monedas</v>
      </c>
      <c r="C34" s="21">
        <f>+[7]Subpartida_Pais1!C22</f>
        <v>6.4448318700000007</v>
      </c>
      <c r="D34" s="24">
        <f>+[7]Subpartida_Pais1!E22</f>
        <v>11.506328739999997</v>
      </c>
      <c r="E34" s="21">
        <f t="shared" si="0"/>
        <v>78.5357472793157</v>
      </c>
      <c r="F34" s="21">
        <f t="shared" si="1"/>
        <v>0.38336044482602821</v>
      </c>
      <c r="G34" s="21">
        <f>+[7]Subpartida_Pais1!D22</f>
        <v>0.84023400999999998</v>
      </c>
      <c r="H34" s="24">
        <f>+[7]Subpartida_Pais1!F22</f>
        <v>4.4398220399999992</v>
      </c>
      <c r="I34" s="21">
        <f t="shared" si="2"/>
        <v>428.40303857731243</v>
      </c>
      <c r="J34" s="21">
        <f t="shared" si="3"/>
        <v>0.66320110689308487</v>
      </c>
      <c r="K34" s="16"/>
    </row>
    <row r="35" spans="1:11">
      <c r="A35" s="14"/>
      <c r="B35" s="9" t="str">
        <f>+[7]Subpartida_Pais1!B23</f>
        <v>Vehículos&gt; 3.000 cm3</v>
      </c>
      <c r="C35" s="21">
        <f>+[7]Subpartida_Pais1!C23</f>
        <v>1.9761269499999998</v>
      </c>
      <c r="D35" s="24">
        <f>+[7]Subpartida_Pais1!E23</f>
        <v>11.394676349999996</v>
      </c>
      <c r="E35" s="21">
        <f t="shared" si="0"/>
        <v>476.61661615413908</v>
      </c>
      <c r="F35" s="21">
        <f t="shared" si="1"/>
        <v>0.37964048245892751</v>
      </c>
      <c r="G35" s="21">
        <f>+[7]Subpartida_Pais1!D23</f>
        <v>6.1361700000000005E-2</v>
      </c>
      <c r="H35" s="24">
        <f>+[7]Subpartida_Pais1!F23</f>
        <v>4.873314080000001</v>
      </c>
      <c r="I35" s="21">
        <f t="shared" si="2"/>
        <v>7841.9476318289753</v>
      </c>
      <c r="J35" s="21">
        <f t="shared" si="3"/>
        <v>0.72795424297989586</v>
      </c>
      <c r="K35" s="16"/>
    </row>
    <row r="36" spans="1:11">
      <c r="A36" s="14"/>
      <c r="B36" s="9" t="str">
        <f>+[7]Subpartida_Pais1!B24</f>
        <v>Aparatos navegacion aérea</v>
      </c>
      <c r="C36" s="21">
        <f>+[7]Subpartida_Pais1!C24</f>
        <v>22.474153790000006</v>
      </c>
      <c r="D36" s="24">
        <f>+[7]Subpartida_Pais1!E24</f>
        <v>10.945359380000005</v>
      </c>
      <c r="E36" s="21">
        <f t="shared" si="0"/>
        <v>-51.298013343353553</v>
      </c>
      <c r="F36" s="21">
        <f t="shared" si="1"/>
        <v>0.36467042924914234</v>
      </c>
      <c r="G36" s="21">
        <f>+[7]Subpartida_Pais1!D24</f>
        <v>1.9764582200000003</v>
      </c>
      <c r="H36" s="24">
        <f>+[7]Subpartida_Pais1!F24</f>
        <v>5.2338067200000005</v>
      </c>
      <c r="I36" s="21">
        <f t="shared" si="2"/>
        <v>164.80735423792564</v>
      </c>
      <c r="J36" s="21">
        <f t="shared" si="3"/>
        <v>0.78180304946827706</v>
      </c>
      <c r="K36" s="16"/>
    </row>
    <row r="37" spans="1:11">
      <c r="A37" s="14"/>
      <c r="B37" s="9" t="str">
        <f>+[7]Subpartida_Pais1!B25</f>
        <v>Volquetes automotores</v>
      </c>
      <c r="C37" s="21">
        <f>+[7]Subpartida_Pais1!C25</f>
        <v>2.29823719</v>
      </c>
      <c r="D37" s="24">
        <f>+[7]Subpartida_Pais1!E25</f>
        <v>10.838850060000002</v>
      </c>
      <c r="E37" s="21">
        <f t="shared" si="0"/>
        <v>371.61581525012235</v>
      </c>
      <c r="F37" s="21">
        <f t="shared" si="1"/>
        <v>0.36112182037345691</v>
      </c>
      <c r="G37" s="21">
        <f>+[7]Subpartida_Pais1!D25</f>
        <v>0.51064849999999995</v>
      </c>
      <c r="H37" s="24">
        <f>+[7]Subpartida_Pais1!F25</f>
        <v>3.9629622599999998</v>
      </c>
      <c r="I37" s="21">
        <f t="shared" si="2"/>
        <v>676.06460412593015</v>
      </c>
      <c r="J37" s="21">
        <f t="shared" si="3"/>
        <v>0.59196988837136399</v>
      </c>
      <c r="K37" s="16"/>
    </row>
    <row r="38" spans="1:11">
      <c r="A38" s="14"/>
      <c r="B38" s="9" t="str">
        <f>+[7]Subpartida_Pais1!B26</f>
        <v>Aceites base para lubricantes</v>
      </c>
      <c r="C38" s="21">
        <f>+[7]Subpartida_Pais1!C26</f>
        <v>4.4729705100000015</v>
      </c>
      <c r="D38" s="24">
        <f>+[7]Subpartida_Pais1!E26</f>
        <v>10.822610539999999</v>
      </c>
      <c r="E38" s="21">
        <f t="shared" si="0"/>
        <v>141.95577672163094</v>
      </c>
      <c r="F38" s="21">
        <f t="shared" si="1"/>
        <v>0.36058076251289711</v>
      </c>
      <c r="G38" s="21">
        <f>+[7]Subpartida_Pais1!D26</f>
        <v>3.8608760000000006E-2</v>
      </c>
      <c r="H38" s="24">
        <f>+[7]Subpartida_Pais1!F26</f>
        <v>4.2220471599999998</v>
      </c>
      <c r="I38" s="21">
        <f t="shared" si="2"/>
        <v>10835.464283235202</v>
      </c>
      <c r="J38" s="21">
        <f t="shared" si="3"/>
        <v>0.63067085226389064</v>
      </c>
      <c r="K38" s="16"/>
    </row>
    <row r="39" spans="1:11">
      <c r="A39" s="14"/>
      <c r="B39" s="9" t="str">
        <f>+[7]Subpartida_Pais1!B27</f>
        <v>Medicamentos para VIH</v>
      </c>
      <c r="C39" s="21">
        <f>+[7]Subpartida_Pais1!C27</f>
        <v>4.9152641700000004</v>
      </c>
      <c r="D39" s="24">
        <f>+[7]Subpartida_Pais1!E27</f>
        <v>10.288581879999995</v>
      </c>
      <c r="E39" s="21">
        <f t="shared" si="0"/>
        <v>109.31900146477771</v>
      </c>
      <c r="F39" s="21">
        <f t="shared" si="1"/>
        <v>0.34278833981461693</v>
      </c>
      <c r="G39" s="21">
        <f>+[7]Subpartida_Pais1!D27</f>
        <v>2.4120877699999999</v>
      </c>
      <c r="H39" s="24">
        <f>+[7]Subpartida_Pais1!F27</f>
        <v>2.4112634399999999</v>
      </c>
      <c r="I39" s="21">
        <f t="shared" si="2"/>
        <v>-3.4174958732946514E-2</v>
      </c>
      <c r="J39" s="21">
        <f t="shared" si="3"/>
        <v>0.36018393710636826</v>
      </c>
      <c r="K39" s="16"/>
    </row>
    <row r="40" spans="1:11">
      <c r="A40" s="14"/>
      <c r="B40" s="9" t="str">
        <f>+[7]Subpartida_Pais1!B28</f>
        <v>Productos inmunológicos</v>
      </c>
      <c r="C40" s="21">
        <f>+[7]Subpartida_Pais1!C28</f>
        <v>4.7482003299999995</v>
      </c>
      <c r="D40" s="24">
        <f>+[7]Subpartida_Pais1!E28</f>
        <v>9.9948277500000007</v>
      </c>
      <c r="E40" s="21">
        <f t="shared" si="0"/>
        <v>110.4971790438337</v>
      </c>
      <c r="F40" s="21">
        <f t="shared" si="1"/>
        <v>0.33300122904358564</v>
      </c>
      <c r="G40" s="21">
        <f>+[7]Subpartida_Pais1!D28</f>
        <v>1.4516988299999998</v>
      </c>
      <c r="H40" s="24">
        <f>+[7]Subpartida_Pais1!F28</f>
        <v>1.8371594600000003</v>
      </c>
      <c r="I40" s="21">
        <f t="shared" si="2"/>
        <v>26.552382769365511</v>
      </c>
      <c r="J40" s="21">
        <f t="shared" si="3"/>
        <v>0.27442680729858765</v>
      </c>
      <c r="K40" s="16"/>
    </row>
    <row r="41" spans="1:11">
      <c r="A41" s="14"/>
      <c r="B41" s="9" t="str">
        <f>+[7]Subpartida_Pais1!B29</f>
        <v>Partes máquinas de sondeo</v>
      </c>
      <c r="C41" s="21">
        <f>+[7]Subpartida_Pais1!C29</f>
        <v>14.860576840000009</v>
      </c>
      <c r="D41" s="24">
        <f>+[7]Subpartida_Pais1!E29</f>
        <v>9.853479400000003</v>
      </c>
      <c r="E41" s="21">
        <f t="shared" si="0"/>
        <v>-33.69382961314443</v>
      </c>
      <c r="F41" s="21">
        <f t="shared" si="1"/>
        <v>0.32829187582103692</v>
      </c>
      <c r="G41" s="21">
        <f>+[7]Subpartida_Pais1!D29</f>
        <v>5.4173969699999986</v>
      </c>
      <c r="H41" s="24">
        <f>+[7]Subpartida_Pais1!F29</f>
        <v>1.9253366799999998</v>
      </c>
      <c r="I41" s="21">
        <f t="shared" si="2"/>
        <v>-64.460114504032731</v>
      </c>
      <c r="J41" s="21">
        <f t="shared" si="3"/>
        <v>0.28759833295432202</v>
      </c>
      <c r="K41" s="16"/>
    </row>
    <row r="42" spans="1:11">
      <c r="A42" s="14"/>
      <c r="B42" s="9" t="str">
        <f>+[7]Subpartida_Pais1!B30</f>
        <v>Aviones 2 mil y 15 mil kg</v>
      </c>
      <c r="C42" s="21">
        <f>+[7]Subpartida_Pais1!C30</f>
        <v>6.6186771799999997</v>
      </c>
      <c r="D42" s="24">
        <f>+[7]Subpartida_Pais1!E30</f>
        <v>9.7741854299999993</v>
      </c>
      <c r="E42" s="21">
        <f t="shared" si="0"/>
        <v>47.675814429130384</v>
      </c>
      <c r="F42" s="21">
        <f t="shared" si="1"/>
        <v>0.32565001043563829</v>
      </c>
      <c r="G42" s="21">
        <f>+[7]Subpartida_Pais1!D30</f>
        <v>0</v>
      </c>
      <c r="H42" s="24">
        <f>+[7]Subpartida_Pais1!F30</f>
        <v>1.87370726</v>
      </c>
      <c r="I42" s="21" t="str">
        <f t="shared" si="2"/>
        <v/>
      </c>
      <c r="J42" s="21">
        <f t="shared" si="3"/>
        <v>0.27988615706444153</v>
      </c>
      <c r="K42" s="16"/>
    </row>
    <row r="43" spans="1:11">
      <c r="A43" s="14"/>
      <c r="B43" s="9" t="str">
        <f>+[7]Subpartida_Pais1!B31</f>
        <v>Copolímeros de etileno</v>
      </c>
      <c r="C43" s="21">
        <f>+[7]Subpartida_Pais1!C31</f>
        <v>5.0562369600000014</v>
      </c>
      <c r="D43" s="24">
        <f>+[7]Subpartida_Pais1!E31</f>
        <v>9.5403879399999951</v>
      </c>
      <c r="E43" s="21">
        <f t="shared" si="0"/>
        <v>88.685538582827661</v>
      </c>
      <c r="F43" s="21">
        <f t="shared" si="1"/>
        <v>0.31786049635248598</v>
      </c>
      <c r="G43" s="21">
        <f>+[7]Subpartida_Pais1!D31</f>
        <v>0.86081191000000001</v>
      </c>
      <c r="H43" s="24">
        <f>+[7]Subpartida_Pais1!F31</f>
        <v>3.0173635500000002</v>
      </c>
      <c r="I43" s="21">
        <f t="shared" si="2"/>
        <v>250.52530232765952</v>
      </c>
      <c r="J43" s="21">
        <f t="shared" si="3"/>
        <v>0.4507205082163267</v>
      </c>
      <c r="K43" s="16"/>
    </row>
    <row r="44" spans="1:11">
      <c r="A44" s="14"/>
      <c r="B44" s="9" t="s">
        <v>2</v>
      </c>
      <c r="C44" s="21">
        <f>+C13-SUM(C14:C43)</f>
        <v>1074.6871392399821</v>
      </c>
      <c r="D44" s="24">
        <f>+D13-SUM(D14:D43)</f>
        <v>1056.3798086000659</v>
      </c>
      <c r="E44" s="21">
        <f t="shared" si="0"/>
        <v>-1.7035032775085779</v>
      </c>
      <c r="F44" s="21">
        <f t="shared" si="1"/>
        <v>35.195781598202096</v>
      </c>
      <c r="G44" s="21">
        <f>+G13-SUM(G14:G43)</f>
        <v>249.64672458999507</v>
      </c>
      <c r="H44" s="24">
        <f>+H13-SUM(H14:H43)</f>
        <v>300.51841438000309</v>
      </c>
      <c r="I44" s="21">
        <f t="shared" si="2"/>
        <v>20.377471354193275</v>
      </c>
      <c r="J44" s="21">
        <f t="shared" si="3"/>
        <v>44.890120203685655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f>+Principales_paises!C15</f>
        <v>1584.3377786400197</v>
      </c>
      <c r="D13" s="24">
        <f>+Principales_paises!D15</f>
        <v>1725.3988801000335</v>
      </c>
      <c r="E13" s="24">
        <f>IF(OR(OR(D13=0,C13=0),D13=""),"",(D13/C13-1)*100)</f>
        <v>8.9034739537107619</v>
      </c>
      <c r="F13" s="22">
        <f>(D13/D$13)*100</f>
        <v>100</v>
      </c>
      <c r="G13" s="24">
        <f>+Principales_paises!G15</f>
        <v>395.70615605000353</v>
      </c>
      <c r="H13" s="24">
        <f>+Principales_paises!H15</f>
        <v>447.12482071999887</v>
      </c>
      <c r="I13" s="24">
        <f>IF(OR(OR(H13=0,G13=0),H13=""),"",(H13/G13-1)*100)</f>
        <v>12.994153334197268</v>
      </c>
      <c r="J13" s="22">
        <f>(H13/H$13)*100</f>
        <v>100</v>
      </c>
      <c r="K13" s="16"/>
    </row>
    <row r="14" spans="1:14">
      <c r="A14" s="14"/>
      <c r="B14" s="9" t="str">
        <f>+[7]Subpartida_pais2!B2</f>
        <v>Teléfonos móviles</v>
      </c>
      <c r="C14" s="21">
        <f>+[7]Subpartida_pais2!C2</f>
        <v>239.63879780999991</v>
      </c>
      <c r="D14" s="24">
        <f>+[7]Subpartida_pais2!E2</f>
        <v>352.25300746000028</v>
      </c>
      <c r="E14" s="21">
        <f t="shared" ref="E14:E44" si="0">IF(OR(OR(D14=0,C14=0),D14=""),"",(D14/C14-1)*100)</f>
        <v>46.993312718622349</v>
      </c>
      <c r="F14" s="21">
        <f t="shared" ref="F14:F44" si="1">(D14/D$13)*100</f>
        <v>20.415743369415988</v>
      </c>
      <c r="G14" s="21">
        <f>+[7]Subpartida_pais2!D2</f>
        <v>70.874958880000122</v>
      </c>
      <c r="H14" s="24">
        <f>+[7]Subpartida_pais2!F2</f>
        <v>74.989079680000174</v>
      </c>
      <c r="I14" s="21">
        <f t="shared" ref="I14:I44" si="2">IF(OR(OR(H14=0,G14=0),H14=""),"",(H14/G14-1)*100)</f>
        <v>5.8047593466202363</v>
      </c>
      <c r="J14" s="21">
        <f>(H14/H$13)*100</f>
        <v>16.771397203860502</v>
      </c>
      <c r="K14" s="16"/>
    </row>
    <row r="15" spans="1:14">
      <c r="A15" s="14"/>
      <c r="B15" s="9" t="str">
        <f>+[7]Subpartida_pais2!B3</f>
        <v>Portátiles</v>
      </c>
      <c r="C15" s="21">
        <f>+[7]Subpartida_pais2!C3</f>
        <v>157.34143955000019</v>
      </c>
      <c r="D15" s="24">
        <f>+[7]Subpartida_pais2!E3</f>
        <v>223.62318416000025</v>
      </c>
      <c r="E15" s="21">
        <f t="shared" si="0"/>
        <v>42.126057063903332</v>
      </c>
      <c r="F15" s="21">
        <f t="shared" si="1"/>
        <v>12.960665892343412</v>
      </c>
      <c r="G15" s="21">
        <f>+[7]Subpartida_pais2!D3</f>
        <v>40.901509149999967</v>
      </c>
      <c r="H15" s="24">
        <f>+[7]Subpartida_pais2!F3</f>
        <v>66.953926830000043</v>
      </c>
      <c r="I15" s="21">
        <f t="shared" si="2"/>
        <v>63.695492468155294</v>
      </c>
      <c r="J15" s="21">
        <f t="shared" ref="J15:J44" si="3">(H15/H$13)*100</f>
        <v>14.974325675364</v>
      </c>
      <c r="K15" s="16"/>
    </row>
    <row r="16" spans="1:14">
      <c r="A16" s="14"/>
      <c r="B16" s="9" t="str">
        <f>+[7]Subpartida_pais2!B4</f>
        <v>Aparatos telecomunicación</v>
      </c>
      <c r="C16" s="21">
        <f>+[7]Subpartida_pais2!C4</f>
        <v>70.597688900000165</v>
      </c>
      <c r="D16" s="24">
        <f>+[7]Subpartida_pais2!E4</f>
        <v>61.256336850000011</v>
      </c>
      <c r="E16" s="21">
        <f t="shared" si="0"/>
        <v>-13.231809986346644</v>
      </c>
      <c r="F16" s="21">
        <f t="shared" si="1"/>
        <v>3.5502710449451871</v>
      </c>
      <c r="G16" s="21">
        <f>+[7]Subpartida_pais2!D4</f>
        <v>17.898172499999976</v>
      </c>
      <c r="H16" s="24">
        <f>+[7]Subpartida_pais2!F4</f>
        <v>19.732819000000013</v>
      </c>
      <c r="I16" s="21">
        <f t="shared" si="2"/>
        <v>10.250468308985393</v>
      </c>
      <c r="J16" s="21">
        <f t="shared" si="3"/>
        <v>4.4132685294062917</v>
      </c>
      <c r="K16" s="16"/>
    </row>
    <row r="17" spans="1:11">
      <c r="A17" s="14"/>
      <c r="B17" s="9" t="str">
        <f>+[7]Subpartida_pais2!B5</f>
        <v>Máq. procesamiento datos</v>
      </c>
      <c r="C17" s="21">
        <f>+[7]Subpartida_pais2!C5</f>
        <v>23.520292669999982</v>
      </c>
      <c r="D17" s="24">
        <f>+[7]Subpartida_pais2!E5</f>
        <v>17.775559310000006</v>
      </c>
      <c r="E17" s="21">
        <f t="shared" si="0"/>
        <v>-24.42458280856069</v>
      </c>
      <c r="F17" s="21">
        <f t="shared" si="1"/>
        <v>1.0302289815424843</v>
      </c>
      <c r="G17" s="21">
        <f>+[7]Subpartida_pais2!D5</f>
        <v>6.4277211799999998</v>
      </c>
      <c r="H17" s="24">
        <f>+[7]Subpartida_pais2!F5</f>
        <v>5.6533557200000004</v>
      </c>
      <c r="I17" s="21">
        <f t="shared" si="2"/>
        <v>-12.04727831707223</v>
      </c>
      <c r="J17" s="21">
        <f t="shared" si="3"/>
        <v>1.2643797566184047</v>
      </c>
      <c r="K17" s="16"/>
    </row>
    <row r="18" spans="1:11">
      <c r="A18" s="14"/>
      <c r="B18" s="9" t="str">
        <f>+[7]Subpartida_pais2!B6</f>
        <v>Vagones transporte mercancías</v>
      </c>
      <c r="C18" s="21">
        <f>+[7]Subpartida_pais2!C6</f>
        <v>0</v>
      </c>
      <c r="D18" s="24">
        <f>+[7]Subpartida_pais2!E6</f>
        <v>15.8906601</v>
      </c>
      <c r="E18" s="21" t="str">
        <f t="shared" si="0"/>
        <v/>
      </c>
      <c r="F18" s="21">
        <f t="shared" si="1"/>
        <v>0.92098472320085811</v>
      </c>
      <c r="G18" s="21">
        <f>+[7]Subpartida_pais2!D6</f>
        <v>0</v>
      </c>
      <c r="H18" s="24">
        <f>+[7]Subpartida_pais2!F6</f>
        <v>7.9453300499999999</v>
      </c>
      <c r="I18" s="21" t="str">
        <f t="shared" si="2"/>
        <v/>
      </c>
      <c r="J18" s="21">
        <f t="shared" si="3"/>
        <v>1.7769825520322815</v>
      </c>
      <c r="K18" s="16"/>
    </row>
    <row r="19" spans="1:11">
      <c r="A19" s="14"/>
      <c r="B19" s="9" t="str">
        <f>+[7]Subpartida_pais2!B7</f>
        <v>Calzados con suela de caucho</v>
      </c>
      <c r="C19" s="21">
        <f>+[7]Subpartida_pais2!C7</f>
        <v>5.9285618700000082</v>
      </c>
      <c r="D19" s="24">
        <f>+[7]Subpartida_pais2!E7</f>
        <v>14.295556359999997</v>
      </c>
      <c r="E19" s="21">
        <f t="shared" si="0"/>
        <v>141.13025508494826</v>
      </c>
      <c r="F19" s="21">
        <f t="shared" si="1"/>
        <v>0.82853631846400555</v>
      </c>
      <c r="G19" s="21">
        <f>+[7]Subpartida_pais2!D7</f>
        <v>1.2302365100000001</v>
      </c>
      <c r="H19" s="24">
        <f>+[7]Subpartida_pais2!F7</f>
        <v>3.5780808199999985</v>
      </c>
      <c r="I19" s="21">
        <f t="shared" si="2"/>
        <v>190.84495468273803</v>
      </c>
      <c r="J19" s="21">
        <f t="shared" si="3"/>
        <v>0.80024204745293825</v>
      </c>
      <c r="K19" s="16"/>
    </row>
    <row r="20" spans="1:11">
      <c r="A20" s="14"/>
      <c r="B20" s="9" t="str">
        <f>+[7]Subpartida_pais2!B8</f>
        <v>Máq. procesamiento de datos</v>
      </c>
      <c r="C20" s="21">
        <f>+[7]Subpartida_pais2!C8</f>
        <v>6.8637196299999994</v>
      </c>
      <c r="D20" s="24">
        <f>+[7]Subpartida_pais2!E8</f>
        <v>14.073377220000005</v>
      </c>
      <c r="E20" s="21">
        <f t="shared" si="0"/>
        <v>105.04009456458535</v>
      </c>
      <c r="F20" s="21">
        <f t="shared" si="1"/>
        <v>0.8156593459237711</v>
      </c>
      <c r="G20" s="21">
        <f>+[7]Subpartida_pais2!D8</f>
        <v>1.9003680599999992</v>
      </c>
      <c r="H20" s="24">
        <f>+[7]Subpartida_pais2!F8</f>
        <v>7.6822150699999998</v>
      </c>
      <c r="I20" s="21">
        <f t="shared" si="2"/>
        <v>304.24879957201563</v>
      </c>
      <c r="J20" s="21">
        <f t="shared" si="3"/>
        <v>1.7181365726083906</v>
      </c>
      <c r="K20" s="16"/>
    </row>
    <row r="21" spans="1:11">
      <c r="A21" s="14"/>
      <c r="B21" s="9" t="str">
        <f>+[7]Subpartida_pais2!B9</f>
        <v>Multifuncionales</v>
      </c>
      <c r="C21" s="21">
        <f>+[7]Subpartida_pais2!C9</f>
        <v>9.7262238499999984</v>
      </c>
      <c r="D21" s="24">
        <f>+[7]Subpartida_pais2!E9</f>
        <v>12.96879556</v>
      </c>
      <c r="E21" s="21">
        <f t="shared" si="0"/>
        <v>33.338444189725315</v>
      </c>
      <c r="F21" s="21">
        <f t="shared" si="1"/>
        <v>0.75164042990732138</v>
      </c>
      <c r="G21" s="21">
        <f>+[7]Subpartida_pais2!D9</f>
        <v>2.7806179700000007</v>
      </c>
      <c r="H21" s="24">
        <f>+[7]Subpartida_pais2!F9</f>
        <v>3.7864410800000017</v>
      </c>
      <c r="I21" s="21">
        <f t="shared" si="2"/>
        <v>36.172646543027298</v>
      </c>
      <c r="J21" s="21">
        <f t="shared" si="3"/>
        <v>0.84684206837427367</v>
      </c>
      <c r="K21" s="16"/>
    </row>
    <row r="22" spans="1:11">
      <c r="A22" s="14"/>
      <c r="B22" s="9" t="str">
        <f>+[7]Subpartida_pais2!B10</f>
        <v>Calzados</v>
      </c>
      <c r="C22" s="21">
        <f>+[7]Subpartida_pais2!C10</f>
        <v>8.7382618600000033</v>
      </c>
      <c r="D22" s="24">
        <f>+[7]Subpartida_pais2!E10</f>
        <v>11.757036699999992</v>
      </c>
      <c r="E22" s="21">
        <f t="shared" si="0"/>
        <v>34.546628246729917</v>
      </c>
      <c r="F22" s="21">
        <f t="shared" si="1"/>
        <v>0.68140977924584922</v>
      </c>
      <c r="G22" s="21">
        <f>+[7]Subpartida_pais2!D10</f>
        <v>1.3344723899999993</v>
      </c>
      <c r="H22" s="24">
        <f>+[7]Subpartida_pais2!F10</f>
        <v>1.5671355499999993</v>
      </c>
      <c r="I22" s="21">
        <f t="shared" si="2"/>
        <v>17.434842544775321</v>
      </c>
      <c r="J22" s="21">
        <f t="shared" si="3"/>
        <v>0.35049173684352003</v>
      </c>
      <c r="K22" s="16"/>
    </row>
    <row r="23" spans="1:11">
      <c r="A23" s="14"/>
      <c r="B23" s="9" t="str">
        <f>+[7]Subpartida_pais2!B11</f>
        <v>Partes de Teléfonos</v>
      </c>
      <c r="C23" s="21">
        <f>+[7]Subpartida_pais2!C11</f>
        <v>11.970340579999998</v>
      </c>
      <c r="D23" s="24">
        <f>+[7]Subpartida_pais2!E11</f>
        <v>11.219072099999989</v>
      </c>
      <c r="E23" s="21">
        <f t="shared" si="0"/>
        <v>-6.2760827478478447</v>
      </c>
      <c r="F23" s="21">
        <f t="shared" si="1"/>
        <v>0.65023063532703473</v>
      </c>
      <c r="G23" s="21">
        <f>+[7]Subpartida_pais2!D11</f>
        <v>2.19843849</v>
      </c>
      <c r="H23" s="24">
        <f>+[7]Subpartida_pais2!F11</f>
        <v>3.3622742100000012</v>
      </c>
      <c r="I23" s="21">
        <f t="shared" si="2"/>
        <v>52.93919867642061</v>
      </c>
      <c r="J23" s="21">
        <f t="shared" si="3"/>
        <v>0.75197664146351295</v>
      </c>
      <c r="K23" s="16"/>
    </row>
    <row r="24" spans="1:11">
      <c r="A24" s="14"/>
      <c r="B24" s="9" t="str">
        <f>+[7]Subpartida_pais2!B12</f>
        <v>Impresoras, copiadoras</v>
      </c>
      <c r="C24" s="21">
        <f>+[7]Subpartida_pais2!C12</f>
        <v>10.202408399999989</v>
      </c>
      <c r="D24" s="24">
        <f>+[7]Subpartida_pais2!E12</f>
        <v>10.168508310000004</v>
      </c>
      <c r="E24" s="21">
        <f t="shared" si="0"/>
        <v>-0.33227536745132902</v>
      </c>
      <c r="F24" s="21">
        <f t="shared" si="1"/>
        <v>0.58934246609748953</v>
      </c>
      <c r="G24" s="21">
        <f>+[7]Subpartida_pais2!D12</f>
        <v>2.0627877299999997</v>
      </c>
      <c r="H24" s="24">
        <f>+[7]Subpartida_pais2!F12</f>
        <v>3.7227171999999991</v>
      </c>
      <c r="I24" s="21">
        <f t="shared" si="2"/>
        <v>80.47020281626358</v>
      </c>
      <c r="J24" s="21">
        <f t="shared" si="3"/>
        <v>0.83259014652896246</v>
      </c>
      <c r="K24" s="16"/>
    </row>
    <row r="25" spans="1:11">
      <c r="A25" s="14"/>
      <c r="B25" s="9" t="str">
        <f>+[7]Subpartida_pais2!B13</f>
        <v>Cámaras fotográficas</v>
      </c>
      <c r="C25" s="21">
        <f>+[7]Subpartida_pais2!C13</f>
        <v>15.895079779999998</v>
      </c>
      <c r="D25" s="24">
        <f>+[7]Subpartida_pais2!E13</f>
        <v>9.3364213199999977</v>
      </c>
      <c r="E25" s="21">
        <f t="shared" si="0"/>
        <v>-41.262192771453968</v>
      </c>
      <c r="F25" s="21">
        <f t="shared" si="1"/>
        <v>0.54111669062047263</v>
      </c>
      <c r="G25" s="21">
        <f>+[7]Subpartida_pais2!D13</f>
        <v>5.3424132800000006</v>
      </c>
      <c r="H25" s="24">
        <f>+[7]Subpartida_pais2!F13</f>
        <v>3.5254015000000019</v>
      </c>
      <c r="I25" s="21">
        <f t="shared" si="2"/>
        <v>-34.011067372908265</v>
      </c>
      <c r="J25" s="21">
        <f t="shared" si="3"/>
        <v>0.7884602546383126</v>
      </c>
      <c r="K25" s="16"/>
    </row>
    <row r="26" spans="1:11">
      <c r="A26" s="14"/>
      <c r="B26" s="9" t="str">
        <f>+[7]Subpartida_pais2!B14</f>
        <v>Sacos de viaje</v>
      </c>
      <c r="C26" s="21">
        <f>+[7]Subpartida_pais2!C14</f>
        <v>8.1367610399999943</v>
      </c>
      <c r="D26" s="24">
        <f>+[7]Subpartida_pais2!E14</f>
        <v>9.2171608099999958</v>
      </c>
      <c r="E26" s="21">
        <f t="shared" si="0"/>
        <v>13.278007854584883</v>
      </c>
      <c r="F26" s="21">
        <f t="shared" si="1"/>
        <v>0.5342046361746573</v>
      </c>
      <c r="G26" s="21">
        <f>+[7]Subpartida_pais2!D14</f>
        <v>0.96423688000000052</v>
      </c>
      <c r="H26" s="24">
        <f>+[7]Subpartida_pais2!F14</f>
        <v>0.91633892000000006</v>
      </c>
      <c r="I26" s="21">
        <f t="shared" si="2"/>
        <v>-4.9674474181075183</v>
      </c>
      <c r="J26" s="21">
        <f t="shared" si="3"/>
        <v>0.20494029352350249</v>
      </c>
      <c r="K26" s="16"/>
    </row>
    <row r="27" spans="1:11">
      <c r="A27" s="14"/>
      <c r="B27" s="9" t="str">
        <f>+[7]Subpartida_pais2!B15</f>
        <v>Ascensores, montacargas</v>
      </c>
      <c r="C27" s="21">
        <f>+[7]Subpartida_pais2!C15</f>
        <v>6.9514831599999987</v>
      </c>
      <c r="D27" s="24">
        <f>+[7]Subpartida_pais2!E15</f>
        <v>8.7645672599999997</v>
      </c>
      <c r="E27" s="21">
        <f t="shared" si="0"/>
        <v>26.081975001144954</v>
      </c>
      <c r="F27" s="21">
        <f t="shared" si="1"/>
        <v>0.50797339450526691</v>
      </c>
      <c r="G27" s="21">
        <f>+[7]Subpartida_pais2!D15</f>
        <v>2.1591431800000005</v>
      </c>
      <c r="H27" s="24">
        <f>+[7]Subpartida_pais2!F15</f>
        <v>2.5888944000000005</v>
      </c>
      <c r="I27" s="21">
        <f t="shared" si="2"/>
        <v>19.90378516722544</v>
      </c>
      <c r="J27" s="21">
        <f t="shared" si="3"/>
        <v>0.57900932357795298</v>
      </c>
      <c r="K27" s="16"/>
    </row>
    <row r="28" spans="1:11">
      <c r="A28" s="14"/>
      <c r="B28" s="9" t="str">
        <f>+[7]Subpartida_pais2!B16</f>
        <v>Baldosas y losas</v>
      </c>
      <c r="C28" s="21">
        <f>+[7]Subpartida_pais2!C16</f>
        <v>9.850742609999994</v>
      </c>
      <c r="D28" s="24">
        <f>+[7]Subpartida_pais2!E16</f>
        <v>8.5936706600000008</v>
      </c>
      <c r="E28" s="21">
        <f t="shared" si="0"/>
        <v>-12.7611896865915</v>
      </c>
      <c r="F28" s="21">
        <f t="shared" si="1"/>
        <v>0.4980686355552616</v>
      </c>
      <c r="G28" s="21">
        <f>+[7]Subpartida_pais2!D16</f>
        <v>2.6228119300000001</v>
      </c>
      <c r="H28" s="24">
        <f>+[7]Subpartida_pais2!F16</f>
        <v>1.3893000800000002</v>
      </c>
      <c r="I28" s="21">
        <f t="shared" si="2"/>
        <v>-47.030129605975979</v>
      </c>
      <c r="J28" s="21">
        <f t="shared" si="3"/>
        <v>0.31071862165084674</v>
      </c>
      <c r="K28" s="16"/>
    </row>
    <row r="29" spans="1:11">
      <c r="A29" s="14"/>
      <c r="B29" s="9" t="str">
        <f>+[7]Subpartida_pais2!B17</f>
        <v>Vehículos 1.000 y 1.500 cm3</v>
      </c>
      <c r="C29" s="21">
        <f>+[7]Subpartida_pais2!C17</f>
        <v>5.7126871100000018</v>
      </c>
      <c r="D29" s="24">
        <f>+[7]Subpartida_pais2!E17</f>
        <v>7.6502448200000019</v>
      </c>
      <c r="E29" s="21">
        <f t="shared" si="0"/>
        <v>33.916748330366708</v>
      </c>
      <c r="F29" s="21">
        <f t="shared" si="1"/>
        <v>0.4433899261344405</v>
      </c>
      <c r="G29" s="21">
        <f>+[7]Subpartida_pais2!D17</f>
        <v>1.2998275000000001</v>
      </c>
      <c r="H29" s="24">
        <f>+[7]Subpartida_pais2!F17</f>
        <v>1.4957418499999999</v>
      </c>
      <c r="I29" s="21">
        <f t="shared" si="2"/>
        <v>15.072334598244751</v>
      </c>
      <c r="J29" s="21">
        <f t="shared" si="3"/>
        <v>0.33452445059780572</v>
      </c>
      <c r="K29" s="16"/>
    </row>
    <row r="30" spans="1:11">
      <c r="A30" s="14"/>
      <c r="B30" s="9" t="str">
        <f>+[7]Subpartida_pais2!B18</f>
        <v>Grupos electrogenos</v>
      </c>
      <c r="C30" s="21">
        <f>+[7]Subpartida_pais2!C18</f>
        <v>1.5182849500000002</v>
      </c>
      <c r="D30" s="24">
        <f>+[7]Subpartida_pais2!E18</f>
        <v>7.5084908200000013</v>
      </c>
      <c r="E30" s="21">
        <f t="shared" si="0"/>
        <v>394.53765711107127</v>
      </c>
      <c r="F30" s="21">
        <f t="shared" si="1"/>
        <v>0.43517420270753171</v>
      </c>
      <c r="G30" s="21">
        <f>+[7]Subpartida_pais2!D18</f>
        <v>0.18218202000000003</v>
      </c>
      <c r="H30" s="24">
        <f>+[7]Subpartida_pais2!F18</f>
        <v>2.6446820900000003</v>
      </c>
      <c r="I30" s="21">
        <f t="shared" si="2"/>
        <v>1351.6701977505793</v>
      </c>
      <c r="J30" s="21">
        <f t="shared" si="3"/>
        <v>0.5914863070543267</v>
      </c>
      <c r="K30" s="16"/>
    </row>
    <row r="31" spans="1:11">
      <c r="A31" s="14"/>
      <c r="B31" s="9" t="str">
        <f>+[7]Subpartida_pais2!B19</f>
        <v>Calzados de cuero artificial</v>
      </c>
      <c r="C31" s="21">
        <f>+[7]Subpartida_pais2!C19</f>
        <v>4.3764689400000032</v>
      </c>
      <c r="D31" s="24">
        <f>+[7]Subpartida_pais2!E19</f>
        <v>7.1907754399999959</v>
      </c>
      <c r="E31" s="21">
        <f t="shared" si="0"/>
        <v>64.305414675237941</v>
      </c>
      <c r="F31" s="21">
        <f t="shared" si="1"/>
        <v>0.41676017777310115</v>
      </c>
      <c r="G31" s="21">
        <f>+[7]Subpartida_pais2!D19</f>
        <v>0.81363384999999988</v>
      </c>
      <c r="H31" s="24">
        <f>+[7]Subpartida_pais2!F19</f>
        <v>1.4510202900000002</v>
      </c>
      <c r="I31" s="21">
        <f t="shared" si="2"/>
        <v>78.338240229312035</v>
      </c>
      <c r="J31" s="21">
        <f t="shared" si="3"/>
        <v>0.32452242030836992</v>
      </c>
      <c r="K31" s="16"/>
    </row>
    <row r="32" spans="1:11">
      <c r="A32" s="14"/>
      <c r="B32" s="9" t="str">
        <f>+[7]Subpartida_pais2!B20</f>
        <v>Máquinas y aparatos eléctricos</v>
      </c>
      <c r="C32" s="21">
        <f>+[7]Subpartida_pais2!C20</f>
        <v>3.0314990799999997</v>
      </c>
      <c r="D32" s="24">
        <f>+[7]Subpartida_pais2!E20</f>
        <v>6.9629487400000016</v>
      </c>
      <c r="E32" s="21">
        <f t="shared" si="0"/>
        <v>129.6866519253571</v>
      </c>
      <c r="F32" s="21">
        <f t="shared" si="1"/>
        <v>0.40355588613783677</v>
      </c>
      <c r="G32" s="21">
        <f>+[7]Subpartida_pais2!D20</f>
        <v>0.94189699000000016</v>
      </c>
      <c r="H32" s="24">
        <f>+[7]Subpartida_pais2!F20</f>
        <v>1.7166857100000004</v>
      </c>
      <c r="I32" s="21">
        <f t="shared" si="2"/>
        <v>82.258328482395939</v>
      </c>
      <c r="J32" s="21">
        <f t="shared" si="3"/>
        <v>0.38393880868336616</v>
      </c>
      <c r="K32" s="16"/>
    </row>
    <row r="33" spans="1:11">
      <c r="A33" s="14"/>
      <c r="B33" s="9" t="str">
        <f>+[7]Subpartida_pais2!B21</f>
        <v>Partes de máquinas partida 8471</v>
      </c>
      <c r="C33" s="21">
        <f>+[7]Subpartida_pais2!C21</f>
        <v>5.0375051200000032</v>
      </c>
      <c r="D33" s="24">
        <f>+[7]Subpartida_pais2!E21</f>
        <v>6.873478180000002</v>
      </c>
      <c r="E33" s="21">
        <f t="shared" si="0"/>
        <v>36.446078292025597</v>
      </c>
      <c r="F33" s="21">
        <f t="shared" si="1"/>
        <v>0.39837038607568231</v>
      </c>
      <c r="G33" s="21">
        <f>+[7]Subpartida_pais2!D21</f>
        <v>1.2538017799999996</v>
      </c>
      <c r="H33" s="24">
        <f>+[7]Subpartida_pais2!F21</f>
        <v>2.2512061900000013</v>
      </c>
      <c r="I33" s="21">
        <f t="shared" si="2"/>
        <v>79.550406285114846</v>
      </c>
      <c r="J33" s="21">
        <f t="shared" si="3"/>
        <v>0.50348495222763867</v>
      </c>
      <c r="K33" s="16"/>
    </row>
    <row r="34" spans="1:11">
      <c r="A34" s="14"/>
      <c r="B34" s="9" t="str">
        <f>+[7]Subpartida_pais2!B22</f>
        <v>Lámparas y tubos</v>
      </c>
      <c r="C34" s="21">
        <f>+[7]Subpartida_pais2!C22</f>
        <v>9.1057295400000022</v>
      </c>
      <c r="D34" s="24">
        <f>+[7]Subpartida_pais2!E22</f>
        <v>6.840149720000003</v>
      </c>
      <c r="E34" s="21">
        <f t="shared" si="0"/>
        <v>-24.880816084506709</v>
      </c>
      <c r="F34" s="21">
        <f t="shared" si="1"/>
        <v>0.39643874810000063</v>
      </c>
      <c r="G34" s="21">
        <f>+[7]Subpartida_pais2!D22</f>
        <v>1.2714094800000002</v>
      </c>
      <c r="H34" s="24">
        <f>+[7]Subpartida_pais2!F22</f>
        <v>1.1276804899999999</v>
      </c>
      <c r="I34" s="21">
        <f t="shared" si="2"/>
        <v>-11.304697051653278</v>
      </c>
      <c r="J34" s="21">
        <f t="shared" si="3"/>
        <v>0.25220708798588093</v>
      </c>
      <c r="K34" s="16"/>
    </row>
    <row r="35" spans="1:11">
      <c r="A35" s="14"/>
      <c r="B35" s="9" t="str">
        <f>+[7]Subpartida_pais2!B23</f>
        <v>Convertidores eléctricos</v>
      </c>
      <c r="C35" s="21">
        <f>+[7]Subpartida_pais2!C23</f>
        <v>6.9898557299999942</v>
      </c>
      <c r="D35" s="24">
        <f>+[7]Subpartida_pais2!E23</f>
        <v>6.557834229999985</v>
      </c>
      <c r="E35" s="21">
        <f t="shared" si="0"/>
        <v>-6.1806926593034213</v>
      </c>
      <c r="F35" s="21">
        <f t="shared" si="1"/>
        <v>0.38007641627887123</v>
      </c>
      <c r="G35" s="21">
        <f>+[7]Subpartida_pais2!D23</f>
        <v>1.3426433899999999</v>
      </c>
      <c r="H35" s="24">
        <f>+[7]Subpartida_pais2!F23</f>
        <v>1.48952415</v>
      </c>
      <c r="I35" s="21">
        <f t="shared" si="2"/>
        <v>10.939670287283064</v>
      </c>
      <c r="J35" s="21">
        <f t="shared" si="3"/>
        <v>0.33313385456916483</v>
      </c>
      <c r="K35" s="16"/>
    </row>
    <row r="36" spans="1:11">
      <c r="A36" s="14"/>
      <c r="B36" s="9" t="str">
        <f>+[7]Subpartida_pais2!B24</f>
        <v>Impresoras</v>
      </c>
      <c r="C36" s="21">
        <f>+[7]Subpartida_pais2!C24</f>
        <v>6.1076919699999994</v>
      </c>
      <c r="D36" s="24">
        <f>+[7]Subpartida_pais2!E24</f>
        <v>6.5398677100000002</v>
      </c>
      <c r="E36" s="21">
        <f t="shared" si="0"/>
        <v>7.0759256053314123</v>
      </c>
      <c r="F36" s="21">
        <f t="shared" si="1"/>
        <v>0.37903511967162273</v>
      </c>
      <c r="G36" s="21">
        <f>+[7]Subpartida_pais2!D24</f>
        <v>1.5103956299999999</v>
      </c>
      <c r="H36" s="24">
        <f>+[7]Subpartida_pais2!F24</f>
        <v>2.0057395200000001</v>
      </c>
      <c r="I36" s="21">
        <f t="shared" si="2"/>
        <v>32.795638451363907</v>
      </c>
      <c r="J36" s="21">
        <f t="shared" si="3"/>
        <v>0.44858603840649813</v>
      </c>
      <c r="K36" s="16"/>
    </row>
    <row r="37" spans="1:11">
      <c r="A37" s="14"/>
      <c r="B37" s="9" t="str">
        <f>+[7]Subpartida_pais2!B25</f>
        <v>Máquinas de sondeo</v>
      </c>
      <c r="C37" s="21">
        <f>+[7]Subpartida_pais2!C25</f>
        <v>2.7630570699999999</v>
      </c>
      <c r="D37" s="24">
        <f>+[7]Subpartida_pais2!E25</f>
        <v>6.5025095200000003</v>
      </c>
      <c r="E37" s="21">
        <f t="shared" si="0"/>
        <v>135.33750318085177</v>
      </c>
      <c r="F37" s="21">
        <f t="shared" si="1"/>
        <v>0.37686992816542253</v>
      </c>
      <c r="G37" s="21">
        <f>+[7]Subpartida_pais2!D25</f>
        <v>7.7979090000000001E-2</v>
      </c>
      <c r="H37" s="24">
        <f>+[7]Subpartida_pais2!F25</f>
        <v>6.3618300000000003E-2</v>
      </c>
      <c r="I37" s="21">
        <f t="shared" si="2"/>
        <v>-18.416206190659569</v>
      </c>
      <c r="J37" s="21">
        <f t="shared" si="3"/>
        <v>1.4228308752253194E-2</v>
      </c>
      <c r="K37" s="16"/>
    </row>
    <row r="38" spans="1:11">
      <c r="A38" s="14"/>
      <c r="B38" s="9" t="str">
        <f>+[7]Subpartida_pais2!B26</f>
        <v>Llantas para automóviles</v>
      </c>
      <c r="C38" s="21">
        <f>+[7]Subpartida_pais2!C26</f>
        <v>6.9271824299999984</v>
      </c>
      <c r="D38" s="24">
        <f>+[7]Subpartida_pais2!E26</f>
        <v>6.2564006400000007</v>
      </c>
      <c r="E38" s="21">
        <f t="shared" si="0"/>
        <v>-9.6833279154739706</v>
      </c>
      <c r="F38" s="21">
        <f t="shared" si="1"/>
        <v>0.36260604502289195</v>
      </c>
      <c r="G38" s="21">
        <f>+[7]Subpartida_pais2!D26</f>
        <v>1.7714000499999996</v>
      </c>
      <c r="H38" s="24">
        <f>+[7]Subpartida_pais2!F26</f>
        <v>2.07044761</v>
      </c>
      <c r="I38" s="21">
        <f t="shared" si="2"/>
        <v>16.881988910410193</v>
      </c>
      <c r="J38" s="21">
        <f t="shared" si="3"/>
        <v>0.46305807999340926</v>
      </c>
      <c r="K38" s="16"/>
    </row>
    <row r="39" spans="1:11">
      <c r="A39" s="14"/>
      <c r="B39" s="9" t="str">
        <f>+[7]Subpartida_pais2!B27</f>
        <v>Manufacturas de plástico</v>
      </c>
      <c r="C39" s="21">
        <f>+[7]Subpartida_pais2!C27</f>
        <v>4.9286427199999983</v>
      </c>
      <c r="D39" s="24">
        <f>+[7]Subpartida_pais2!E27</f>
        <v>6.120496369999997</v>
      </c>
      <c r="E39" s="21">
        <f t="shared" si="0"/>
        <v>24.182188032489393</v>
      </c>
      <c r="F39" s="21">
        <f t="shared" si="1"/>
        <v>0.35472935798156707</v>
      </c>
      <c r="G39" s="21">
        <f>+[7]Subpartida_pais2!D27</f>
        <v>1.1316349299999999</v>
      </c>
      <c r="H39" s="24">
        <f>+[7]Subpartida_pais2!F27</f>
        <v>1.4100999199999982</v>
      </c>
      <c r="I39" s="21">
        <f t="shared" si="2"/>
        <v>24.607316601653338</v>
      </c>
      <c r="J39" s="21">
        <f t="shared" si="3"/>
        <v>0.3153705307008754</v>
      </c>
      <c r="K39" s="16"/>
    </row>
    <row r="40" spans="1:11">
      <c r="A40" s="14"/>
      <c r="B40" s="9" t="str">
        <f>+[7]Subpartida_pais2!B28</f>
        <v>Aparatos de alumbrado</v>
      </c>
      <c r="C40" s="21">
        <f>+[7]Subpartida_pais2!C28</f>
        <v>4.5033480999999984</v>
      </c>
      <c r="D40" s="24">
        <f>+[7]Subpartida_pais2!E28</f>
        <v>5.9907610399999953</v>
      </c>
      <c r="E40" s="21">
        <f t="shared" si="0"/>
        <v>33.029046544281073</v>
      </c>
      <c r="F40" s="21">
        <f t="shared" si="1"/>
        <v>0.34721020797536795</v>
      </c>
      <c r="G40" s="21">
        <f>+[7]Subpartida_pais2!D28</f>
        <v>0.3381136099999999</v>
      </c>
      <c r="H40" s="24">
        <f>+[7]Subpartida_pais2!F28</f>
        <v>1.1798203700000003</v>
      </c>
      <c r="I40" s="21">
        <f t="shared" si="2"/>
        <v>248.94199319571922</v>
      </c>
      <c r="J40" s="21">
        <f t="shared" si="3"/>
        <v>0.26386823440044144</v>
      </c>
      <c r="K40" s="16"/>
    </row>
    <row r="41" spans="1:11">
      <c r="A41" s="14"/>
      <c r="B41" s="9" t="str">
        <f>+[7]Subpartida_pais2!B29</f>
        <v>Aparatos de grabación</v>
      </c>
      <c r="C41" s="21">
        <f>+[7]Subpartida_pais2!C29</f>
        <v>6.9368791299999959</v>
      </c>
      <c r="D41" s="24">
        <f>+[7]Subpartida_pais2!E29</f>
        <v>5.8904072499999991</v>
      </c>
      <c r="E41" s="21">
        <f t="shared" si="0"/>
        <v>-15.08562943636006</v>
      </c>
      <c r="F41" s="21">
        <f t="shared" si="1"/>
        <v>0.34139394188423788</v>
      </c>
      <c r="G41" s="21">
        <f>+[7]Subpartida_pais2!D29</f>
        <v>1.48071967</v>
      </c>
      <c r="H41" s="24">
        <f>+[7]Subpartida_pais2!F29</f>
        <v>1.3957182400000006</v>
      </c>
      <c r="I41" s="21">
        <f t="shared" si="2"/>
        <v>-5.740548445608173</v>
      </c>
      <c r="J41" s="21">
        <f t="shared" si="3"/>
        <v>0.31215405079782754</v>
      </c>
      <c r="K41" s="16"/>
    </row>
    <row r="42" spans="1:11">
      <c r="A42" s="14"/>
      <c r="B42" s="9" t="str">
        <f>+[7]Subpartida_pais2!B30</f>
        <v>Vehículos=&gt; 10 personas</v>
      </c>
      <c r="C42" s="21">
        <f>+[7]Subpartida_pais2!C30</f>
        <v>1.0831983699999999</v>
      </c>
      <c r="D42" s="24">
        <f>+[7]Subpartida_pais2!E30</f>
        <v>5.7810206199999961</v>
      </c>
      <c r="E42" s="21">
        <f t="shared" si="0"/>
        <v>433.69916167802182</v>
      </c>
      <c r="F42" s="21">
        <f t="shared" si="1"/>
        <v>0.33505415395104637</v>
      </c>
      <c r="G42" s="21">
        <f>+[7]Subpartida_pais2!D30</f>
        <v>5.9619030000000003E-2</v>
      </c>
      <c r="H42" s="24">
        <f>+[7]Subpartida_pais2!F30</f>
        <v>2.2847929699999998</v>
      </c>
      <c r="I42" s="21">
        <f t="shared" si="2"/>
        <v>3732.3216093921687</v>
      </c>
      <c r="J42" s="21">
        <f t="shared" si="3"/>
        <v>0.51099667567567142</v>
      </c>
      <c r="K42" s="16"/>
    </row>
    <row r="43" spans="1:11">
      <c r="A43" s="14"/>
      <c r="B43" s="9" t="str">
        <f>+[7]Subpartida_pais2!B31</f>
        <v>Paneles LCD o plasma</v>
      </c>
      <c r="C43" s="21">
        <f>+[7]Subpartida_pais2!C31</f>
        <v>3.0810466399999994</v>
      </c>
      <c r="D43" s="24">
        <f>+[7]Subpartida_pais2!E31</f>
        <v>5.5999125099999967</v>
      </c>
      <c r="E43" s="21">
        <f t="shared" si="0"/>
        <v>81.753578063329726</v>
      </c>
      <c r="F43" s="21">
        <f t="shared" si="1"/>
        <v>0.32455756025965021</v>
      </c>
      <c r="G43" s="21">
        <f>+[7]Subpartida_pais2!D31</f>
        <v>2.14563002</v>
      </c>
      <c r="H43" s="24">
        <f>+[7]Subpartida_pais2!F31</f>
        <v>1.3473870899999998</v>
      </c>
      <c r="I43" s="21">
        <f t="shared" si="2"/>
        <v>-37.203195451189686</v>
      </c>
      <c r="J43" s="21">
        <f t="shared" si="3"/>
        <v>0.30134473139521112</v>
      </c>
      <c r="K43" s="16"/>
    </row>
    <row r="44" spans="1:11">
      <c r="A44" s="14"/>
      <c r="B44" s="9" t="s">
        <v>2</v>
      </c>
      <c r="C44" s="21">
        <f>+C13-SUM(C14:C43)</f>
        <v>926.87290003001965</v>
      </c>
      <c r="D44" s="24">
        <f>+D13-SUM(D14:D43)</f>
        <v>845.94066831003295</v>
      </c>
      <c r="E44" s="21">
        <f t="shared" si="0"/>
        <v>-8.7317507845320996</v>
      </c>
      <c r="F44" s="21">
        <f t="shared" si="1"/>
        <v>49.028701598611669</v>
      </c>
      <c r="G44" s="21">
        <f>+G13-SUM(G14:G43)</f>
        <v>221.38738088000346</v>
      </c>
      <c r="H44" s="24">
        <f>+H13-SUM(H14:H43)</f>
        <v>215.79734581999864</v>
      </c>
      <c r="I44" s="21">
        <f t="shared" si="2"/>
        <v>-2.525001668019522</v>
      </c>
      <c r="J44" s="21">
        <f t="shared" si="3"/>
        <v>48.263334044507566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f>+Principales_paises!C16</f>
        <v>1089.3030473900412</v>
      </c>
      <c r="D13" s="24">
        <f>+Principales_paises!D16</f>
        <v>864.86852400000794</v>
      </c>
      <c r="E13" s="24">
        <f>IF(OR(OR(D13=0,C13=0),D13=""),"",(D13/C13-1)*100)</f>
        <v>-20.603497247875701</v>
      </c>
      <c r="F13" s="22">
        <f>(D13/D$13)*100</f>
        <v>100</v>
      </c>
      <c r="G13" s="24">
        <f>+Principales_paises!G16</f>
        <v>313.7305645299985</v>
      </c>
      <c r="H13" s="24">
        <f>+Principales_paises!H16</f>
        <v>261.05261359000059</v>
      </c>
      <c r="I13" s="24">
        <f>IF(OR(OR(H13=0,G13=0),H13=""),"",(H13/G13-1)*100)</f>
        <v>-16.790825279938872</v>
      </c>
      <c r="J13" s="22">
        <f>(H13/H$13)*100</f>
        <v>100</v>
      </c>
      <c r="K13" s="16"/>
    </row>
    <row r="14" spans="1:14">
      <c r="A14" s="14"/>
      <c r="B14" s="9" t="str">
        <f>+[7]Subpartida_pais3!B2</f>
        <v>Vehículos 1.500 y 3.000 cm3</v>
      </c>
      <c r="C14" s="21">
        <f>+[7]Subpartida_pais3!C2</f>
        <v>136.39393053000003</v>
      </c>
      <c r="D14" s="24">
        <f>+[7]Subpartida_pais3!E2</f>
        <v>170.50695301999988</v>
      </c>
      <c r="E14" s="21">
        <f t="shared" ref="E14:E44" si="0">IF(OR(OR(D14=0,C14=0),D14=""),"",(D14/C14-1)*100)</f>
        <v>25.010660193927503</v>
      </c>
      <c r="F14" s="21">
        <f t="shared" ref="F14:F44" si="1">(D14/D$13)*100</f>
        <v>19.714783032154646</v>
      </c>
      <c r="G14" s="21">
        <f>+[7]Subpartida_pais3!D2</f>
        <v>48.571953090000015</v>
      </c>
      <c r="H14" s="24">
        <f>+[7]Subpartida_pais3!F2</f>
        <v>46.231678120000005</v>
      </c>
      <c r="I14" s="21">
        <f t="shared" ref="I14:I44" si="2">IF(OR(OR(H14=0,G14=0),H14=""),"",(H14/G14-1)*100)</f>
        <v>-4.8181611426323823</v>
      </c>
      <c r="J14" s="21">
        <f>(H14/H$13)*100</f>
        <v>17.709716629234649</v>
      </c>
      <c r="K14" s="16"/>
    </row>
    <row r="15" spans="1:14">
      <c r="A15" s="14"/>
      <c r="B15" s="9" t="str">
        <f>+[7]Subpartida_pais3!B3</f>
        <v>Aceites livianos</v>
      </c>
      <c r="C15" s="21">
        <f>+[7]Subpartida_pais3!C3</f>
        <v>203.87768701000002</v>
      </c>
      <c r="D15" s="24">
        <f>+[7]Subpartida_pais3!E3</f>
        <v>143.57649132</v>
      </c>
      <c r="E15" s="21">
        <f t="shared" si="0"/>
        <v>-29.577143322722854</v>
      </c>
      <c r="F15" s="21">
        <f t="shared" si="1"/>
        <v>16.600961572281555</v>
      </c>
      <c r="G15" s="21">
        <f>+[7]Subpartida_pais3!D3</f>
        <v>63.736263680000008</v>
      </c>
      <c r="H15" s="24">
        <f>+[7]Subpartida_pais3!F3</f>
        <v>32.733727599999995</v>
      </c>
      <c r="I15" s="21">
        <f t="shared" si="2"/>
        <v>-48.641910099490801</v>
      </c>
      <c r="J15" s="21">
        <f t="shared" ref="J15:J44" si="3">(H15/H$13)*100</f>
        <v>12.539130388255892</v>
      </c>
      <c r="K15" s="16"/>
    </row>
    <row r="16" spans="1:14">
      <c r="A16" s="14"/>
      <c r="B16" s="9" t="str">
        <f>+[7]Subpartida_pais3!B4</f>
        <v>Aparatos receptores TV LED</v>
      </c>
      <c r="C16" s="21">
        <f>+[7]Subpartida_pais3!C4</f>
        <v>24.528951609999996</v>
      </c>
      <c r="D16" s="24">
        <f>+[7]Subpartida_pais3!E4</f>
        <v>48.741841119999982</v>
      </c>
      <c r="E16" s="21">
        <f t="shared" si="0"/>
        <v>98.711473262187212</v>
      </c>
      <c r="F16" s="21">
        <f t="shared" si="1"/>
        <v>5.6357515353396694</v>
      </c>
      <c r="G16" s="21">
        <f>+[7]Subpartida_pais3!D4</f>
        <v>10.24371064</v>
      </c>
      <c r="H16" s="24">
        <f>+[7]Subpartida_pais3!F4</f>
        <v>19.774633390000002</v>
      </c>
      <c r="I16" s="21">
        <f t="shared" si="2"/>
        <v>93.041702220514907</v>
      </c>
      <c r="J16" s="21">
        <f t="shared" si="3"/>
        <v>7.5749608931543948</v>
      </c>
      <c r="K16" s="16"/>
    </row>
    <row r="17" spans="1:11">
      <c r="A17" s="14"/>
      <c r="B17" s="9" t="str">
        <f>+[7]Subpartida_pais3!B5</f>
        <v>Teléfonos móviles</v>
      </c>
      <c r="C17" s="21">
        <f>+[7]Subpartida_pais3!C5</f>
        <v>89.042041400000016</v>
      </c>
      <c r="D17" s="24">
        <f>+[7]Subpartida_pais3!E5</f>
        <v>43.124422820000014</v>
      </c>
      <c r="E17" s="21">
        <f t="shared" si="0"/>
        <v>-51.568470194574843</v>
      </c>
      <c r="F17" s="21">
        <f t="shared" si="1"/>
        <v>4.9862402924030587</v>
      </c>
      <c r="G17" s="21">
        <f>+[7]Subpartida_pais3!D5</f>
        <v>26.220346599999999</v>
      </c>
      <c r="H17" s="24">
        <f>+[7]Subpartida_pais3!F5</f>
        <v>19.163573160000006</v>
      </c>
      <c r="I17" s="21">
        <f t="shared" si="2"/>
        <v>-26.913349192721935</v>
      </c>
      <c r="J17" s="21">
        <f t="shared" si="3"/>
        <v>7.3408853856937792</v>
      </c>
      <c r="K17" s="16"/>
    </row>
    <row r="18" spans="1:11">
      <c r="A18" s="14"/>
      <c r="B18" s="9" t="str">
        <f>+[7]Subpartida_pais3!B6</f>
        <v>Máq. procesamiento datos</v>
      </c>
      <c r="C18" s="21">
        <f>+[7]Subpartida_pais3!C6</f>
        <v>48.937940200000007</v>
      </c>
      <c r="D18" s="24">
        <f>+[7]Subpartida_pais3!E6</f>
        <v>31.073448959999986</v>
      </c>
      <c r="E18" s="21">
        <f t="shared" si="0"/>
        <v>-36.504379152435227</v>
      </c>
      <c r="F18" s="21">
        <f t="shared" si="1"/>
        <v>3.5928523350908423</v>
      </c>
      <c r="G18" s="21">
        <f>+[7]Subpartida_pais3!D6</f>
        <v>13.897614990000006</v>
      </c>
      <c r="H18" s="24">
        <f>+[7]Subpartida_pais3!F6</f>
        <v>7.096734849999998</v>
      </c>
      <c r="I18" s="21">
        <f t="shared" si="2"/>
        <v>-48.935591789624077</v>
      </c>
      <c r="J18" s="21">
        <f t="shared" si="3"/>
        <v>2.7185074887416611</v>
      </c>
      <c r="K18" s="16"/>
    </row>
    <row r="19" spans="1:11">
      <c r="A19" s="14"/>
      <c r="B19" s="9" t="str">
        <f>+[7]Subpartida_pais3!B7</f>
        <v>Barras de hierro o de acero</v>
      </c>
      <c r="C19" s="21">
        <f>+[7]Subpartida_pais3!C7</f>
        <v>15.817355379999999</v>
      </c>
      <c r="D19" s="24">
        <f>+[7]Subpartida_pais3!E7</f>
        <v>22.344724420000002</v>
      </c>
      <c r="E19" s="21">
        <f t="shared" si="0"/>
        <v>41.267132736066813</v>
      </c>
      <c r="F19" s="21">
        <f t="shared" si="1"/>
        <v>2.5835978301830065</v>
      </c>
      <c r="G19" s="21">
        <f>+[7]Subpartida_pais3!D7</f>
        <v>6.7874809300000001</v>
      </c>
      <c r="H19" s="24">
        <f>+[7]Subpartida_pais3!F7</f>
        <v>13.977106190000001</v>
      </c>
      <c r="I19" s="21">
        <f t="shared" si="2"/>
        <v>105.9247949887058</v>
      </c>
      <c r="J19" s="21">
        <f t="shared" si="3"/>
        <v>5.354133788505913</v>
      </c>
      <c r="K19" s="16"/>
    </row>
    <row r="20" spans="1:11">
      <c r="A20" s="14"/>
      <c r="B20" s="9" t="str">
        <f>+[7]Subpartida_pais3!B8</f>
        <v>Medicamentos uso humano</v>
      </c>
      <c r="C20" s="21">
        <f>+[7]Subpartida_pais3!C8</f>
        <v>13.312444250000002</v>
      </c>
      <c r="D20" s="24">
        <f>+[7]Subpartida_pais3!E8</f>
        <v>20.177678749999998</v>
      </c>
      <c r="E20" s="21">
        <f t="shared" si="0"/>
        <v>51.570052584445534</v>
      </c>
      <c r="F20" s="21">
        <f t="shared" si="1"/>
        <v>2.3330342346925108</v>
      </c>
      <c r="G20" s="21">
        <f>+[7]Subpartida_pais3!D8</f>
        <v>3.5866744200000009</v>
      </c>
      <c r="H20" s="24">
        <f>+[7]Subpartida_pais3!F8</f>
        <v>6.0489928099999997</v>
      </c>
      <c r="I20" s="21">
        <f t="shared" si="2"/>
        <v>68.651851315793479</v>
      </c>
      <c r="J20" s="21">
        <f t="shared" si="3"/>
        <v>2.3171546635040858</v>
      </c>
      <c r="K20" s="16"/>
    </row>
    <row r="21" spans="1:11">
      <c r="A21" s="14"/>
      <c r="B21" s="9" t="str">
        <f>+[7]Subpartida_pais3!B9</f>
        <v>Tereftalato de etileno</v>
      </c>
      <c r="C21" s="21">
        <f>+[7]Subpartida_pais3!C9</f>
        <v>4.9950374400000008</v>
      </c>
      <c r="D21" s="24">
        <f>+[7]Subpartida_pais3!E9</f>
        <v>16.51660038</v>
      </c>
      <c r="E21" s="21">
        <f t="shared" si="0"/>
        <v>230.66019180829196</v>
      </c>
      <c r="F21" s="21">
        <f t="shared" si="1"/>
        <v>1.9097238391346347</v>
      </c>
      <c r="G21" s="21">
        <f>+[7]Subpartida_pais3!D9</f>
        <v>1.33876931</v>
      </c>
      <c r="H21" s="24">
        <f>+[7]Subpartida_pais3!F9</f>
        <v>2.6599401</v>
      </c>
      <c r="I21" s="21">
        <f t="shared" si="2"/>
        <v>98.685470314523414</v>
      </c>
      <c r="J21" s="21">
        <f t="shared" si="3"/>
        <v>1.0189287375523473</v>
      </c>
      <c r="K21" s="16"/>
    </row>
    <row r="22" spans="1:11">
      <c r="A22" s="14"/>
      <c r="B22" s="9" t="str">
        <f>+[7]Subpartida_pais3!B10</f>
        <v>Receptores televisión</v>
      </c>
      <c r="C22" s="21">
        <f>+[7]Subpartida_pais3!C10</f>
        <v>0.55256381999999993</v>
      </c>
      <c r="D22" s="24">
        <f>+[7]Subpartida_pais3!E10</f>
        <v>16.037456860000002</v>
      </c>
      <c r="E22" s="21">
        <f t="shared" si="0"/>
        <v>2802.3718671989786</v>
      </c>
      <c r="F22" s="21">
        <f t="shared" si="1"/>
        <v>1.8543231040282204</v>
      </c>
      <c r="G22" s="21">
        <f>+[7]Subpartida_pais3!D10</f>
        <v>3.43706E-3</v>
      </c>
      <c r="H22" s="24">
        <f>+[7]Subpartida_pais3!F10</f>
        <v>4.679261079999999</v>
      </c>
      <c r="I22" s="21">
        <f t="shared" si="2"/>
        <v>136041.38478816193</v>
      </c>
      <c r="J22" s="21">
        <f t="shared" si="3"/>
        <v>1.7924590049686575</v>
      </c>
      <c r="K22" s="16"/>
    </row>
    <row r="23" spans="1:11">
      <c r="A23" s="14"/>
      <c r="B23" s="9" t="str">
        <f>+[7]Subpartida_pais3!B11</f>
        <v>Tractores</v>
      </c>
      <c r="C23" s="21">
        <f>+[7]Subpartida_pais3!C11</f>
        <v>164.00809547000017</v>
      </c>
      <c r="D23" s="24">
        <f>+[7]Subpartida_pais3!E11</f>
        <v>14.959410680000005</v>
      </c>
      <c r="E23" s="21">
        <f t="shared" si="0"/>
        <v>-90.878858365417486</v>
      </c>
      <c r="F23" s="21">
        <f t="shared" si="1"/>
        <v>1.7296745418382073</v>
      </c>
      <c r="G23" s="21">
        <f>+[7]Subpartida_pais3!D11</f>
        <v>46.04889507</v>
      </c>
      <c r="H23" s="24">
        <f>+[7]Subpartida_pais3!F11</f>
        <v>1.7528387000000003</v>
      </c>
      <c r="I23" s="21">
        <f t="shared" si="2"/>
        <v>-96.193527125166696</v>
      </c>
      <c r="J23" s="21">
        <f t="shared" si="3"/>
        <v>0.67145035473689718</v>
      </c>
      <c r="K23" s="16"/>
    </row>
    <row r="24" spans="1:11">
      <c r="A24" s="14"/>
      <c r="B24" s="9" t="str">
        <f>+[7]Subpartida_pais3!B12</f>
        <v>Vehículos &gt; 20 ton</v>
      </c>
      <c r="C24" s="21">
        <f>+[7]Subpartida_pais3!C12</f>
        <v>49.185454429999979</v>
      </c>
      <c r="D24" s="24">
        <f>+[7]Subpartida_pais3!E12</f>
        <v>13.223895410000003</v>
      </c>
      <c r="E24" s="21">
        <f t="shared" si="0"/>
        <v>-73.114215242597666</v>
      </c>
      <c r="F24" s="21">
        <f t="shared" si="1"/>
        <v>1.5290064377461241</v>
      </c>
      <c r="G24" s="21">
        <f>+[7]Subpartida_pais3!D12</f>
        <v>13.655448229999999</v>
      </c>
      <c r="H24" s="24">
        <f>+[7]Subpartida_pais3!F12</f>
        <v>3.0668877200000004</v>
      </c>
      <c r="I24" s="21">
        <f t="shared" si="2"/>
        <v>-77.540922360481161</v>
      </c>
      <c r="J24" s="21">
        <f t="shared" si="3"/>
        <v>1.1748159414395822</v>
      </c>
      <c r="K24" s="16"/>
    </row>
    <row r="25" spans="1:11">
      <c r="A25" s="14"/>
      <c r="B25" s="9" t="str">
        <f>+[7]Subpartida_pais3!B13</f>
        <v>Aparatos receptores TV plasma</v>
      </c>
      <c r="C25" s="21">
        <f>+[7]Subpartida_pais3!C13</f>
        <v>12.47700219</v>
      </c>
      <c r="D25" s="24">
        <f>+[7]Subpartida_pais3!E13</f>
        <v>8.9782194699999991</v>
      </c>
      <c r="E25" s="21">
        <f t="shared" si="0"/>
        <v>-28.041853858166242</v>
      </c>
      <c r="F25" s="21">
        <f t="shared" si="1"/>
        <v>1.0381022341379504</v>
      </c>
      <c r="G25" s="21">
        <f>+[7]Subpartida_pais3!D13</f>
        <v>2.41349546</v>
      </c>
      <c r="H25" s="24">
        <f>+[7]Subpartida_pais3!F13</f>
        <v>5.3703406600000001</v>
      </c>
      <c r="I25" s="21">
        <f t="shared" si="2"/>
        <v>122.51297957693276</v>
      </c>
      <c r="J25" s="21">
        <f t="shared" si="3"/>
        <v>2.0571870881302323</v>
      </c>
      <c r="K25" s="16"/>
    </row>
    <row r="26" spans="1:11">
      <c r="A26" s="14"/>
      <c r="B26" s="9" t="str">
        <f>+[7]Subpartida_pais3!B14</f>
        <v>Vehículos diesel &lt; 4537 ton</v>
      </c>
      <c r="C26" s="21">
        <f>+[7]Subpartida_pais3!C14</f>
        <v>8.694707860000003</v>
      </c>
      <c r="D26" s="24">
        <f>+[7]Subpartida_pais3!E14</f>
        <v>8.5983894800000051</v>
      </c>
      <c r="E26" s="21">
        <f t="shared" si="0"/>
        <v>-1.1077816707690702</v>
      </c>
      <c r="F26" s="21">
        <f t="shared" si="1"/>
        <v>0.99418457735431764</v>
      </c>
      <c r="G26" s="21">
        <f>+[7]Subpartida_pais3!D14</f>
        <v>1.3535974100000001</v>
      </c>
      <c r="H26" s="24">
        <f>+[7]Subpartida_pais3!F14</f>
        <v>4.1802231799999996</v>
      </c>
      <c r="I26" s="21">
        <f t="shared" si="2"/>
        <v>208.82322536358865</v>
      </c>
      <c r="J26" s="21">
        <f t="shared" si="3"/>
        <v>1.6012952801021563</v>
      </c>
      <c r="K26" s="16"/>
    </row>
    <row r="27" spans="1:11">
      <c r="A27" s="14"/>
      <c r="B27" s="9" t="str">
        <f>+[7]Subpartida_pais3!B15</f>
        <v>Tarjetas inteligentes</v>
      </c>
      <c r="C27" s="21">
        <f>+[7]Subpartida_pais3!C15</f>
        <v>8.4063954600000184</v>
      </c>
      <c r="D27" s="24">
        <f>+[7]Subpartida_pais3!E15</f>
        <v>7.9641539700000932</v>
      </c>
      <c r="E27" s="21">
        <f t="shared" si="0"/>
        <v>-5.2607742772063704</v>
      </c>
      <c r="F27" s="21">
        <f t="shared" si="1"/>
        <v>0.92085140677405675</v>
      </c>
      <c r="G27" s="21">
        <f>+[7]Subpartida_pais3!D15</f>
        <v>3.2552431699999937</v>
      </c>
      <c r="H27" s="24">
        <f>+[7]Subpartida_pais3!F15</f>
        <v>1.5203929100000029</v>
      </c>
      <c r="I27" s="21">
        <f t="shared" si="2"/>
        <v>-53.294029643874332</v>
      </c>
      <c r="J27" s="21">
        <f t="shared" si="3"/>
        <v>0.582408614528516</v>
      </c>
      <c r="K27" s="16"/>
    </row>
    <row r="28" spans="1:11">
      <c r="A28" s="14"/>
      <c r="B28" s="9" t="str">
        <f>+[7]Subpartida_pais3!B16</f>
        <v>Champues para el cabello.</v>
      </c>
      <c r="C28" s="21">
        <f>+[7]Subpartida_pais3!C16</f>
        <v>0.67197194999999998</v>
      </c>
      <c r="D28" s="24">
        <f>+[7]Subpartida_pais3!E16</f>
        <v>7.8139116399999997</v>
      </c>
      <c r="E28" s="21">
        <f t="shared" si="0"/>
        <v>1062.8330081337472</v>
      </c>
      <c r="F28" s="21">
        <f t="shared" si="1"/>
        <v>0.90347971086527001</v>
      </c>
      <c r="G28" s="21">
        <f>+[7]Subpartida_pais3!D16</f>
        <v>0.32346986999999999</v>
      </c>
      <c r="H28" s="24">
        <f>+[7]Subpartida_pais3!F16</f>
        <v>4.2375915200000005</v>
      </c>
      <c r="I28" s="21">
        <f t="shared" si="2"/>
        <v>1210.042113041317</v>
      </c>
      <c r="J28" s="21">
        <f t="shared" si="3"/>
        <v>1.6232710570197171</v>
      </c>
      <c r="K28" s="16"/>
    </row>
    <row r="29" spans="1:11">
      <c r="A29" s="14"/>
      <c r="B29" s="9" t="str">
        <f>+[7]Subpartida_pais3!B17</f>
        <v>Alambrones de hierro</v>
      </c>
      <c r="C29" s="21">
        <f>+[7]Subpartida_pais3!C17</f>
        <v>2.8067021000000003</v>
      </c>
      <c r="D29" s="24">
        <f>+[7]Subpartida_pais3!E17</f>
        <v>7.3734886000000008</v>
      </c>
      <c r="E29" s="21">
        <f t="shared" si="0"/>
        <v>162.7100539098895</v>
      </c>
      <c r="F29" s="21">
        <f t="shared" si="1"/>
        <v>0.85255601231707367</v>
      </c>
      <c r="G29" s="21">
        <f>+[7]Subpartida_pais3!D17</f>
        <v>1.1776114199999999</v>
      </c>
      <c r="H29" s="24">
        <f>+[7]Subpartida_pais3!F17</f>
        <v>2.1623807400000001</v>
      </c>
      <c r="I29" s="21">
        <f t="shared" si="2"/>
        <v>83.624301129824332</v>
      </c>
      <c r="J29" s="21">
        <f t="shared" si="3"/>
        <v>0.8283313889345516</v>
      </c>
      <c r="K29" s="16"/>
    </row>
    <row r="30" spans="1:11">
      <c r="A30" s="14"/>
      <c r="B30" s="9" t="str">
        <f>+[7]Subpartida_pais3!B18</f>
        <v>Vehículos=&gt; 10 personas</v>
      </c>
      <c r="C30" s="21">
        <f>+[7]Subpartida_pais3!C18</f>
        <v>0.10176228</v>
      </c>
      <c r="D30" s="24">
        <f>+[7]Subpartida_pais3!E18</f>
        <v>6.7905117200000005</v>
      </c>
      <c r="E30" s="21">
        <f t="shared" si="0"/>
        <v>6572.9162514833606</v>
      </c>
      <c r="F30" s="21">
        <f t="shared" si="1"/>
        <v>0.78514959575519683</v>
      </c>
      <c r="G30" s="21">
        <f>+[7]Subpartida_pais3!D18</f>
        <v>0.10176228</v>
      </c>
      <c r="H30" s="24">
        <f>+[7]Subpartida_pais3!F18</f>
        <v>4.9338194199999998</v>
      </c>
      <c r="I30" s="21">
        <f t="shared" si="2"/>
        <v>4748.3774341534017</v>
      </c>
      <c r="J30" s="21">
        <f t="shared" si="3"/>
        <v>1.8899712790268672</v>
      </c>
      <c r="K30" s="16"/>
    </row>
    <row r="31" spans="1:11">
      <c r="A31" s="14"/>
      <c r="B31" s="9" t="str">
        <f>+[7]Subpartida_pais3!B19</f>
        <v>Vehículos carga &lt; 4537 ton</v>
      </c>
      <c r="C31" s="21">
        <f>+[7]Subpartida_pais3!C19</f>
        <v>14.850005519999984</v>
      </c>
      <c r="D31" s="24">
        <f>+[7]Subpartida_pais3!E19</f>
        <v>6.5747862899999987</v>
      </c>
      <c r="E31" s="21">
        <f t="shared" si="0"/>
        <v>-55.725361306128285</v>
      </c>
      <c r="F31" s="21">
        <f t="shared" si="1"/>
        <v>0.76020644844278529</v>
      </c>
      <c r="G31" s="21">
        <f>+[7]Subpartida_pais3!D19</f>
        <v>0.82613876999999991</v>
      </c>
      <c r="H31" s="24">
        <f>+[7]Subpartida_pais3!F19</f>
        <v>1.50481284</v>
      </c>
      <c r="I31" s="21">
        <f t="shared" si="2"/>
        <v>82.150129572057267</v>
      </c>
      <c r="J31" s="21">
        <f t="shared" si="3"/>
        <v>0.57644044214144607</v>
      </c>
      <c r="K31" s="16"/>
    </row>
    <row r="32" spans="1:11">
      <c r="A32" s="14"/>
      <c r="B32" s="9" t="str">
        <f>+[7]Subpartida_pais3!B20</f>
        <v>Lavadoras</v>
      </c>
      <c r="C32" s="21">
        <f>+[7]Subpartida_pais3!C20</f>
        <v>4.6249273300000011</v>
      </c>
      <c r="D32" s="24">
        <f>+[7]Subpartida_pais3!E20</f>
        <v>5.9017689100000004</v>
      </c>
      <c r="E32" s="21">
        <f t="shared" si="0"/>
        <v>27.60781929950884</v>
      </c>
      <c r="F32" s="21">
        <f t="shared" si="1"/>
        <v>0.68238914311557786</v>
      </c>
      <c r="G32" s="21">
        <f>+[7]Subpartida_pais3!D20</f>
        <v>1.3549278300000001</v>
      </c>
      <c r="H32" s="24">
        <f>+[7]Subpartida_pais3!F20</f>
        <v>1.43069859</v>
      </c>
      <c r="I32" s="21">
        <f t="shared" si="2"/>
        <v>5.5922358610052347</v>
      </c>
      <c r="J32" s="21">
        <f t="shared" si="3"/>
        <v>0.54804990087055838</v>
      </c>
      <c r="K32" s="16"/>
    </row>
    <row r="33" spans="1:11">
      <c r="A33" s="14"/>
      <c r="B33" s="9" t="str">
        <f>+[7]Subpartida_pais3!B21</f>
        <v>Tejidos de mezclilla</v>
      </c>
      <c r="C33" s="21">
        <f>+[7]Subpartida_pais3!C21</f>
        <v>5.2148904300000005</v>
      </c>
      <c r="D33" s="24">
        <f>+[7]Subpartida_pais3!E21</f>
        <v>5.3747381099999991</v>
      </c>
      <c r="E33" s="21">
        <f t="shared" si="0"/>
        <v>3.0652164632344547</v>
      </c>
      <c r="F33" s="21">
        <f t="shared" si="1"/>
        <v>0.62145146468527857</v>
      </c>
      <c r="G33" s="21">
        <f>+[7]Subpartida_pais3!D21</f>
        <v>0.94436852000000004</v>
      </c>
      <c r="H33" s="24">
        <f>+[7]Subpartida_pais3!F21</f>
        <v>1.3959012499999999</v>
      </c>
      <c r="I33" s="21">
        <f t="shared" si="2"/>
        <v>47.813191612952096</v>
      </c>
      <c r="J33" s="21">
        <f t="shared" si="3"/>
        <v>0.53472027374234599</v>
      </c>
      <c r="K33" s="16"/>
    </row>
    <row r="34" spans="1:11">
      <c r="A34" s="14"/>
      <c r="B34" s="9" t="str">
        <f>+[7]Subpartida_pais3!B22</f>
        <v>Aparatos de medicina</v>
      </c>
      <c r="C34" s="21">
        <f>+[7]Subpartida_pais3!C22</f>
        <v>3.6692012500000013</v>
      </c>
      <c r="D34" s="24">
        <f>+[7]Subpartida_pais3!E22</f>
        <v>5.2778008499999993</v>
      </c>
      <c r="E34" s="21">
        <f t="shared" si="0"/>
        <v>43.840593371649959</v>
      </c>
      <c r="F34" s="21">
        <f t="shared" si="1"/>
        <v>0.61024314141879343</v>
      </c>
      <c r="G34" s="21">
        <f>+[7]Subpartida_pais3!D22</f>
        <v>0.92446001999999994</v>
      </c>
      <c r="H34" s="24">
        <f>+[7]Subpartida_pais3!F22</f>
        <v>1.2090411800000003</v>
      </c>
      <c r="I34" s="21">
        <f t="shared" si="2"/>
        <v>30.783501053945027</v>
      </c>
      <c r="J34" s="21">
        <f t="shared" si="3"/>
        <v>0.4631408065114701</v>
      </c>
      <c r="K34" s="16"/>
    </row>
    <row r="35" spans="1:11">
      <c r="A35" s="14"/>
      <c r="B35" s="9" t="str">
        <f>+[7]Subpartida_pais3!B23</f>
        <v>Unidades de proceso</v>
      </c>
      <c r="C35" s="21">
        <f>+[7]Subpartida_pais3!C23</f>
        <v>4.8942683499999973</v>
      </c>
      <c r="D35" s="24">
        <f>+[7]Subpartida_pais3!E23</f>
        <v>5.1556604700000017</v>
      </c>
      <c r="E35" s="21">
        <f t="shared" si="0"/>
        <v>5.340780302739323</v>
      </c>
      <c r="F35" s="21">
        <f t="shared" si="1"/>
        <v>0.59612071973149461</v>
      </c>
      <c r="G35" s="21">
        <f>+[7]Subpartida_pais3!D23</f>
        <v>1.2046682099999995</v>
      </c>
      <c r="H35" s="24">
        <f>+[7]Subpartida_pais3!F23</f>
        <v>1.3242418599999992</v>
      </c>
      <c r="I35" s="21">
        <f t="shared" si="2"/>
        <v>9.925857510592051</v>
      </c>
      <c r="J35" s="21">
        <f t="shared" si="3"/>
        <v>0.50727010229432279</v>
      </c>
      <c r="K35" s="16"/>
    </row>
    <row r="36" spans="1:11">
      <c r="A36" s="14"/>
      <c r="B36" s="9" t="str">
        <f>+[7]Subpartida_pais3!B24</f>
        <v>Máquinas de afeitar</v>
      </c>
      <c r="C36" s="21">
        <f>+[7]Subpartida_pais3!C24</f>
        <v>0.13713093999999998</v>
      </c>
      <c r="D36" s="24">
        <f>+[7]Subpartida_pais3!E24</f>
        <v>4.7139100699999998</v>
      </c>
      <c r="E36" s="21">
        <f t="shared" si="0"/>
        <v>3337.5247992903724</v>
      </c>
      <c r="F36" s="21">
        <f t="shared" si="1"/>
        <v>0.54504354583263304</v>
      </c>
      <c r="G36" s="21">
        <f>+[7]Subpartida_pais3!D24</f>
        <v>5.4038800000000005E-2</v>
      </c>
      <c r="H36" s="24">
        <f>+[7]Subpartida_pais3!F24</f>
        <v>3.6871927200000001</v>
      </c>
      <c r="I36" s="21">
        <f t="shared" si="2"/>
        <v>6723.2320480839689</v>
      </c>
      <c r="J36" s="21">
        <f t="shared" si="3"/>
        <v>1.4124327924910056</v>
      </c>
      <c r="K36" s="16"/>
    </row>
    <row r="37" spans="1:11">
      <c r="A37" s="14"/>
      <c r="B37" s="9" t="str">
        <f>+[7]Subpartida_pais3!B25</f>
        <v>Vehículos 9,3 y 20 ton</v>
      </c>
      <c r="C37" s="21">
        <f>+[7]Subpartida_pais3!C25</f>
        <v>3.5223956500000004</v>
      </c>
      <c r="D37" s="24">
        <f>+[7]Subpartida_pais3!E25</f>
        <v>4.7129325199999998</v>
      </c>
      <c r="E37" s="21">
        <f t="shared" si="0"/>
        <v>33.799067120696648</v>
      </c>
      <c r="F37" s="21">
        <f t="shared" si="1"/>
        <v>0.5449305170920935</v>
      </c>
      <c r="G37" s="21">
        <f>+[7]Subpartida_pais3!D25</f>
        <v>1.1256971599999999</v>
      </c>
      <c r="H37" s="24">
        <f>+[7]Subpartida_pais3!F25</f>
        <v>1.2205408600000001</v>
      </c>
      <c r="I37" s="21">
        <f t="shared" si="2"/>
        <v>8.4253299528622918</v>
      </c>
      <c r="J37" s="21">
        <f t="shared" si="3"/>
        <v>0.46754592616986229</v>
      </c>
      <c r="K37" s="16"/>
    </row>
    <row r="38" spans="1:11">
      <c r="A38" s="14"/>
      <c r="B38" s="9" t="str">
        <f>+[7]Subpartida_pais3!B26</f>
        <v>Alambrón de hierro o acero</v>
      </c>
      <c r="C38" s="21">
        <f>+[7]Subpartida_pais3!C26</f>
        <v>2.0566611199999998</v>
      </c>
      <c r="D38" s="24">
        <f>+[7]Subpartida_pais3!E26</f>
        <v>4.46554041</v>
      </c>
      <c r="E38" s="21">
        <f t="shared" si="0"/>
        <v>117.12572706192846</v>
      </c>
      <c r="F38" s="21">
        <f t="shared" si="1"/>
        <v>0.51632592539579558</v>
      </c>
      <c r="G38" s="21">
        <f>+[7]Subpartida_pais3!D26</f>
        <v>0.95915885000000001</v>
      </c>
      <c r="H38" s="24">
        <f>+[7]Subpartida_pais3!F26</f>
        <v>2.5821014399999997</v>
      </c>
      <c r="I38" s="21">
        <f t="shared" si="2"/>
        <v>169.2047766644701</v>
      </c>
      <c r="J38" s="21">
        <f t="shared" si="3"/>
        <v>0.98911150686863103</v>
      </c>
      <c r="K38" s="16"/>
    </row>
    <row r="39" spans="1:11">
      <c r="A39" s="14"/>
      <c r="B39" s="9" t="str">
        <f>+[7]Subpartida_pais3!B27</f>
        <v>Vidrios en placas</v>
      </c>
      <c r="C39" s="21">
        <f>+[7]Subpartida_pais3!C27</f>
        <v>3.6245739299999982</v>
      </c>
      <c r="D39" s="24">
        <f>+[7]Subpartida_pais3!E27</f>
        <v>3.9791045300000003</v>
      </c>
      <c r="E39" s="21">
        <f t="shared" si="0"/>
        <v>9.7813041435190762</v>
      </c>
      <c r="F39" s="21">
        <f t="shared" si="1"/>
        <v>0.4600820147317517</v>
      </c>
      <c r="G39" s="21">
        <f>+[7]Subpartida_pais3!D27</f>
        <v>0.64017362999999994</v>
      </c>
      <c r="H39" s="24">
        <f>+[7]Subpartida_pais3!F27</f>
        <v>1.4447489300000003</v>
      </c>
      <c r="I39" s="21">
        <f t="shared" si="2"/>
        <v>125.68079381838962</v>
      </c>
      <c r="J39" s="21">
        <f t="shared" si="3"/>
        <v>0.55343208793498944</v>
      </c>
      <c r="K39" s="16"/>
    </row>
    <row r="40" spans="1:11">
      <c r="A40" s="14"/>
      <c r="B40" s="9" t="str">
        <f>+[7]Subpartida_pais3!B28</f>
        <v>Sulfato de bario natural</v>
      </c>
      <c r="C40" s="21">
        <f>+[7]Subpartida_pais3!C28</f>
        <v>0</v>
      </c>
      <c r="D40" s="24">
        <f>+[7]Subpartida_pais3!E28</f>
        <v>3.8974933699999994</v>
      </c>
      <c r="E40" s="21" t="str">
        <f t="shared" si="0"/>
        <v/>
      </c>
      <c r="F40" s="21">
        <f t="shared" si="1"/>
        <v>0.4506457642803478</v>
      </c>
      <c r="G40" s="21">
        <f>+[7]Subpartida_pais3!D28</f>
        <v>0</v>
      </c>
      <c r="H40" s="24">
        <f>+[7]Subpartida_pais3!F28</f>
        <v>0</v>
      </c>
      <c r="I40" s="21" t="str">
        <f t="shared" si="2"/>
        <v/>
      </c>
      <c r="J40" s="21">
        <f t="shared" si="3"/>
        <v>0</v>
      </c>
      <c r="K40" s="16"/>
    </row>
    <row r="41" spans="1:11">
      <c r="A41" s="14"/>
      <c r="B41" s="9" t="str">
        <f>+[7]Subpartida_pais3!B29</f>
        <v>Preparaciones alimen. infantil</v>
      </c>
      <c r="C41" s="21">
        <f>+[7]Subpartida_pais3!C29</f>
        <v>3.3780085400000011</v>
      </c>
      <c r="D41" s="24">
        <f>+[7]Subpartida_pais3!E29</f>
        <v>3.7712104600000003</v>
      </c>
      <c r="E41" s="21">
        <f t="shared" si="0"/>
        <v>11.640051093535696</v>
      </c>
      <c r="F41" s="21">
        <f t="shared" si="1"/>
        <v>0.43604436458829499</v>
      </c>
      <c r="G41" s="21">
        <f>+[7]Subpartida_pais3!D29</f>
        <v>1.0401060499999999</v>
      </c>
      <c r="H41" s="24">
        <f>+[7]Subpartida_pais3!F29</f>
        <v>1.9523333400000003</v>
      </c>
      <c r="I41" s="21">
        <f t="shared" si="2"/>
        <v>87.705219097610325</v>
      </c>
      <c r="J41" s="21">
        <f t="shared" si="3"/>
        <v>0.74786967774483248</v>
      </c>
      <c r="K41" s="16"/>
    </row>
    <row r="42" spans="1:11">
      <c r="A42" s="14"/>
      <c r="B42" s="9" t="str">
        <f>+[7]Subpartida_pais3!B30</f>
        <v>Mezclas sustancias odoriferas</v>
      </c>
      <c r="C42" s="21">
        <f>+[7]Subpartida_pais3!C30</f>
        <v>1.5066098700000006</v>
      </c>
      <c r="D42" s="24">
        <f>+[7]Subpartida_pais3!E30</f>
        <v>3.7270344099999995</v>
      </c>
      <c r="E42" s="21">
        <f t="shared" si="0"/>
        <v>147.3788659037524</v>
      </c>
      <c r="F42" s="21">
        <f t="shared" si="1"/>
        <v>0.43093653041765284</v>
      </c>
      <c r="G42" s="21">
        <f>+[7]Subpartida_pais3!D30</f>
        <v>0.31172290999999996</v>
      </c>
      <c r="H42" s="24">
        <f>+[7]Subpartida_pais3!F30</f>
        <v>0.63074953999999994</v>
      </c>
      <c r="I42" s="21">
        <f t="shared" si="2"/>
        <v>102.34301675164011</v>
      </c>
      <c r="J42" s="21">
        <f t="shared" si="3"/>
        <v>0.24161778398841524</v>
      </c>
      <c r="K42" s="16"/>
    </row>
    <row r="43" spans="1:11">
      <c r="A43" s="14"/>
      <c r="B43" s="9" t="str">
        <f>+[7]Subpartida_pais3!B31</f>
        <v>Refrigeradores</v>
      </c>
      <c r="C43" s="21">
        <f>+[7]Subpartida_pais3!C31</f>
        <v>6.2949156499999939</v>
      </c>
      <c r="D43" s="24">
        <f>+[7]Subpartida_pais3!E31</f>
        <v>3.7244485099999984</v>
      </c>
      <c r="E43" s="21">
        <f t="shared" si="0"/>
        <v>-40.834020389137351</v>
      </c>
      <c r="F43" s="21">
        <f t="shared" si="1"/>
        <v>0.43063753699515656</v>
      </c>
      <c r="G43" s="21">
        <f>+[7]Subpartida_pais3!D31</f>
        <v>2.5010786500000002</v>
      </c>
      <c r="H43" s="24">
        <f>+[7]Subpartida_pais3!F31</f>
        <v>1.3944200199999999</v>
      </c>
      <c r="I43" s="21">
        <f t="shared" si="2"/>
        <v>-44.247254279668503</v>
      </c>
      <c r="J43" s="21">
        <f t="shared" si="3"/>
        <v>0.53415286705002063</v>
      </c>
      <c r="K43" s="16"/>
    </row>
    <row r="44" spans="1:11">
      <c r="A44" s="14"/>
      <c r="B44" s="9" t="s">
        <v>2</v>
      </c>
      <c r="C44" s="21">
        <f>+C13-SUM(C14:C43)</f>
        <v>251.71941543004095</v>
      </c>
      <c r="D44" s="24">
        <f>+D13-SUM(D14:D43)</f>
        <v>215.79049647000795</v>
      </c>
      <c r="E44" s="21">
        <f t="shared" si="0"/>
        <v>-14.273399967440547</v>
      </c>
      <c r="F44" s="21">
        <f t="shared" si="1"/>
        <v>24.950670591176003</v>
      </c>
      <c r="G44" s="21">
        <f>+G13-SUM(G14:G43)</f>
        <v>59.128251499998498</v>
      </c>
      <c r="H44" s="24">
        <f>+H13-SUM(H14:H43)</f>
        <v>61.685708870000468</v>
      </c>
      <c r="I44" s="21">
        <f t="shared" si="2"/>
        <v>4.3252714313766427</v>
      </c>
      <c r="J44" s="21">
        <f t="shared" si="3"/>
        <v>23.629607848662154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f>+Principales_paises!C18</f>
        <v>356.3631802799996</v>
      </c>
      <c r="D13" s="24">
        <f>+Principales_paises!D18</f>
        <v>358.77805887999926</v>
      </c>
      <c r="E13" s="24">
        <f>IF(OR(OR(D13=0,C13=0),D13=""),"",(D13/C13-1)*100)</f>
        <v>0.67764537237047229</v>
      </c>
      <c r="F13" s="22">
        <f>(D13/D$13)*100</f>
        <v>100</v>
      </c>
      <c r="G13" s="24">
        <f>+Principales_paises!G18</f>
        <v>80.440536320000064</v>
      </c>
      <c r="H13" s="24">
        <f>+Principales_paises!H18</f>
        <v>111.76129900999977</v>
      </c>
      <c r="I13" s="24">
        <f>IF(OR(OR(H13=0,G13=0),H13=""),"",(H13/G13-1)*100)</f>
        <v>38.936541354476752</v>
      </c>
      <c r="J13" s="22">
        <f>(H13/H$13)*100</f>
        <v>100</v>
      </c>
      <c r="K13" s="16"/>
    </row>
    <row r="14" spans="1:14">
      <c r="A14" s="14"/>
      <c r="B14" s="9" t="str">
        <f>+[7]Subpartida_pais4!B2</f>
        <v>Aviones &gt; 15 mil kg</v>
      </c>
      <c r="C14" s="21">
        <f>+[7]Subpartida_pais4!C2</f>
        <v>0</v>
      </c>
      <c r="D14" s="24">
        <f>+[7]Subpartida_pais4!E2</f>
        <v>50.178330090000003</v>
      </c>
      <c r="E14" s="21" t="str">
        <f t="shared" ref="E14:E44" si="0">IF(OR(OR(D14=0,C14=0),D14=""),"",(D14/C14-1)*100)</f>
        <v/>
      </c>
      <c r="F14" s="21">
        <f t="shared" ref="F14:F44" si="1">(D14/D$13)*100</f>
        <v>13.985897088200474</v>
      </c>
      <c r="G14" s="21">
        <f>+[7]Subpartida_pais4!D2</f>
        <v>0</v>
      </c>
      <c r="H14" s="24">
        <f>+[7]Subpartida_pais4!F2</f>
        <v>0</v>
      </c>
      <c r="I14" s="21" t="str">
        <f t="shared" ref="I14:I44" si="2">IF(OR(OR(H14=0,G14=0),H14=""),"",(H14/G14-1)*100)</f>
        <v/>
      </c>
      <c r="J14" s="21">
        <f>(H14/H$13)*100</f>
        <v>0</v>
      </c>
      <c r="K14" s="16"/>
    </row>
    <row r="15" spans="1:14">
      <c r="A15" s="14"/>
      <c r="B15" s="9" t="str">
        <f>+[7]Subpartida_pais4!B3</f>
        <v>Medicamentos uso humano</v>
      </c>
      <c r="C15" s="21">
        <f>+[7]Subpartida_pais4!C3</f>
        <v>20.926298590000009</v>
      </c>
      <c r="D15" s="24">
        <f>+[7]Subpartida_pais4!E3</f>
        <v>26.299746820000003</v>
      </c>
      <c r="E15" s="21">
        <f t="shared" si="0"/>
        <v>25.677967878025921</v>
      </c>
      <c r="F15" s="21">
        <f t="shared" si="1"/>
        <v>7.3303665508699618</v>
      </c>
      <c r="G15" s="21">
        <f>+[7]Subpartida_pais4!D3</f>
        <v>6.1314636199999999</v>
      </c>
      <c r="H15" s="24">
        <f>+[7]Subpartida_pais4!F3</f>
        <v>7.7300057700000009</v>
      </c>
      <c r="I15" s="21">
        <f t="shared" si="2"/>
        <v>26.071134872035671</v>
      </c>
      <c r="J15" s="21">
        <f t="shared" ref="J15:J44" si="3">(H15/H$13)*100</f>
        <v>6.9165317855766544</v>
      </c>
      <c r="K15" s="16"/>
    </row>
    <row r="16" spans="1:14">
      <c r="A16" s="14"/>
      <c r="B16" s="9" t="str">
        <f>+[7]Subpartida_pais4!B4</f>
        <v>Productos inmunológicos</v>
      </c>
      <c r="C16" s="21">
        <f>+[7]Subpartida_pais4!C4</f>
        <v>12.187168379999999</v>
      </c>
      <c r="D16" s="24">
        <f>+[7]Subpartida_pais4!E4</f>
        <v>18.585865860000002</v>
      </c>
      <c r="E16" s="21">
        <f t="shared" si="0"/>
        <v>52.503561783069429</v>
      </c>
      <c r="F16" s="21">
        <f t="shared" si="1"/>
        <v>5.1803239913889021</v>
      </c>
      <c r="G16" s="21">
        <f>+[7]Subpartida_pais4!D4</f>
        <v>2.2530043200000005</v>
      </c>
      <c r="H16" s="24">
        <f>+[7]Subpartida_pais4!F4</f>
        <v>5.7795826300000002</v>
      </c>
      <c r="I16" s="21">
        <f t="shared" si="2"/>
        <v>156.52780949838564</v>
      </c>
      <c r="J16" s="21">
        <f t="shared" si="3"/>
        <v>5.171363147347523</v>
      </c>
      <c r="K16" s="16"/>
    </row>
    <row r="17" spans="1:11">
      <c r="A17" s="14"/>
      <c r="B17" s="9" t="str">
        <f>+[7]Subpartida_pais4!B5</f>
        <v>Reactivos de diagnóstico</v>
      </c>
      <c r="C17" s="21">
        <f>+[7]Subpartida_pais4!C5</f>
        <v>5.523398299999994</v>
      </c>
      <c r="D17" s="24">
        <f>+[7]Subpartida_pais4!E5</f>
        <v>16.077393389999994</v>
      </c>
      <c r="E17" s="21">
        <f t="shared" si="0"/>
        <v>191.07792914373044</v>
      </c>
      <c r="F17" s="21">
        <f t="shared" si="1"/>
        <v>4.4811528999819386</v>
      </c>
      <c r="G17" s="21">
        <f>+[7]Subpartida_pais4!D5</f>
        <v>1.1097817400000001</v>
      </c>
      <c r="H17" s="24">
        <f>+[7]Subpartida_pais4!F5</f>
        <v>4.5029137200000031</v>
      </c>
      <c r="I17" s="21">
        <f t="shared" si="2"/>
        <v>305.74768512590617</v>
      </c>
      <c r="J17" s="21">
        <f t="shared" si="3"/>
        <v>4.0290456176579585</v>
      </c>
      <c r="K17" s="16"/>
    </row>
    <row r="18" spans="1:11">
      <c r="A18" s="14"/>
      <c r="B18" s="9" t="str">
        <f>+[7]Subpartida_pais4!B6</f>
        <v>Insulina</v>
      </c>
      <c r="C18" s="21">
        <f>+[7]Subpartida_pais4!C6</f>
        <v>4.0029444000000005</v>
      </c>
      <c r="D18" s="24">
        <f>+[7]Subpartida_pais4!E6</f>
        <v>13.432020069999998</v>
      </c>
      <c r="E18" s="21">
        <f t="shared" si="0"/>
        <v>235.55350081804772</v>
      </c>
      <c r="F18" s="21">
        <f t="shared" si="1"/>
        <v>3.7438242773069397</v>
      </c>
      <c r="G18" s="21">
        <f>+[7]Subpartida_pais4!D6</f>
        <v>0.90770821000000002</v>
      </c>
      <c r="H18" s="24">
        <f>+[7]Subpartida_pais4!F6</f>
        <v>5.6537941099999998</v>
      </c>
      <c r="I18" s="21">
        <f t="shared" si="2"/>
        <v>522.864710015127</v>
      </c>
      <c r="J18" s="21">
        <f t="shared" si="3"/>
        <v>5.0588120933473846</v>
      </c>
      <c r="K18" s="16"/>
    </row>
    <row r="19" spans="1:11">
      <c r="A19" s="14"/>
      <c r="B19" s="9" t="str">
        <f>+[7]Subpartida_pais4!B7</f>
        <v>Vehículos 1.500 y 3.000 cm3</v>
      </c>
      <c r="C19" s="21">
        <f>+[7]Subpartida_pais4!C7</f>
        <v>21.949251719999999</v>
      </c>
      <c r="D19" s="24">
        <f>+[7]Subpartida_pais4!E7</f>
        <v>13.331554190000002</v>
      </c>
      <c r="E19" s="21">
        <f t="shared" si="0"/>
        <v>-39.261919449161056</v>
      </c>
      <c r="F19" s="21">
        <f t="shared" si="1"/>
        <v>3.7158220409623812</v>
      </c>
      <c r="G19" s="21">
        <f>+[7]Subpartida_pais4!D7</f>
        <v>4.3809288999999998</v>
      </c>
      <c r="H19" s="24">
        <f>+[7]Subpartida_pais4!F7</f>
        <v>5.0598115599999982</v>
      </c>
      <c r="I19" s="21">
        <f t="shared" si="2"/>
        <v>15.496317687328776</v>
      </c>
      <c r="J19" s="21">
        <f t="shared" si="3"/>
        <v>4.5273378216078841</v>
      </c>
      <c r="K19" s="16"/>
    </row>
    <row r="20" spans="1:11">
      <c r="A20" s="14"/>
      <c r="B20" s="9" t="str">
        <f>+[7]Subpartida_pais4!B8</f>
        <v>Máquinas autopropulsadas</v>
      </c>
      <c r="C20" s="21">
        <f>+[7]Subpartida_pais4!C8</f>
        <v>1.3973316799999997</v>
      </c>
      <c r="D20" s="24">
        <f>+[7]Subpartida_pais4!E8</f>
        <v>11.599090090000001</v>
      </c>
      <c r="E20" s="21">
        <f t="shared" si="0"/>
        <v>730.08853631658894</v>
      </c>
      <c r="F20" s="21">
        <f t="shared" si="1"/>
        <v>3.2329429860368233</v>
      </c>
      <c r="G20" s="21">
        <f>+[7]Subpartida_pais4!D8</f>
        <v>0</v>
      </c>
      <c r="H20" s="24">
        <f>+[7]Subpartida_pais4!F8</f>
        <v>11.599090090000001</v>
      </c>
      <c r="I20" s="21" t="str">
        <f t="shared" si="2"/>
        <v/>
      </c>
      <c r="J20" s="21">
        <f t="shared" si="3"/>
        <v>10.378449599947992</v>
      </c>
      <c r="K20" s="16"/>
    </row>
    <row r="21" spans="1:11">
      <c r="A21" s="14"/>
      <c r="B21" s="9" t="str">
        <f>+[7]Subpartida_pais4!B9</f>
        <v>Plasma humano</v>
      </c>
      <c r="C21" s="21">
        <f>+[7]Subpartida_pais4!C9</f>
        <v>3.1702667600000001</v>
      </c>
      <c r="D21" s="24">
        <f>+[7]Subpartida_pais4!E9</f>
        <v>7.0328708899999999</v>
      </c>
      <c r="E21" s="21">
        <f t="shared" si="0"/>
        <v>121.83845784636746</v>
      </c>
      <c r="F21" s="21">
        <f t="shared" si="1"/>
        <v>1.9602288144248778</v>
      </c>
      <c r="G21" s="21">
        <f>+[7]Subpartida_pais4!D9</f>
        <v>0.82568319999999995</v>
      </c>
      <c r="H21" s="24">
        <f>+[7]Subpartida_pais4!F9</f>
        <v>3.5674193299999999</v>
      </c>
      <c r="I21" s="21">
        <f t="shared" si="2"/>
        <v>332.05666895002832</v>
      </c>
      <c r="J21" s="21">
        <f t="shared" si="3"/>
        <v>3.1919988060274842</v>
      </c>
      <c r="K21" s="16"/>
    </row>
    <row r="22" spans="1:11">
      <c r="A22" s="14"/>
      <c r="B22" s="9" t="str">
        <f>+[7]Subpartida_pais4!B10</f>
        <v>Aparatos de medicina</v>
      </c>
      <c r="C22" s="21">
        <f>+[7]Subpartida_pais4!C10</f>
        <v>4.3691126299999974</v>
      </c>
      <c r="D22" s="24">
        <f>+[7]Subpartida_pais4!E10</f>
        <v>5.9224493700000007</v>
      </c>
      <c r="E22" s="21">
        <f t="shared" si="0"/>
        <v>35.552682467698361</v>
      </c>
      <c r="F22" s="21">
        <f t="shared" si="1"/>
        <v>1.6507278590246472</v>
      </c>
      <c r="G22" s="21">
        <f>+[7]Subpartida_pais4!D10</f>
        <v>1.1966460199999998</v>
      </c>
      <c r="H22" s="24">
        <f>+[7]Subpartida_pais4!F10</f>
        <v>1.4672773100000003</v>
      </c>
      <c r="I22" s="21">
        <f t="shared" si="2"/>
        <v>22.615818335316963</v>
      </c>
      <c r="J22" s="21">
        <f t="shared" si="3"/>
        <v>1.3128670863683471</v>
      </c>
      <c r="K22" s="16"/>
    </row>
    <row r="23" spans="1:11">
      <c r="A23" s="14"/>
      <c r="B23" s="9" t="str">
        <f>+[7]Subpartida_pais4!B11</f>
        <v>Productos laminados de hierro</v>
      </c>
      <c r="C23" s="21">
        <f>+[7]Subpartida_pais4!C11</f>
        <v>0.74230602999999995</v>
      </c>
      <c r="D23" s="24">
        <f>+[7]Subpartida_pais4!E11</f>
        <v>5.7432871399999996</v>
      </c>
      <c r="E23" s="21">
        <f t="shared" si="0"/>
        <v>673.70880848159084</v>
      </c>
      <c r="F23" s="21">
        <f t="shared" si="1"/>
        <v>1.6007910734365618</v>
      </c>
      <c r="G23" s="21">
        <f>+[7]Subpartida_pais4!D11</f>
        <v>0.57231842999999993</v>
      </c>
      <c r="H23" s="24">
        <f>+[7]Subpartida_pais4!F11</f>
        <v>1.94550717</v>
      </c>
      <c r="I23" s="21">
        <f t="shared" si="2"/>
        <v>239.93439106967082</v>
      </c>
      <c r="J23" s="21">
        <f t="shared" si="3"/>
        <v>1.7407700046739139</v>
      </c>
      <c r="K23" s="16"/>
    </row>
    <row r="24" spans="1:11">
      <c r="A24" s="14"/>
      <c r="B24" s="9" t="str">
        <f>+[7]Subpartida_pais4!B12</f>
        <v>Medicamentos para VIH</v>
      </c>
      <c r="C24" s="21">
        <f>+[7]Subpartida_pais4!C12</f>
        <v>5.1075474400000012</v>
      </c>
      <c r="D24" s="24">
        <f>+[7]Subpartida_pais4!E12</f>
        <v>5.2764459700000002</v>
      </c>
      <c r="E24" s="21">
        <f t="shared" si="0"/>
        <v>3.3068421191208452</v>
      </c>
      <c r="F24" s="21">
        <f t="shared" si="1"/>
        <v>1.4706713076244211</v>
      </c>
      <c r="G24" s="21">
        <f>+[7]Subpartida_pais4!D12</f>
        <v>1.7381090600000002</v>
      </c>
      <c r="H24" s="24">
        <f>+[7]Subpartida_pais4!F12</f>
        <v>1.29304643</v>
      </c>
      <c r="I24" s="21">
        <f t="shared" si="2"/>
        <v>-25.606139467450916</v>
      </c>
      <c r="J24" s="21">
        <f t="shared" si="3"/>
        <v>1.1569715469075796</v>
      </c>
      <c r="K24" s="16"/>
    </row>
    <row r="25" spans="1:11">
      <c r="A25" s="14"/>
      <c r="B25" s="9" t="str">
        <f>+[7]Subpartida_pais4!B13</f>
        <v>Helicopteros &lt; 2000 kg</v>
      </c>
      <c r="C25" s="21">
        <f>+[7]Subpartida_pais4!C13</f>
        <v>0</v>
      </c>
      <c r="D25" s="24">
        <f>+[7]Subpartida_pais4!E13</f>
        <v>5.1271216399999995</v>
      </c>
      <c r="E25" s="21" t="str">
        <f t="shared" si="0"/>
        <v/>
      </c>
      <c r="F25" s="21">
        <f t="shared" si="1"/>
        <v>1.4290510562450172</v>
      </c>
      <c r="G25" s="21">
        <f>+[7]Subpartida_pais4!D13</f>
        <v>0</v>
      </c>
      <c r="H25" s="24">
        <f>+[7]Subpartida_pais4!F13</f>
        <v>0</v>
      </c>
      <c r="I25" s="21" t="str">
        <f t="shared" si="2"/>
        <v/>
      </c>
      <c r="J25" s="21">
        <f t="shared" si="3"/>
        <v>0</v>
      </c>
      <c r="K25" s="16"/>
    </row>
    <row r="26" spans="1:11">
      <c r="A26" s="14"/>
      <c r="B26" s="9" t="str">
        <f>+[7]Subpartida_pais4!B14</f>
        <v>Medicamentos sin antibióticos</v>
      </c>
      <c r="C26" s="21">
        <f>+[7]Subpartida_pais4!C14</f>
        <v>6.0743942300000002</v>
      </c>
      <c r="D26" s="24">
        <f>+[7]Subpartida_pais4!E14</f>
        <v>4.6258094299999994</v>
      </c>
      <c r="E26" s="21">
        <f t="shared" si="0"/>
        <v>-23.847395232363787</v>
      </c>
      <c r="F26" s="21">
        <f t="shared" si="1"/>
        <v>1.2893233896299097</v>
      </c>
      <c r="G26" s="21">
        <f>+[7]Subpartida_pais4!D14</f>
        <v>1.4305285599999999</v>
      </c>
      <c r="H26" s="24">
        <f>+[7]Subpartida_pais4!F14</f>
        <v>0.78251511000000007</v>
      </c>
      <c r="I26" s="21">
        <f t="shared" si="2"/>
        <v>-45.298882393511938</v>
      </c>
      <c r="J26" s="21">
        <f t="shared" si="3"/>
        <v>0.70016644127408101</v>
      </c>
      <c r="K26" s="16"/>
    </row>
    <row r="27" spans="1:11">
      <c r="A27" s="14"/>
      <c r="B27" s="9" t="str">
        <f>+[7]Subpartida_pais4!B15</f>
        <v>Fracciones de la sangre</v>
      </c>
      <c r="C27" s="21">
        <f>+[7]Subpartida_pais4!C15</f>
        <v>2.8730810799999991</v>
      </c>
      <c r="D27" s="24">
        <f>+[7]Subpartida_pais4!E15</f>
        <v>3.8557400700000009</v>
      </c>
      <c r="E27" s="21">
        <f t="shared" si="0"/>
        <v>34.202271451385634</v>
      </c>
      <c r="F27" s="21">
        <f t="shared" si="1"/>
        <v>1.0746866968499968</v>
      </c>
      <c r="G27" s="21">
        <f>+[7]Subpartida_pais4!D15</f>
        <v>0.90715007000000003</v>
      </c>
      <c r="H27" s="24">
        <f>+[7]Subpartida_pais4!F15</f>
        <v>0.88309002999999975</v>
      </c>
      <c r="I27" s="21">
        <f t="shared" si="2"/>
        <v>-2.6522667853622339</v>
      </c>
      <c r="J27" s="21">
        <f t="shared" si="3"/>
        <v>0.79015727073911868</v>
      </c>
      <c r="K27" s="16"/>
    </row>
    <row r="28" spans="1:11">
      <c r="A28" s="14"/>
      <c r="B28" s="9" t="str">
        <f>+[7]Subpartida_pais4!B16</f>
        <v>Carretillas autopropulsadas</v>
      </c>
      <c r="C28" s="21">
        <f>+[7]Subpartida_pais4!C16</f>
        <v>0.91706740999999981</v>
      </c>
      <c r="D28" s="24">
        <f>+[7]Subpartida_pais4!E16</f>
        <v>3.8222918900000002</v>
      </c>
      <c r="E28" s="21">
        <f t="shared" si="0"/>
        <v>316.79508488912506</v>
      </c>
      <c r="F28" s="21">
        <f t="shared" si="1"/>
        <v>1.0653638915189194</v>
      </c>
      <c r="G28" s="21">
        <f>+[7]Subpartida_pais4!D16</f>
        <v>0.33599552999999999</v>
      </c>
      <c r="H28" s="24">
        <f>+[7]Subpartida_pais4!F16</f>
        <v>2.0600664699999998</v>
      </c>
      <c r="I28" s="21">
        <f t="shared" si="2"/>
        <v>513.1231775613204</v>
      </c>
      <c r="J28" s="21">
        <f t="shared" si="3"/>
        <v>1.8432735555585091</v>
      </c>
      <c r="K28" s="16"/>
    </row>
    <row r="29" spans="1:11">
      <c r="A29" s="14"/>
      <c r="B29" s="9" t="str">
        <f>+[7]Subpartida_pais4!B17</f>
        <v>Máquinas para aglomerar</v>
      </c>
      <c r="C29" s="21">
        <f>+[7]Subpartida_pais4!C17</f>
        <v>0.28355134000000004</v>
      </c>
      <c r="D29" s="24">
        <f>+[7]Subpartida_pais4!E17</f>
        <v>3.71476571</v>
      </c>
      <c r="E29" s="21">
        <f t="shared" si="0"/>
        <v>1210.0857537827187</v>
      </c>
      <c r="F29" s="21">
        <f t="shared" si="1"/>
        <v>1.0353937812129363</v>
      </c>
      <c r="G29" s="21">
        <f>+[7]Subpartida_pais4!D17</f>
        <v>0</v>
      </c>
      <c r="H29" s="24">
        <f>+[7]Subpartida_pais4!F17</f>
        <v>0</v>
      </c>
      <c r="I29" s="21" t="str">
        <f t="shared" si="2"/>
        <v/>
      </c>
      <c r="J29" s="21">
        <f t="shared" si="3"/>
        <v>0</v>
      </c>
      <c r="K29" s="16"/>
    </row>
    <row r="30" spans="1:11">
      <c r="A30" s="14"/>
      <c r="B30" s="9" t="str">
        <f>+[7]Subpartida_pais4!B18</f>
        <v>Vehículos &gt; 3.000 cm3</v>
      </c>
      <c r="C30" s="21">
        <f>+[7]Subpartida_pais4!C18</f>
        <v>2.3633011399999999</v>
      </c>
      <c r="D30" s="24">
        <f>+[7]Subpartida_pais4!E18</f>
        <v>3.3092683099999998</v>
      </c>
      <c r="E30" s="21">
        <f t="shared" si="0"/>
        <v>40.027364857954574</v>
      </c>
      <c r="F30" s="21">
        <f t="shared" si="1"/>
        <v>0.92237198682956612</v>
      </c>
      <c r="G30" s="21">
        <f>+[7]Subpartida_pais4!D18</f>
        <v>0.45774777</v>
      </c>
      <c r="H30" s="24">
        <f>+[7]Subpartida_pais4!F18</f>
        <v>1.1717264599999999</v>
      </c>
      <c r="I30" s="21">
        <f t="shared" si="2"/>
        <v>155.97644309659876</v>
      </c>
      <c r="J30" s="21">
        <f t="shared" si="3"/>
        <v>1.0484187911015246</v>
      </c>
      <c r="K30" s="16"/>
    </row>
    <row r="31" spans="1:11">
      <c r="A31" s="14"/>
      <c r="B31" s="9" t="str">
        <f>+[7]Subpartida_pais4!B19</f>
        <v>Escopolamina</v>
      </c>
      <c r="C31" s="21">
        <f>+[7]Subpartida_pais4!C19</f>
        <v>2.18039483</v>
      </c>
      <c r="D31" s="24">
        <f>+[7]Subpartida_pais4!E19</f>
        <v>3.0504853400000003</v>
      </c>
      <c r="E31" s="21">
        <f t="shared" si="0"/>
        <v>39.905181301498516</v>
      </c>
      <c r="F31" s="21">
        <f t="shared" si="1"/>
        <v>0.85024300246306261</v>
      </c>
      <c r="G31" s="21">
        <f>+[7]Subpartida_pais4!D19</f>
        <v>0.35990336000000001</v>
      </c>
      <c r="H31" s="24">
        <f>+[7]Subpartida_pais4!F19</f>
        <v>1.11902357</v>
      </c>
      <c r="I31" s="21">
        <f t="shared" si="2"/>
        <v>210.92334620049112</v>
      </c>
      <c r="J31" s="21">
        <f t="shared" si="3"/>
        <v>1.0012621362783873</v>
      </c>
      <c r="K31" s="16"/>
    </row>
    <row r="32" spans="1:11">
      <c r="A32" s="14"/>
      <c r="B32" s="9" t="str">
        <f>+[7]Subpartida_pais4!B20</f>
        <v>Medicamentos para VIH</v>
      </c>
      <c r="C32" s="21">
        <f>+[7]Subpartida_pais4!C20</f>
        <v>3.5606603000000003</v>
      </c>
      <c r="D32" s="24">
        <f>+[7]Subpartida_pais4!E20</f>
        <v>2.9748530599999996</v>
      </c>
      <c r="E32" s="21">
        <f t="shared" si="0"/>
        <v>-16.452208035683736</v>
      </c>
      <c r="F32" s="21">
        <f t="shared" si="1"/>
        <v>0.82916248259066494</v>
      </c>
      <c r="G32" s="21">
        <f>+[7]Subpartida_pais4!D20</f>
        <v>1.5502663200000002</v>
      </c>
      <c r="H32" s="24">
        <f>+[7]Subpartida_pais4!F20</f>
        <v>0.33725190999999999</v>
      </c>
      <c r="I32" s="21">
        <f t="shared" si="2"/>
        <v>-78.245550093612309</v>
      </c>
      <c r="J32" s="21">
        <f t="shared" si="3"/>
        <v>0.30176090738693417</v>
      </c>
      <c r="K32" s="16"/>
    </row>
    <row r="33" spans="1:11">
      <c r="A33" s="14"/>
      <c r="B33" s="9" t="str">
        <f>+[7]Subpartida_pais4!B21</f>
        <v>Sueros con anticuerpos</v>
      </c>
      <c r="C33" s="21">
        <f>+[7]Subpartida_pais4!C21</f>
        <v>3.9958025700000004</v>
      </c>
      <c r="D33" s="24">
        <f>+[7]Subpartida_pais4!E21</f>
        <v>2.6898414100000001</v>
      </c>
      <c r="E33" s="21">
        <f t="shared" si="0"/>
        <v>-32.683325492730745</v>
      </c>
      <c r="F33" s="21">
        <f t="shared" si="1"/>
        <v>0.74972293969059944</v>
      </c>
      <c r="G33" s="21">
        <f>+[7]Subpartida_pais4!D21</f>
        <v>1.1368414099999999</v>
      </c>
      <c r="H33" s="24">
        <f>+[7]Subpartida_pais4!F21</f>
        <v>1.44064327</v>
      </c>
      <c r="I33" s="21">
        <f t="shared" si="2"/>
        <v>26.723328102553911</v>
      </c>
      <c r="J33" s="21">
        <f t="shared" si="3"/>
        <v>1.2890359030911938</v>
      </c>
      <c r="K33" s="16"/>
    </row>
    <row r="34" spans="1:11">
      <c r="A34" s="14"/>
      <c r="B34" s="9" t="str">
        <f>+[7]Subpartida_pais4!B22</f>
        <v>Chasís de vehículos</v>
      </c>
      <c r="C34" s="21">
        <f>+[7]Subpartida_pais4!C22</f>
        <v>1.7235569799999997</v>
      </c>
      <c r="D34" s="24">
        <f>+[7]Subpartida_pais4!E22</f>
        <v>2.6698335000000002</v>
      </c>
      <c r="E34" s="21">
        <f t="shared" si="0"/>
        <v>54.902537657907935</v>
      </c>
      <c r="F34" s="21">
        <f t="shared" si="1"/>
        <v>0.744146258089038</v>
      </c>
      <c r="G34" s="21">
        <f>+[7]Subpartida_pais4!D22</f>
        <v>0.49653371999999996</v>
      </c>
      <c r="H34" s="24">
        <f>+[7]Subpartida_pais4!F22</f>
        <v>1.07788258</v>
      </c>
      <c r="I34" s="21">
        <f t="shared" si="2"/>
        <v>117.08144615032393</v>
      </c>
      <c r="J34" s="21">
        <f t="shared" si="3"/>
        <v>0.96445065469716595</v>
      </c>
      <c r="K34" s="16"/>
    </row>
    <row r="35" spans="1:11">
      <c r="A35" s="14"/>
      <c r="B35" s="9" t="str">
        <f>+[7]Subpartida_pais4!B23</f>
        <v>Bombas centrifugas</v>
      </c>
      <c r="C35" s="21">
        <f>+[7]Subpartida_pais4!C23</f>
        <v>2.422825E-2</v>
      </c>
      <c r="D35" s="24">
        <f>+[7]Subpartida_pais4!E23</f>
        <v>2.6684257200000001</v>
      </c>
      <c r="E35" s="21">
        <f t="shared" si="0"/>
        <v>10913.695665184237</v>
      </c>
      <c r="F35" s="21">
        <f t="shared" si="1"/>
        <v>0.74375387623480904</v>
      </c>
      <c r="G35" s="21">
        <f>+[7]Subpartida_pais4!D23</f>
        <v>1.111844E-2</v>
      </c>
      <c r="H35" s="24">
        <f>+[7]Subpartida_pais4!F23</f>
        <v>0</v>
      </c>
      <c r="I35" s="21" t="str">
        <f t="shared" si="2"/>
        <v/>
      </c>
      <c r="J35" s="21">
        <f t="shared" si="3"/>
        <v>0</v>
      </c>
      <c r="K35" s="16"/>
    </row>
    <row r="36" spans="1:11">
      <c r="A36" s="14"/>
      <c r="B36" s="9" t="str">
        <f>+[7]Subpartida_pais4!B24</f>
        <v>Camperos 1500 y 3000 cm3</v>
      </c>
      <c r="C36" s="21">
        <f>+[7]Subpartida_pais4!C24</f>
        <v>9.2298680799999921</v>
      </c>
      <c r="D36" s="24">
        <f>+[7]Subpartida_pais4!E24</f>
        <v>2.5127613499999994</v>
      </c>
      <c r="E36" s="21">
        <f t="shared" si="0"/>
        <v>-72.775760951070907</v>
      </c>
      <c r="F36" s="21">
        <f t="shared" si="1"/>
        <v>0.70036650453043581</v>
      </c>
      <c r="G36" s="21">
        <f>+[7]Subpartida_pais4!D24</f>
        <v>5.0711616499999979</v>
      </c>
      <c r="H36" s="24">
        <f>+[7]Subpartida_pais4!F24</f>
        <v>0.43626021999999998</v>
      </c>
      <c r="I36" s="21">
        <f t="shared" si="2"/>
        <v>-91.397233018592487</v>
      </c>
      <c r="J36" s="21">
        <f t="shared" si="3"/>
        <v>0.39034999043896745</v>
      </c>
      <c r="K36" s="16"/>
    </row>
    <row r="37" spans="1:11">
      <c r="A37" s="14"/>
      <c r="B37" s="9" t="str">
        <f>+[7]Subpartida_pais4!B25</f>
        <v>Filtros de aparatos médicos</v>
      </c>
      <c r="C37" s="21">
        <f>+[7]Subpartida_pais4!C25</f>
        <v>2.1207921500000007</v>
      </c>
      <c r="D37" s="24">
        <f>+[7]Subpartida_pais4!E25</f>
        <v>2.4896287700000008</v>
      </c>
      <c r="E37" s="21">
        <f t="shared" si="0"/>
        <v>17.391455357848251</v>
      </c>
      <c r="F37" s="21">
        <f t="shared" si="1"/>
        <v>0.69391890289275149</v>
      </c>
      <c r="G37" s="21">
        <f>+[7]Subpartida_pais4!D25</f>
        <v>0.15939622000000001</v>
      </c>
      <c r="H37" s="24">
        <f>+[7]Subpartida_pais4!F25</f>
        <v>3.6387300000000004E-2</v>
      </c>
      <c r="I37" s="21">
        <f t="shared" si="2"/>
        <v>-77.171792405114743</v>
      </c>
      <c r="J37" s="21">
        <f t="shared" si="3"/>
        <v>3.2558050346877476E-2</v>
      </c>
      <c r="K37" s="16"/>
    </row>
    <row r="38" spans="1:11">
      <c r="A38" s="14"/>
      <c r="B38" s="9" t="str">
        <f>+[7]Subpartida_pais4!B26</f>
        <v>Aparatos telecomunicación</v>
      </c>
      <c r="C38" s="21">
        <f>+[7]Subpartida_pais4!C26</f>
        <v>1.0262741199999994</v>
      </c>
      <c r="D38" s="24">
        <f>+[7]Subpartida_pais4!E26</f>
        <v>2.4552159899999979</v>
      </c>
      <c r="E38" s="21">
        <f t="shared" si="0"/>
        <v>139.23588660698169</v>
      </c>
      <c r="F38" s="21">
        <f t="shared" si="1"/>
        <v>0.68432724054098182</v>
      </c>
      <c r="G38" s="21">
        <f>+[7]Subpartida_pais4!D26</f>
        <v>0.3410665699999999</v>
      </c>
      <c r="H38" s="24">
        <f>+[7]Subpartida_pais4!F26</f>
        <v>1.2132903100000001</v>
      </c>
      <c r="I38" s="21">
        <f t="shared" si="2"/>
        <v>255.73416356812703</v>
      </c>
      <c r="J38" s="21">
        <f t="shared" si="3"/>
        <v>1.0856086326371721</v>
      </c>
      <c r="K38" s="16"/>
    </row>
    <row r="39" spans="1:11">
      <c r="A39" s="14"/>
      <c r="B39" s="9" t="str">
        <f>+[7]Subpartida_pais4!B27</f>
        <v>Máquinas de llenado vertical</v>
      </c>
      <c r="C39" s="21">
        <f>+[7]Subpartida_pais4!C27</f>
        <v>0</v>
      </c>
      <c r="D39" s="24">
        <f>+[7]Subpartida_pais4!E27</f>
        <v>2.4158681200000003</v>
      </c>
      <c r="E39" s="21" t="str">
        <f t="shared" si="0"/>
        <v/>
      </c>
      <c r="F39" s="21">
        <f t="shared" si="1"/>
        <v>0.67336005092999218</v>
      </c>
      <c r="G39" s="21">
        <f>+[7]Subpartida_pais4!D27</f>
        <v>0</v>
      </c>
      <c r="H39" s="24">
        <f>+[7]Subpartida_pais4!F27</f>
        <v>0</v>
      </c>
      <c r="I39" s="21" t="str">
        <f t="shared" si="2"/>
        <v/>
      </c>
      <c r="J39" s="21">
        <f t="shared" si="3"/>
        <v>0</v>
      </c>
      <c r="K39" s="16"/>
    </row>
    <row r="40" spans="1:11">
      <c r="A40" s="14"/>
      <c r="B40" s="9" t="str">
        <f>+[7]Subpartida_pais4!B28</f>
        <v>Láminas polímeros =&gt; 6%</v>
      </c>
      <c r="C40" s="21">
        <f>+[7]Subpartida_pais4!C28</f>
        <v>2.9136565400000007</v>
      </c>
      <c r="D40" s="24">
        <f>+[7]Subpartida_pais4!E28</f>
        <v>2.3530498499999997</v>
      </c>
      <c r="E40" s="21">
        <f t="shared" si="0"/>
        <v>-19.240657994644796</v>
      </c>
      <c r="F40" s="21">
        <f t="shared" si="1"/>
        <v>0.65585110119206758</v>
      </c>
      <c r="G40" s="21">
        <f>+[7]Subpartida_pais4!D28</f>
        <v>0.89438835000000005</v>
      </c>
      <c r="H40" s="24">
        <f>+[7]Subpartida_pais4!F28</f>
        <v>0.98506807000000018</v>
      </c>
      <c r="I40" s="21">
        <f t="shared" si="2"/>
        <v>10.138741185526424</v>
      </c>
      <c r="J40" s="21">
        <f t="shared" si="3"/>
        <v>0.88140356163170752</v>
      </c>
      <c r="K40" s="16"/>
    </row>
    <row r="41" spans="1:11">
      <c r="A41" s="14"/>
      <c r="B41" s="9" t="str">
        <f>+[7]Subpartida_pais4!B29</f>
        <v>Medicamentos con antibióticos</v>
      </c>
      <c r="C41" s="21">
        <f>+[7]Subpartida_pais4!C29</f>
        <v>2.6364124900000001</v>
      </c>
      <c r="D41" s="24">
        <f>+[7]Subpartida_pais4!E29</f>
        <v>2.32851381</v>
      </c>
      <c r="E41" s="21">
        <f t="shared" si="0"/>
        <v>-11.678699033928485</v>
      </c>
      <c r="F41" s="21">
        <f t="shared" si="1"/>
        <v>0.64901232178716362</v>
      </c>
      <c r="G41" s="21">
        <f>+[7]Subpartida_pais4!D29</f>
        <v>0.50672234000000005</v>
      </c>
      <c r="H41" s="24">
        <f>+[7]Subpartida_pais4!F29</f>
        <v>0.73556097999999992</v>
      </c>
      <c r="I41" s="21">
        <f t="shared" si="2"/>
        <v>45.16055873913114</v>
      </c>
      <c r="J41" s="21">
        <f t="shared" si="3"/>
        <v>0.65815357061498192</v>
      </c>
      <c r="K41" s="16"/>
    </row>
    <row r="42" spans="1:11">
      <c r="A42" s="14"/>
      <c r="B42" s="9" t="str">
        <f>+[7]Subpartida_pais4!B30</f>
        <v>Papeles para billetes</v>
      </c>
      <c r="C42" s="21">
        <f>+[7]Subpartida_pais4!C30</f>
        <v>1.52491E-3</v>
      </c>
      <c r="D42" s="24">
        <f>+[7]Subpartida_pais4!E30</f>
        <v>2.2982605199999999</v>
      </c>
      <c r="E42" s="21">
        <f t="shared" si="0"/>
        <v>150614.50249522922</v>
      </c>
      <c r="F42" s="21">
        <f t="shared" si="1"/>
        <v>0.64058000848059116</v>
      </c>
      <c r="G42" s="21">
        <f>+[7]Subpartida_pais4!D30</f>
        <v>0</v>
      </c>
      <c r="H42" s="24">
        <f>+[7]Subpartida_pais4!F30</f>
        <v>1.0976735799999999</v>
      </c>
      <c r="I42" s="21" t="str">
        <f t="shared" si="2"/>
        <v/>
      </c>
      <c r="J42" s="21">
        <f t="shared" si="3"/>
        <v>0.98215893133255938</v>
      </c>
      <c r="K42" s="16"/>
    </row>
    <row r="43" spans="1:11">
      <c r="A43" s="14"/>
      <c r="B43" s="9" t="str">
        <f>+[7]Subpartida_pais4!B31</f>
        <v>Aparatos para obras públicas</v>
      </c>
      <c r="C43" s="21">
        <f>+[7]Subpartida_pais4!C31</f>
        <v>0</v>
      </c>
      <c r="D43" s="24">
        <f>+[7]Subpartida_pais4!E31</f>
        <v>2.2721967099999998</v>
      </c>
      <c r="E43" s="21" t="str">
        <f t="shared" si="0"/>
        <v/>
      </c>
      <c r="F43" s="21">
        <f t="shared" si="1"/>
        <v>0.63331540314732093</v>
      </c>
      <c r="G43" s="21">
        <f>+[7]Subpartida_pais4!D31</f>
        <v>0</v>
      </c>
      <c r="H43" s="24">
        <f>+[7]Subpartida_pais4!F31</f>
        <v>0.84752348999999993</v>
      </c>
      <c r="I43" s="21" t="str">
        <f t="shared" si="2"/>
        <v/>
      </c>
      <c r="J43" s="21">
        <f t="shared" si="3"/>
        <v>0.75833360698873797</v>
      </c>
      <c r="K43" s="16"/>
    </row>
    <row r="44" spans="1:11">
      <c r="A44" s="14"/>
      <c r="B44" s="9" t="s">
        <v>2</v>
      </c>
      <c r="C44" s="21">
        <f>+C13-SUM(C14:C43)</f>
        <v>235.06298792999962</v>
      </c>
      <c r="D44" s="24">
        <f>+D13-SUM(D14:D43)</f>
        <v>127.66507379999925</v>
      </c>
      <c r="E44" s="21">
        <f t="shared" si="0"/>
        <v>-45.688993863203528</v>
      </c>
      <c r="F44" s="21">
        <f t="shared" si="1"/>
        <v>35.58330021588624</v>
      </c>
      <c r="G44" s="21">
        <f>+G13-SUM(G14:G43)</f>
        <v>47.666072510000063</v>
      </c>
      <c r="H44" s="24">
        <f>+H13-SUM(H14:H43)</f>
        <v>48.938887539999769</v>
      </c>
      <c r="I44" s="21">
        <f t="shared" si="2"/>
        <v>2.6702746061838312</v>
      </c>
      <c r="J44" s="21">
        <f t="shared" si="3"/>
        <v>43.788760486419356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123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f>+Principales_paises!C17</f>
        <v>355.0817337000006</v>
      </c>
      <c r="D13" s="24">
        <f>+Principales_paises!D17</f>
        <v>432.07173298999908</v>
      </c>
      <c r="E13" s="24">
        <f>IF(OR(OR(D13=0,C13=0),D13=""),"",(D13/C13-1)*100)</f>
        <v>21.682331695227486</v>
      </c>
      <c r="F13" s="22">
        <f>(D13/D$13)*100</f>
        <v>100</v>
      </c>
      <c r="G13" s="24">
        <f>+Principales_paises!G17</f>
        <v>91.098781469999963</v>
      </c>
      <c r="H13" s="24">
        <f>+Principales_paises!H17</f>
        <v>120.9394420299994</v>
      </c>
      <c r="I13" s="24">
        <f>IF(OR(OR(H13=0,G13=0),H13=""),"",(H13/G13-1)*100)</f>
        <v>32.756377284614246</v>
      </c>
      <c r="J13" s="22">
        <f>(H13/H$13)*100</f>
        <v>100</v>
      </c>
      <c r="K13" s="16"/>
    </row>
    <row r="14" spans="1:14">
      <c r="A14" s="14"/>
      <c r="B14" s="9" t="str">
        <f>+[7]Subpartida_pais5!B2</f>
        <v>Vehículos 1.500 y 3.000 cm3</v>
      </c>
      <c r="C14" s="21">
        <f>+[7]Subpartida_pais5!C2</f>
        <v>20.829815709999988</v>
      </c>
      <c r="D14" s="24">
        <f>+[7]Subpartida_pais5!E2</f>
        <v>30.766837950000038</v>
      </c>
      <c r="E14" s="21">
        <f t="shared" ref="E14:E44" si="0">IF(OR(OR(D14=0,C14=0),D14=""),"",(D14/C14-1)*100)</f>
        <v>47.705761675219627</v>
      </c>
      <c r="F14" s="21">
        <f t="shared" ref="F14:F44" si="1">(D14/D$13)*100</f>
        <v>7.1207708352242935</v>
      </c>
      <c r="G14" s="21">
        <f>+[7]Subpartida_pais5!D2</f>
        <v>3.6895622399999999</v>
      </c>
      <c r="H14" s="24">
        <f>+[7]Subpartida_pais5!F2</f>
        <v>4.5159424000000019</v>
      </c>
      <c r="I14" s="21">
        <f t="shared" ref="I14:I44" si="2">IF(OR(OR(H14=0,G14=0),H14=""),"",(H14/G14-1)*100)</f>
        <v>22.397783429179995</v>
      </c>
      <c r="J14" s="21">
        <f>(H14/H$13)*100</f>
        <v>3.7340526169120314</v>
      </c>
      <c r="K14" s="16"/>
    </row>
    <row r="15" spans="1:14">
      <c r="A15" s="14"/>
      <c r="B15" s="9" t="str">
        <f>+[7]Subpartida_pais5!B3</f>
        <v>Locomotoras diesel-eléctricas</v>
      </c>
      <c r="C15" s="21">
        <f>+[7]Subpartida_pais5!C3</f>
        <v>0</v>
      </c>
      <c r="D15" s="24">
        <f>+[7]Subpartida_pais5!E3</f>
        <v>14.870652590000002</v>
      </c>
      <c r="E15" s="21" t="str">
        <f t="shared" si="0"/>
        <v/>
      </c>
      <c r="F15" s="21">
        <f t="shared" si="1"/>
        <v>3.4417092011766028</v>
      </c>
      <c r="G15" s="21">
        <f>+[7]Subpartida_pais5!D3</f>
        <v>0</v>
      </c>
      <c r="H15" s="24">
        <f>+[7]Subpartida_pais5!F3</f>
        <v>8.9181915500000013</v>
      </c>
      <c r="I15" s="21" t="str">
        <f t="shared" si="2"/>
        <v/>
      </c>
      <c r="J15" s="21">
        <f t="shared" ref="J15:J44" si="3">(H15/H$13)*100</f>
        <v>7.3740968209426798</v>
      </c>
      <c r="K15" s="16"/>
    </row>
    <row r="16" spans="1:14">
      <c r="A16" s="14"/>
      <c r="B16" s="9" t="str">
        <f>+[7]Subpartida_pais5!B4</f>
        <v>Preparaciones para bebidas</v>
      </c>
      <c r="C16" s="21">
        <f>+[7]Subpartida_pais5!C4</f>
        <v>13.834868029999999</v>
      </c>
      <c r="D16" s="24">
        <f>+[7]Subpartida_pais5!E4</f>
        <v>13.891590300000001</v>
      </c>
      <c r="E16" s="21">
        <f t="shared" si="0"/>
        <v>0.40999502038618907</v>
      </c>
      <c r="F16" s="21">
        <f t="shared" si="1"/>
        <v>3.2151120379637383</v>
      </c>
      <c r="G16" s="21">
        <f>+[7]Subpartida_pais5!D4</f>
        <v>3.1064956199999996</v>
      </c>
      <c r="H16" s="24">
        <f>+[7]Subpartida_pais5!F4</f>
        <v>4.0738945900000001</v>
      </c>
      <c r="I16" s="21">
        <f t="shared" si="2"/>
        <v>31.141166392502463</v>
      </c>
      <c r="J16" s="21">
        <f t="shared" si="3"/>
        <v>3.3685409173538754</v>
      </c>
      <c r="K16" s="16"/>
    </row>
    <row r="17" spans="1:11">
      <c r="A17" s="14"/>
      <c r="B17" s="9" t="str">
        <f>+[7]Subpartida_pais5!B5</f>
        <v>Medicamentos uso humano</v>
      </c>
      <c r="C17" s="21">
        <f>+[7]Subpartida_pais5!C5</f>
        <v>7.4924825299999984</v>
      </c>
      <c r="D17" s="24">
        <f>+[7]Subpartida_pais5!E5</f>
        <v>9.9150498500000008</v>
      </c>
      <c r="E17" s="21">
        <f t="shared" si="0"/>
        <v>32.333306221269268</v>
      </c>
      <c r="F17" s="21">
        <f t="shared" si="1"/>
        <v>2.294769385024662</v>
      </c>
      <c r="G17" s="21">
        <f>+[7]Subpartida_pais5!D5</f>
        <v>3.1030881300000002</v>
      </c>
      <c r="H17" s="24">
        <f>+[7]Subpartida_pais5!F5</f>
        <v>2.0475757700000004</v>
      </c>
      <c r="I17" s="21">
        <f t="shared" si="2"/>
        <v>-34.014901149455902</v>
      </c>
      <c r="J17" s="21">
        <f t="shared" si="3"/>
        <v>1.693058720654667</v>
      </c>
      <c r="K17" s="16"/>
    </row>
    <row r="18" spans="1:11">
      <c r="A18" s="14"/>
      <c r="B18" s="9" t="str">
        <f>+[7]Subpartida_pais5!B6</f>
        <v>Azúcares de caña</v>
      </c>
      <c r="C18" s="21">
        <f>+[7]Subpartida_pais5!C6</f>
        <v>17.163142249999996</v>
      </c>
      <c r="D18" s="24">
        <f>+[7]Subpartida_pais5!E6</f>
        <v>9.8141793800000006</v>
      </c>
      <c r="E18" s="21">
        <f t="shared" si="0"/>
        <v>-42.81828328958818</v>
      </c>
      <c r="F18" s="21">
        <f t="shared" si="1"/>
        <v>2.2714236157233558</v>
      </c>
      <c r="G18" s="21">
        <f>+[7]Subpartida_pais5!D6</f>
        <v>2.22660787</v>
      </c>
      <c r="H18" s="24">
        <f>+[7]Subpartida_pais5!F6</f>
        <v>2.4339817400000001</v>
      </c>
      <c r="I18" s="21">
        <f t="shared" si="2"/>
        <v>9.3134436823849143</v>
      </c>
      <c r="J18" s="21">
        <f t="shared" si="3"/>
        <v>2.0125624024263677</v>
      </c>
      <c r="K18" s="16"/>
    </row>
    <row r="19" spans="1:11">
      <c r="A19" s="14"/>
      <c r="B19" s="9" t="str">
        <f>+[7]Subpartida_pais5!B7</f>
        <v>Productos de hierro o acero</v>
      </c>
      <c r="C19" s="21">
        <f>+[7]Subpartida_pais5!C7</f>
        <v>0</v>
      </c>
      <c r="D19" s="24">
        <f>+[7]Subpartida_pais5!E7</f>
        <v>8.4290701400000003</v>
      </c>
      <c r="E19" s="21" t="str">
        <f t="shared" si="0"/>
        <v/>
      </c>
      <c r="F19" s="21">
        <f t="shared" si="1"/>
        <v>1.9508497076792346</v>
      </c>
      <c r="G19" s="21">
        <f>+[7]Subpartida_pais5!D7</f>
        <v>0</v>
      </c>
      <c r="H19" s="24">
        <f>+[7]Subpartida_pais5!F7</f>
        <v>0</v>
      </c>
      <c r="I19" s="21" t="str">
        <f t="shared" si="2"/>
        <v/>
      </c>
      <c r="J19" s="21">
        <f t="shared" si="3"/>
        <v>0</v>
      </c>
      <c r="K19" s="16"/>
    </row>
    <row r="20" spans="1:11">
      <c r="A20" s="14"/>
      <c r="B20" s="9" t="str">
        <f>+[7]Subpartida_pais5!B8</f>
        <v>Papeles y cartones</v>
      </c>
      <c r="C20" s="21">
        <f>+[7]Subpartida_pais5!C8</f>
        <v>6.8224196399999997</v>
      </c>
      <c r="D20" s="24">
        <f>+[7]Subpartida_pais5!E8</f>
        <v>7.8339403499999998</v>
      </c>
      <c r="E20" s="21">
        <f t="shared" si="0"/>
        <v>14.82642175906963</v>
      </c>
      <c r="F20" s="21">
        <f t="shared" si="1"/>
        <v>1.8131110535253014</v>
      </c>
      <c r="G20" s="21">
        <f>+[7]Subpartida_pais5!D8</f>
        <v>2.0236988100000004</v>
      </c>
      <c r="H20" s="24">
        <f>+[7]Subpartida_pais5!F8</f>
        <v>2.3121047400000001</v>
      </c>
      <c r="I20" s="21">
        <f t="shared" si="2"/>
        <v>14.25142558639938</v>
      </c>
      <c r="J20" s="21">
        <f t="shared" si="3"/>
        <v>1.9117871731427993</v>
      </c>
      <c r="K20" s="16"/>
    </row>
    <row r="21" spans="1:11">
      <c r="A21" s="14"/>
      <c r="B21" s="9" t="str">
        <f>+[7]Subpartida_pais5!B9</f>
        <v>Teléfonos móviles</v>
      </c>
      <c r="C21" s="21">
        <f>+[7]Subpartida_pais5!C9</f>
        <v>11.015954810000002</v>
      </c>
      <c r="D21" s="24">
        <f>+[7]Subpartida_pais5!E9</f>
        <v>7.196091179999998</v>
      </c>
      <c r="E21" s="21">
        <f t="shared" si="0"/>
        <v>-34.675738017120672</v>
      </c>
      <c r="F21" s="21">
        <f t="shared" si="1"/>
        <v>1.6654852957405943</v>
      </c>
      <c r="G21" s="21">
        <f>+[7]Subpartida_pais5!D9</f>
        <v>4.0878120399999993</v>
      </c>
      <c r="H21" s="24">
        <f>+[7]Subpartida_pais5!F9</f>
        <v>2.9857494499999997</v>
      </c>
      <c r="I21" s="21">
        <f t="shared" si="2"/>
        <v>-26.959717795635243</v>
      </c>
      <c r="J21" s="21">
        <f t="shared" si="3"/>
        <v>2.4687971102590134</v>
      </c>
      <c r="K21" s="16"/>
    </row>
    <row r="22" spans="1:11">
      <c r="A22" s="14"/>
      <c r="B22" s="9" t="str">
        <f>+[7]Subpartida_pais5!B10</f>
        <v>Vehículos &gt; 20 ton</v>
      </c>
      <c r="C22" s="21">
        <f>+[7]Subpartida_pais5!C10</f>
        <v>3.0934289299999995</v>
      </c>
      <c r="D22" s="24">
        <f>+[7]Subpartida_pais5!E10</f>
        <v>6.3275977399999999</v>
      </c>
      <c r="E22" s="21">
        <f t="shared" si="0"/>
        <v>104.54964000094229</v>
      </c>
      <c r="F22" s="21">
        <f t="shared" si="1"/>
        <v>1.4644785244829845</v>
      </c>
      <c r="G22" s="21">
        <f>+[7]Subpartida_pais5!D10</f>
        <v>1.20965027</v>
      </c>
      <c r="H22" s="24">
        <f>+[7]Subpartida_pais5!F10</f>
        <v>6.0339541099999998</v>
      </c>
      <c r="I22" s="21">
        <f t="shared" si="2"/>
        <v>398.81806830002188</v>
      </c>
      <c r="J22" s="21">
        <f t="shared" si="3"/>
        <v>4.9892359421529813</v>
      </c>
      <c r="K22" s="16"/>
    </row>
    <row r="23" spans="1:11">
      <c r="A23" s="14"/>
      <c r="B23" s="9" t="str">
        <f>+[7]Subpartida_pais5!B11</f>
        <v>Chasís de vehículos</v>
      </c>
      <c r="C23" s="21">
        <f>+[7]Subpartida_pais5!C11</f>
        <v>0.11893025</v>
      </c>
      <c r="D23" s="24">
        <f>+[7]Subpartida_pais5!E11</f>
        <v>6.0369304400000008</v>
      </c>
      <c r="E23" s="21">
        <f t="shared" si="0"/>
        <v>4976.0260236567237</v>
      </c>
      <c r="F23" s="21">
        <f t="shared" si="1"/>
        <v>1.3972055978352405</v>
      </c>
      <c r="G23" s="21">
        <f>+[7]Subpartida_pais5!D11</f>
        <v>0</v>
      </c>
      <c r="H23" s="24">
        <f>+[7]Subpartida_pais5!F11</f>
        <v>0</v>
      </c>
      <c r="I23" s="21" t="str">
        <f t="shared" si="2"/>
        <v/>
      </c>
      <c r="J23" s="21">
        <f t="shared" si="3"/>
        <v>0</v>
      </c>
      <c r="K23" s="16"/>
    </row>
    <row r="24" spans="1:11">
      <c r="A24" s="14"/>
      <c r="B24" s="9" t="str">
        <f>+[7]Subpartida_pais5!B12</f>
        <v>Llantas para buses</v>
      </c>
      <c r="C24" s="21">
        <f>+[7]Subpartida_pais5!C12</f>
        <v>7.8819731700000002</v>
      </c>
      <c r="D24" s="24">
        <f>+[7]Subpartida_pais5!E12</f>
        <v>5.5721497399999977</v>
      </c>
      <c r="E24" s="21">
        <f t="shared" si="0"/>
        <v>-29.305142001644271</v>
      </c>
      <c r="F24" s="21">
        <f t="shared" si="1"/>
        <v>1.2896353347255358</v>
      </c>
      <c r="G24" s="21">
        <f>+[7]Subpartida_pais5!D12</f>
        <v>1.56739845</v>
      </c>
      <c r="H24" s="24">
        <f>+[7]Subpartida_pais5!F12</f>
        <v>1.2333564899999998</v>
      </c>
      <c r="I24" s="21">
        <f t="shared" si="2"/>
        <v>-21.311872549063715</v>
      </c>
      <c r="J24" s="21">
        <f t="shared" si="3"/>
        <v>1.019813279520557</v>
      </c>
      <c r="K24" s="16"/>
    </row>
    <row r="25" spans="1:11">
      <c r="A25" s="14"/>
      <c r="B25" s="9" t="str">
        <f>+[7]Subpartida_pais5!B13</f>
        <v>Electrogenos corriente alterna</v>
      </c>
      <c r="C25" s="21">
        <f>+[7]Subpartida_pais5!C13</f>
        <v>0</v>
      </c>
      <c r="D25" s="24">
        <f>+[7]Subpartida_pais5!E13</f>
        <v>5.5705365000000002</v>
      </c>
      <c r="E25" s="21" t="str">
        <f t="shared" si="0"/>
        <v/>
      </c>
      <c r="F25" s="21">
        <f t="shared" si="1"/>
        <v>1.2892619615384415</v>
      </c>
      <c r="G25" s="21">
        <f>+[7]Subpartida_pais5!D13</f>
        <v>0</v>
      </c>
      <c r="H25" s="24">
        <f>+[7]Subpartida_pais5!F13</f>
        <v>5.5705365000000002</v>
      </c>
      <c r="I25" s="21" t="str">
        <f t="shared" si="2"/>
        <v/>
      </c>
      <c r="J25" s="21">
        <f t="shared" si="3"/>
        <v>4.6060544074762744</v>
      </c>
      <c r="K25" s="16"/>
    </row>
    <row r="26" spans="1:11">
      <c r="A26" s="14"/>
      <c r="B26" s="9" t="str">
        <f>+[7]Subpartida_pais5!B14</f>
        <v>Catodos de cobre refinado</v>
      </c>
      <c r="C26" s="21">
        <f>+[7]Subpartida_pais5!C14</f>
        <v>0</v>
      </c>
      <c r="D26" s="24">
        <f>+[7]Subpartida_pais5!E14</f>
        <v>4.8984917900000005</v>
      </c>
      <c r="E26" s="21" t="str">
        <f t="shared" si="0"/>
        <v/>
      </c>
      <c r="F26" s="21">
        <f t="shared" si="1"/>
        <v>1.1337218836561529</v>
      </c>
      <c r="G26" s="21">
        <f>+[7]Subpartida_pais5!D14</f>
        <v>0</v>
      </c>
      <c r="H26" s="24">
        <f>+[7]Subpartida_pais5!F14</f>
        <v>3.18864546</v>
      </c>
      <c r="I26" s="21" t="str">
        <f t="shared" si="2"/>
        <v/>
      </c>
      <c r="J26" s="21">
        <f t="shared" si="3"/>
        <v>2.6365637268353255</v>
      </c>
      <c r="K26" s="16"/>
    </row>
    <row r="27" spans="1:11">
      <c r="A27" s="14"/>
      <c r="B27" s="9" t="str">
        <f>+[7]Subpartida_pais5!B15</f>
        <v>Maíz duro amarillo</v>
      </c>
      <c r="C27" s="21">
        <f>+[7]Subpartida_pais5!C15</f>
        <v>8.5723714399999995</v>
      </c>
      <c r="D27" s="24">
        <f>+[7]Subpartida_pais5!E15</f>
        <v>4.8047881500000003</v>
      </c>
      <c r="E27" s="21">
        <f t="shared" si="0"/>
        <v>-43.950303791315882</v>
      </c>
      <c r="F27" s="21">
        <f t="shared" si="1"/>
        <v>1.1120348273538214</v>
      </c>
      <c r="G27" s="21">
        <f>+[7]Subpartida_pais5!D15</f>
        <v>0</v>
      </c>
      <c r="H27" s="24">
        <f>+[7]Subpartida_pais5!F15</f>
        <v>0</v>
      </c>
      <c r="I27" s="21" t="str">
        <f t="shared" si="2"/>
        <v/>
      </c>
      <c r="J27" s="21">
        <f t="shared" si="3"/>
        <v>0</v>
      </c>
      <c r="K27" s="16"/>
    </row>
    <row r="28" spans="1:11">
      <c r="A28" s="14"/>
      <c r="B28" s="9" t="str">
        <f>+[7]Subpartida_pais5!B16</f>
        <v>Alambre de cobre</v>
      </c>
      <c r="C28" s="21">
        <f>+[7]Subpartida_pais5!C16</f>
        <v>6.7816044799999995</v>
      </c>
      <c r="D28" s="24">
        <f>+[7]Subpartida_pais5!E16</f>
        <v>4.6560492800000004</v>
      </c>
      <c r="E28" s="21">
        <f t="shared" si="0"/>
        <v>-31.342954403616286</v>
      </c>
      <c r="F28" s="21">
        <f t="shared" si="1"/>
        <v>1.0776102495248796</v>
      </c>
      <c r="G28" s="21">
        <f>+[7]Subpartida_pais5!D16</f>
        <v>0.91544766</v>
      </c>
      <c r="H28" s="24">
        <f>+[7]Subpartida_pais5!F16</f>
        <v>0.62071513999999994</v>
      </c>
      <c r="I28" s="21">
        <f t="shared" si="2"/>
        <v>-32.195452878212613</v>
      </c>
      <c r="J28" s="21">
        <f t="shared" si="3"/>
        <v>0.51324458719267918</v>
      </c>
      <c r="K28" s="16"/>
    </row>
    <row r="29" spans="1:11">
      <c r="A29" s="14"/>
      <c r="B29" s="9" t="str">
        <f>+[7]Subpartida_pais5!B17</f>
        <v>Municiones y proyectiles</v>
      </c>
      <c r="C29" s="21">
        <f>+[7]Subpartida_pais5!C17</f>
        <v>1.0239911600000002</v>
      </c>
      <c r="D29" s="24">
        <f>+[7]Subpartida_pais5!E17</f>
        <v>4.5468761999999998</v>
      </c>
      <c r="E29" s="21">
        <f t="shared" si="0"/>
        <v>344.03471217466358</v>
      </c>
      <c r="F29" s="21">
        <f t="shared" si="1"/>
        <v>1.0523428988364865</v>
      </c>
      <c r="G29" s="21">
        <f>+[7]Subpartida_pais5!D17</f>
        <v>0.31449652</v>
      </c>
      <c r="H29" s="24">
        <f>+[7]Subpartida_pais5!F17</f>
        <v>1.7200016199999999</v>
      </c>
      <c r="I29" s="21">
        <f t="shared" si="2"/>
        <v>446.90640774021915</v>
      </c>
      <c r="J29" s="21">
        <f t="shared" si="3"/>
        <v>1.4222007238741421</v>
      </c>
      <c r="K29" s="16"/>
    </row>
    <row r="30" spans="1:11">
      <c r="A30" s="14"/>
      <c r="B30" s="9" t="str">
        <f>+[7]Subpartida_pais5!B18</f>
        <v>Tractores</v>
      </c>
      <c r="C30" s="21">
        <f>+[7]Subpartida_pais5!C18</f>
        <v>5.4091629700000015</v>
      </c>
      <c r="D30" s="24">
        <f>+[7]Subpartida_pais5!E18</f>
        <v>4.1735641700000006</v>
      </c>
      <c r="E30" s="21">
        <f t="shared" si="0"/>
        <v>-22.842698710554853</v>
      </c>
      <c r="F30" s="21">
        <f t="shared" si="1"/>
        <v>0.96594242375411388</v>
      </c>
      <c r="G30" s="21">
        <f>+[7]Subpartida_pais5!D18</f>
        <v>1.8013609900000001</v>
      </c>
      <c r="H30" s="24">
        <f>+[7]Subpartida_pais5!F18</f>
        <v>1.80678541</v>
      </c>
      <c r="I30" s="21">
        <f t="shared" si="2"/>
        <v>0.30112898137091282</v>
      </c>
      <c r="J30" s="21">
        <f t="shared" si="3"/>
        <v>1.4939587777755923</v>
      </c>
      <c r="K30" s="16"/>
    </row>
    <row r="31" spans="1:11">
      <c r="A31" s="14"/>
      <c r="B31" s="9" t="str">
        <f>+[7]Subpartida_pais5!B19</f>
        <v>Placas para artes gráficas</v>
      </c>
      <c r="C31" s="21">
        <f>+[7]Subpartida_pais5!C19</f>
        <v>0.63607837</v>
      </c>
      <c r="D31" s="24">
        <f>+[7]Subpartida_pais5!E19</f>
        <v>3.9016055999999995</v>
      </c>
      <c r="E31" s="21">
        <f t="shared" si="0"/>
        <v>513.38441676612888</v>
      </c>
      <c r="F31" s="21">
        <f t="shared" si="1"/>
        <v>0.90299950265209961</v>
      </c>
      <c r="G31" s="21">
        <f>+[7]Subpartida_pais5!D19</f>
        <v>0.13509770999999998</v>
      </c>
      <c r="H31" s="24">
        <f>+[7]Subpartida_pais5!F19</f>
        <v>1.3469006100000001</v>
      </c>
      <c r="I31" s="21">
        <f t="shared" si="2"/>
        <v>896.98256173254174</v>
      </c>
      <c r="J31" s="21">
        <f t="shared" si="3"/>
        <v>1.1136983827541533</v>
      </c>
      <c r="K31" s="16"/>
    </row>
    <row r="32" spans="1:11">
      <c r="A32" s="14"/>
      <c r="B32" s="9" t="str">
        <f>+[7]Subpartida_pais5!B20</f>
        <v>Vehículos 1.000 y 1.500 cm3</v>
      </c>
      <c r="C32" s="21">
        <f>+[7]Subpartida_pais5!C20</f>
        <v>1.6821234399999998</v>
      </c>
      <c r="D32" s="24">
        <f>+[7]Subpartida_pais5!E20</f>
        <v>3.517631629999999</v>
      </c>
      <c r="E32" s="21">
        <f t="shared" si="0"/>
        <v>109.11851926871665</v>
      </c>
      <c r="F32" s="21">
        <f t="shared" si="1"/>
        <v>0.81413139564985604</v>
      </c>
      <c r="G32" s="21">
        <f>+[7]Subpartida_pais5!D20</f>
        <v>1.0874468499999999</v>
      </c>
      <c r="H32" s="24">
        <f>+[7]Subpartida_pais5!F20</f>
        <v>1.63108925</v>
      </c>
      <c r="I32" s="21">
        <f t="shared" si="2"/>
        <v>49.992549061133438</v>
      </c>
      <c r="J32" s="21">
        <f t="shared" si="3"/>
        <v>1.348682632085737</v>
      </c>
      <c r="K32" s="16"/>
    </row>
    <row r="33" spans="1:11">
      <c r="A33" s="14"/>
      <c r="B33" s="9" t="str">
        <f>+[7]Subpartida_pais5!B21</f>
        <v>Ligaduras estériles</v>
      </c>
      <c r="C33" s="21">
        <f>+[7]Subpartida_pais5!C21</f>
        <v>2.4480022100000003</v>
      </c>
      <c r="D33" s="24">
        <f>+[7]Subpartida_pais5!E21</f>
        <v>3.2918618700000009</v>
      </c>
      <c r="E33" s="21">
        <f t="shared" si="0"/>
        <v>34.471360219891324</v>
      </c>
      <c r="F33" s="21">
        <f t="shared" si="1"/>
        <v>0.76187855364197032</v>
      </c>
      <c r="G33" s="21">
        <f>+[7]Subpartida_pais5!D21</f>
        <v>0.34789133</v>
      </c>
      <c r="H33" s="24">
        <f>+[7]Subpartida_pais5!F21</f>
        <v>0.90441250000000006</v>
      </c>
      <c r="I33" s="21">
        <f t="shared" si="2"/>
        <v>159.96983023405616</v>
      </c>
      <c r="J33" s="21">
        <f t="shared" si="3"/>
        <v>0.74782261669080452</v>
      </c>
      <c r="K33" s="16"/>
    </row>
    <row r="34" spans="1:11">
      <c r="A34" s="14"/>
      <c r="B34" s="9" t="str">
        <f>+[7]Subpartida_pais5!B22</f>
        <v>Máquinas de sondeo</v>
      </c>
      <c r="C34" s="21">
        <f>+[7]Subpartida_pais5!C22</f>
        <v>0</v>
      </c>
      <c r="D34" s="24">
        <f>+[7]Subpartida_pais5!E22</f>
        <v>3.1328823999999997</v>
      </c>
      <c r="E34" s="21" t="str">
        <f t="shared" si="0"/>
        <v/>
      </c>
      <c r="F34" s="21">
        <f t="shared" si="1"/>
        <v>0.72508386010813508</v>
      </c>
      <c r="G34" s="21">
        <f>+[7]Subpartida_pais5!D22</f>
        <v>0</v>
      </c>
      <c r="H34" s="24">
        <f>+[7]Subpartida_pais5!F22</f>
        <v>0</v>
      </c>
      <c r="I34" s="21" t="str">
        <f t="shared" si="2"/>
        <v/>
      </c>
      <c r="J34" s="21">
        <f t="shared" si="3"/>
        <v>0</v>
      </c>
      <c r="K34" s="16"/>
    </row>
    <row r="35" spans="1:11">
      <c r="A35" s="14"/>
      <c r="B35" s="9" t="str">
        <f>+[7]Subpartida_pais5!B23</f>
        <v>Anticonceptivos</v>
      </c>
      <c r="C35" s="21">
        <f>+[7]Subpartida_pais5!C23</f>
        <v>3.2506720200000001</v>
      </c>
      <c r="D35" s="24">
        <f>+[7]Subpartida_pais5!E23</f>
        <v>3.0855988700000001</v>
      </c>
      <c r="E35" s="21">
        <f t="shared" si="0"/>
        <v>-5.0781238151488495</v>
      </c>
      <c r="F35" s="21">
        <f t="shared" si="1"/>
        <v>0.71414041567755615</v>
      </c>
      <c r="G35" s="21">
        <f>+[7]Subpartida_pais5!D23</f>
        <v>1.0676360200000001</v>
      </c>
      <c r="H35" s="24">
        <f>+[7]Subpartida_pais5!F23</f>
        <v>1.55152453</v>
      </c>
      <c r="I35" s="21">
        <f t="shared" si="2"/>
        <v>45.323359359868711</v>
      </c>
      <c r="J35" s="21">
        <f t="shared" si="3"/>
        <v>1.2828937391782738</v>
      </c>
      <c r="K35" s="16"/>
    </row>
    <row r="36" spans="1:11">
      <c r="A36" s="14"/>
      <c r="B36" s="9" t="str">
        <f>+[7]Subpartida_pais5!B24</f>
        <v>Laminados de acero</v>
      </c>
      <c r="C36" s="21">
        <f>+[7]Subpartida_pais5!C24</f>
        <v>1.26307101</v>
      </c>
      <c r="D36" s="24">
        <f>+[7]Subpartida_pais5!E24</f>
        <v>2.9255025000000003</v>
      </c>
      <c r="E36" s="21">
        <f t="shared" si="0"/>
        <v>131.61821281924603</v>
      </c>
      <c r="F36" s="21">
        <f t="shared" si="1"/>
        <v>0.67708722340040595</v>
      </c>
      <c r="G36" s="21">
        <f>+[7]Subpartida_pais5!D24</f>
        <v>0</v>
      </c>
      <c r="H36" s="24">
        <f>+[7]Subpartida_pais5!F24</f>
        <v>0.34229012999999997</v>
      </c>
      <c r="I36" s="21" t="str">
        <f t="shared" si="2"/>
        <v/>
      </c>
      <c r="J36" s="21">
        <f t="shared" si="3"/>
        <v>0.28302605358067873</v>
      </c>
      <c r="K36" s="16"/>
    </row>
    <row r="37" spans="1:11">
      <c r="A37" s="14"/>
      <c r="B37" s="9" t="str">
        <f>+[7]Subpartida_pais5!B25</f>
        <v>Fungicidas</v>
      </c>
      <c r="C37" s="21">
        <f>+[7]Subpartida_pais5!C25</f>
        <v>1.7541356299999999</v>
      </c>
      <c r="D37" s="24">
        <f>+[7]Subpartida_pais5!E25</f>
        <v>2.8665500899999996</v>
      </c>
      <c r="E37" s="21">
        <f t="shared" si="0"/>
        <v>63.416673202174209</v>
      </c>
      <c r="F37" s="21">
        <f t="shared" si="1"/>
        <v>0.66344309778449451</v>
      </c>
      <c r="G37" s="21">
        <f>+[7]Subpartida_pais5!D25</f>
        <v>0.61832339999999997</v>
      </c>
      <c r="H37" s="24">
        <f>+[7]Subpartida_pais5!F25</f>
        <v>1.1995446400000001</v>
      </c>
      <c r="I37" s="21">
        <f t="shared" si="2"/>
        <v>93.99955427855393</v>
      </c>
      <c r="J37" s="21">
        <f t="shared" si="3"/>
        <v>0.99185560960538355</v>
      </c>
      <c r="K37" s="16"/>
    </row>
    <row r="38" spans="1:11">
      <c r="A38" s="14"/>
      <c r="B38" s="9" t="str">
        <f>+[7]Subpartida_pais5!B26</f>
        <v>Tubos extracción petróleo</v>
      </c>
      <c r="C38" s="21">
        <f>+[7]Subpartida_pais5!C26</f>
        <v>0.89321795000000004</v>
      </c>
      <c r="D38" s="24">
        <f>+[7]Subpartida_pais5!E26</f>
        <v>2.8227026999999998</v>
      </c>
      <c r="E38" s="21">
        <f t="shared" si="0"/>
        <v>216.01499947465226</v>
      </c>
      <c r="F38" s="21">
        <f t="shared" si="1"/>
        <v>0.65329492407811252</v>
      </c>
      <c r="G38" s="21">
        <f>+[7]Subpartida_pais5!D26</f>
        <v>0</v>
      </c>
      <c r="H38" s="24">
        <f>+[7]Subpartida_pais5!F26</f>
        <v>0.85689209</v>
      </c>
      <c r="I38" s="21" t="str">
        <f t="shared" si="2"/>
        <v/>
      </c>
      <c r="J38" s="21">
        <f t="shared" si="3"/>
        <v>0.70852988538465833</v>
      </c>
      <c r="K38" s="16"/>
    </row>
    <row r="39" spans="1:11">
      <c r="A39" s="14"/>
      <c r="B39" s="9" t="str">
        <f>+[7]Subpartida_pais5!B27</f>
        <v>Chasís de vehículos</v>
      </c>
      <c r="C39" s="21">
        <f>+[7]Subpartida_pais5!C27</f>
        <v>7.0793204099999993</v>
      </c>
      <c r="D39" s="24">
        <f>+[7]Subpartida_pais5!E27</f>
        <v>2.7698369500000002</v>
      </c>
      <c r="E39" s="21">
        <f t="shared" si="0"/>
        <v>-60.874253606498364</v>
      </c>
      <c r="F39" s="21">
        <f t="shared" si="1"/>
        <v>0.64105951362111258</v>
      </c>
      <c r="G39" s="21">
        <f>+[7]Subpartida_pais5!D27</f>
        <v>0</v>
      </c>
      <c r="H39" s="24">
        <f>+[7]Subpartida_pais5!F27</f>
        <v>0.57242562000000008</v>
      </c>
      <c r="I39" s="21" t="str">
        <f t="shared" si="2"/>
        <v/>
      </c>
      <c r="J39" s="21">
        <f t="shared" si="3"/>
        <v>0.47331590950949498</v>
      </c>
      <c r="K39" s="16"/>
    </row>
    <row r="40" spans="1:11">
      <c r="A40" s="14"/>
      <c r="B40" s="9" t="str">
        <f>+[7]Subpartida_pais5!B28</f>
        <v>Compresores para equipos</v>
      </c>
      <c r="C40" s="21">
        <f>+[7]Subpartida_pais5!C28</f>
        <v>1.6843408100000001</v>
      </c>
      <c r="D40" s="24">
        <f>+[7]Subpartida_pais5!E28</f>
        <v>2.7381710200000007</v>
      </c>
      <c r="E40" s="21">
        <f t="shared" si="0"/>
        <v>62.566328841726545</v>
      </c>
      <c r="F40" s="21">
        <f t="shared" si="1"/>
        <v>0.63373065417898555</v>
      </c>
      <c r="G40" s="21">
        <f>+[7]Subpartida_pais5!D28</f>
        <v>0.50997888000000002</v>
      </c>
      <c r="H40" s="24">
        <f>+[7]Subpartida_pais5!F28</f>
        <v>0.74431376999999999</v>
      </c>
      <c r="I40" s="21">
        <f t="shared" si="2"/>
        <v>45.949920514355405</v>
      </c>
      <c r="J40" s="21">
        <f t="shared" si="3"/>
        <v>0.6154433636425829</v>
      </c>
      <c r="K40" s="16"/>
    </row>
    <row r="41" spans="1:11">
      <c r="A41" s="14"/>
      <c r="B41" s="9" t="str">
        <f>+[7]Subpartida_pais5!B29</f>
        <v>Llantas para automóviles</v>
      </c>
      <c r="C41" s="21">
        <f>+[7]Subpartida_pais5!C29</f>
        <v>2.9868113700000003</v>
      </c>
      <c r="D41" s="24">
        <f>+[7]Subpartida_pais5!E29</f>
        <v>2.4353531300000006</v>
      </c>
      <c r="E41" s="21">
        <f t="shared" si="0"/>
        <v>-18.463109037916901</v>
      </c>
      <c r="F41" s="21">
        <f t="shared" si="1"/>
        <v>0.56364555791396109</v>
      </c>
      <c r="G41" s="21">
        <f>+[7]Subpartida_pais5!D29</f>
        <v>0.43686130000000006</v>
      </c>
      <c r="H41" s="24">
        <f>+[7]Subpartida_pais5!F29</f>
        <v>0.77033467</v>
      </c>
      <c r="I41" s="21">
        <f t="shared" si="2"/>
        <v>76.333923375680087</v>
      </c>
      <c r="J41" s="21">
        <f t="shared" si="3"/>
        <v>0.63695900780567194</v>
      </c>
      <c r="K41" s="16"/>
    </row>
    <row r="42" spans="1:11">
      <c r="A42" s="14"/>
      <c r="B42" s="9" t="str">
        <f>+[7]Subpartida_pais5!B30</f>
        <v>Máquinas de afeitar</v>
      </c>
      <c r="C42" s="21">
        <f>+[7]Subpartida_pais5!C30</f>
        <v>1.3817252900000001</v>
      </c>
      <c r="D42" s="24">
        <f>+[7]Subpartida_pais5!E30</f>
        <v>2.3704198999999995</v>
      </c>
      <c r="E42" s="21">
        <f t="shared" si="0"/>
        <v>71.555078071994998</v>
      </c>
      <c r="F42" s="21">
        <f t="shared" si="1"/>
        <v>0.54861721307162348</v>
      </c>
      <c r="G42" s="21">
        <f>+[7]Subpartida_pais5!D30</f>
        <v>0.66878395999999996</v>
      </c>
      <c r="H42" s="24">
        <f>+[7]Subpartida_pais5!F30</f>
        <v>1.0031605499999998</v>
      </c>
      <c r="I42" s="21">
        <f t="shared" si="2"/>
        <v>49.997698808446287</v>
      </c>
      <c r="J42" s="21">
        <f t="shared" si="3"/>
        <v>0.82947343989826139</v>
      </c>
      <c r="K42" s="16"/>
    </row>
    <row r="43" spans="1:11">
      <c r="A43" s="14"/>
      <c r="B43" s="9" t="str">
        <f>+[7]Subpartida_pais5!B31</f>
        <v>Anhidrido ftálico.</v>
      </c>
      <c r="C43" s="21">
        <f>+[7]Subpartida_pais5!C31</f>
        <v>2.8927900000000003E-2</v>
      </c>
      <c r="D43" s="24">
        <f>+[7]Subpartida_pais5!E31</f>
        <v>2.3480167299999999</v>
      </c>
      <c r="E43" s="21">
        <f t="shared" si="0"/>
        <v>8016.7894316559441</v>
      </c>
      <c r="F43" s="21">
        <f t="shared" si="1"/>
        <v>0.54343215506170317</v>
      </c>
      <c r="G43" s="21">
        <f>+[7]Subpartida_pais5!D31</f>
        <v>0</v>
      </c>
      <c r="H43" s="24">
        <f>+[7]Subpartida_pais5!F31</f>
        <v>1.0317979900000001</v>
      </c>
      <c r="I43" s="21" t="str">
        <f t="shared" si="2"/>
        <v/>
      </c>
      <c r="J43" s="21">
        <f t="shared" si="3"/>
        <v>0.85315259660620846</v>
      </c>
      <c r="K43" s="16"/>
    </row>
    <row r="44" spans="1:11">
      <c r="A44" s="14"/>
      <c r="B44" s="9" t="s">
        <v>2</v>
      </c>
      <c r="C44" s="21">
        <f>+C13-SUM(C14:C43)</f>
        <v>219.95316192000061</v>
      </c>
      <c r="D44" s="24">
        <f>+D13-SUM(D14:D43)</f>
        <v>244.56120384999895</v>
      </c>
      <c r="E44" s="21">
        <f t="shared" si="0"/>
        <v>11.187855503049571</v>
      </c>
      <c r="F44" s="21">
        <f t="shared" si="1"/>
        <v>56.601991099394525</v>
      </c>
      <c r="G44" s="21">
        <f>+G13-SUM(G14:G43)</f>
        <v>62.18114341999997</v>
      </c>
      <c r="H44" s="24">
        <f>+H13-SUM(H14:H43)</f>
        <v>61.523320709999396</v>
      </c>
      <c r="I44" s="21">
        <f t="shared" si="2"/>
        <v>-1.0579134988839556</v>
      </c>
      <c r="J44" s="21">
        <f t="shared" si="3"/>
        <v>50.871179556739108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7.4257812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60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2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/>
      <c r="B14" s="9" t="str">
        <f>+[7]ciiu_desagregado!A2</f>
        <v>Productos químicos</v>
      </c>
      <c r="C14" s="21">
        <f>+[7]ciiu_desagregado!B2</f>
        <v>1220.7878494799904</v>
      </c>
      <c r="D14" s="24">
        <f>+[7]ciiu_desagregado!C2</f>
        <v>1411.9886480799985</v>
      </c>
      <c r="E14" s="21">
        <f t="shared" ref="E14:E47" si="0">IF(OR(OR(D14=0,C14=0),D14=""),"",(D14/C14-1)*100)</f>
        <v>15.662082374218622</v>
      </c>
      <c r="F14" s="21">
        <f t="shared" ref="F14:F47" si="1">(D14/D$13)*100</f>
        <v>14.851522896961134</v>
      </c>
      <c r="G14" s="21">
        <f>+[7]ciiu_desagregado!D2</f>
        <v>306.37071630999844</v>
      </c>
      <c r="H14" s="24">
        <f>+[7]ciiu_desagregado!E2</f>
        <v>460.89516308000015</v>
      </c>
      <c r="I14" s="21">
        <f t="shared" ref="I14" si="2">IF(OR(OR(H14=0,G14=0),H14=""),"",(H14/G14-1)*100)</f>
        <v>50.437081138540506</v>
      </c>
      <c r="J14" s="21">
        <f>(H14/H$13)*100</f>
        <v>18.052739271881318</v>
      </c>
      <c r="K14" s="16"/>
    </row>
    <row r="15" spans="1:14">
      <c r="A15" s="14"/>
      <c r="B15" s="9" t="str">
        <f>+[7]ciiu_desagregado!A3</f>
        <v>Refinación del petróleo</v>
      </c>
      <c r="C15" s="21">
        <f>+[7]ciiu_desagregado!B3</f>
        <v>962.32179483000027</v>
      </c>
      <c r="D15" s="24">
        <f>+[7]ciiu_desagregado!C3</f>
        <v>1380.5798881099981</v>
      </c>
      <c r="E15" s="21">
        <f t="shared" si="0"/>
        <v>43.463433492523727</v>
      </c>
      <c r="F15" s="21">
        <f t="shared" si="1"/>
        <v>14.52116052578066</v>
      </c>
      <c r="G15" s="21">
        <f>+[7]ciiu_desagregado!D3</f>
        <v>202.33627828000019</v>
      </c>
      <c r="H15" s="24">
        <f>+[7]ciiu_desagregado!E3</f>
        <v>293.86862576999948</v>
      </c>
      <c r="I15" s="21">
        <f t="shared" ref="I15:I47" si="3">IF(OR(OR(H15=0,G15=0),H15=""),"",(H15/G15-1)*100)</f>
        <v>45.237734067310242</v>
      </c>
      <c r="J15" s="21">
        <f t="shared" ref="J15:J47" si="4">(H15/H$13)*100</f>
        <v>11.51049979730645</v>
      </c>
      <c r="K15" s="16"/>
    </row>
    <row r="16" spans="1:14">
      <c r="A16" s="14"/>
      <c r="B16" s="9" t="str">
        <f>+[7]ciiu_desagregado!A4</f>
        <v>Equipos de transporte</v>
      </c>
      <c r="C16" s="21">
        <f>+[7]ciiu_desagregado!B4</f>
        <v>323.62994523000111</v>
      </c>
      <c r="D16" s="24">
        <f>+[7]ciiu_desagregado!C4</f>
        <v>971.59180708999793</v>
      </c>
      <c r="E16" s="21">
        <f t="shared" si="0"/>
        <v>200.21690557698415</v>
      </c>
      <c r="F16" s="21">
        <f t="shared" si="1"/>
        <v>10.219358341951354</v>
      </c>
      <c r="G16" s="21">
        <f>+[7]ciiu_desagregado!D4</f>
        <v>74.37124845999989</v>
      </c>
      <c r="H16" s="24">
        <f>+[7]ciiu_desagregado!E4</f>
        <v>171.06405015000061</v>
      </c>
      <c r="I16" s="21">
        <f t="shared" si="3"/>
        <v>130.01368632665398</v>
      </c>
      <c r="J16" s="21">
        <f t="shared" si="4"/>
        <v>6.7003842598668362</v>
      </c>
      <c r="K16" s="16"/>
    </row>
    <row r="17" spans="1:11">
      <c r="A17" s="14"/>
      <c r="B17" s="9" t="str">
        <f>+[7]ciiu_desagregado!A5</f>
        <v>Vehículos automotores</v>
      </c>
      <c r="C17" s="21">
        <f>+[7]ciiu_desagregado!B5</f>
        <v>1135.5434769800063</v>
      </c>
      <c r="D17" s="24">
        <f>+[7]ciiu_desagregado!C5</f>
        <v>911.32150647999947</v>
      </c>
      <c r="E17" s="21">
        <f t="shared" si="0"/>
        <v>-19.745784731759308</v>
      </c>
      <c r="F17" s="21">
        <f t="shared" si="1"/>
        <v>9.5854256607408672</v>
      </c>
      <c r="G17" s="21">
        <f>+[7]ciiu_desagregado!D5</f>
        <v>300.47134539000018</v>
      </c>
      <c r="H17" s="24">
        <f>+[7]ciiu_desagregado!E5</f>
        <v>275.65771381999934</v>
      </c>
      <c r="I17" s="21">
        <f t="shared" si="3"/>
        <v>-8.2582355857573333</v>
      </c>
      <c r="J17" s="21">
        <f t="shared" si="4"/>
        <v>10.797199091046974</v>
      </c>
      <c r="K17" s="16"/>
    </row>
    <row r="18" spans="1:11">
      <c r="A18" s="14"/>
      <c r="B18" s="9" t="str">
        <f>+[7]ciiu_desagregado!A6</f>
        <v>Maquinaria y equipo</v>
      </c>
      <c r="C18" s="21">
        <f>+[7]ciiu_desagregado!B6</f>
        <v>920.7122630599855</v>
      </c>
      <c r="D18" s="24">
        <f>+[7]ciiu_desagregado!C6</f>
        <v>897.66604715999449</v>
      </c>
      <c r="E18" s="21">
        <f t="shared" si="0"/>
        <v>-2.5030855810909913</v>
      </c>
      <c r="F18" s="21">
        <f t="shared" si="1"/>
        <v>9.4417953510812662</v>
      </c>
      <c r="G18" s="21">
        <f>+[7]ciiu_desagregado!D6</f>
        <v>219.28086714</v>
      </c>
      <c r="H18" s="24">
        <f>+[7]ciiu_desagregado!E6</f>
        <v>261.84733701999994</v>
      </c>
      <c r="I18" s="21">
        <f t="shared" si="3"/>
        <v>19.411848573557201</v>
      </c>
      <c r="J18" s="21">
        <f t="shared" si="4"/>
        <v>10.256262341026117</v>
      </c>
      <c r="K18" s="16"/>
    </row>
    <row r="19" spans="1:11">
      <c r="A19" s="14"/>
      <c r="B19" s="9" t="str">
        <f>+[7]ciiu_desagregado!A7</f>
        <v>Equipo de radio</v>
      </c>
      <c r="C19" s="21">
        <f>+[7]ciiu_desagregado!B7</f>
        <v>783.58528272999604</v>
      </c>
      <c r="D19" s="24">
        <f>+[7]ciiu_desagregado!C7</f>
        <v>811.01158798999654</v>
      </c>
      <c r="E19" s="21">
        <f t="shared" si="0"/>
        <v>3.5001046937032543</v>
      </c>
      <c r="F19" s="21">
        <f t="shared" si="1"/>
        <v>8.530349861603014</v>
      </c>
      <c r="G19" s="21">
        <f>+[7]ciiu_desagregado!D7</f>
        <v>213.84786761000018</v>
      </c>
      <c r="H19" s="24">
        <f>+[7]ciiu_desagregado!E7</f>
        <v>226.65563205000046</v>
      </c>
      <c r="I19" s="21">
        <f t="shared" si="3"/>
        <v>5.9891943666037006</v>
      </c>
      <c r="J19" s="21">
        <f t="shared" si="4"/>
        <v>8.8778432877411149</v>
      </c>
      <c r="K19" s="16"/>
    </row>
    <row r="20" spans="1:11">
      <c r="A20" s="14"/>
      <c r="B20" s="9" t="str">
        <f>+[7]ciiu_desagregado!A8</f>
        <v>Maquinaria de oficina</v>
      </c>
      <c r="C20" s="21">
        <f>+[7]ciiu_desagregado!B8</f>
        <v>389.12493119000021</v>
      </c>
      <c r="D20" s="24">
        <f>+[7]ciiu_desagregado!C8</f>
        <v>462.80403844000068</v>
      </c>
      <c r="E20" s="21">
        <f t="shared" si="0"/>
        <v>18.93456351529035</v>
      </c>
      <c r="F20" s="21">
        <f t="shared" si="1"/>
        <v>4.8678470489433634</v>
      </c>
      <c r="G20" s="21">
        <f>+[7]ciiu_desagregado!D8</f>
        <v>100.03505423999975</v>
      </c>
      <c r="H20" s="24">
        <f>+[7]ciiu_desagregado!E8</f>
        <v>136.33589074</v>
      </c>
      <c r="I20" s="21">
        <f t="shared" si="3"/>
        <v>36.288115976734382</v>
      </c>
      <c r="J20" s="21">
        <f t="shared" si="4"/>
        <v>5.3401217588862133</v>
      </c>
      <c r="K20" s="16"/>
    </row>
    <row r="21" spans="1:11">
      <c r="A21" s="14"/>
      <c r="B21" s="9" t="str">
        <f>+[7]ciiu_desagregado!A9</f>
        <v>Instrumentos médicos</v>
      </c>
      <c r="C21" s="21">
        <f>+[7]ciiu_desagregado!B9</f>
        <v>392.75830069999785</v>
      </c>
      <c r="D21" s="24">
        <f>+[7]ciiu_desagregado!C9</f>
        <v>389.8019817299986</v>
      </c>
      <c r="E21" s="21">
        <f t="shared" si="0"/>
        <v>-0.7527069357236571</v>
      </c>
      <c r="F21" s="21">
        <f t="shared" si="1"/>
        <v>4.0999997165812232</v>
      </c>
      <c r="G21" s="21">
        <f>+[7]ciiu_desagregado!D9</f>
        <v>95.474722099999823</v>
      </c>
      <c r="H21" s="24">
        <f>+[7]ciiu_desagregado!E9</f>
        <v>114.95436214000024</v>
      </c>
      <c r="I21" s="21">
        <f t="shared" si="3"/>
        <v>20.40292929011882</v>
      </c>
      <c r="J21" s="21">
        <f t="shared" si="4"/>
        <v>4.5026316050069681</v>
      </c>
      <c r="K21" s="16"/>
    </row>
    <row r="22" spans="1:11">
      <c r="A22" s="14"/>
      <c r="B22" s="9" t="str">
        <f>+[7]ciiu_desagregado!A10</f>
        <v>Aparatos eléctricos</v>
      </c>
      <c r="C22" s="21">
        <f>+[7]ciiu_desagregado!B10</f>
        <v>287.60021032999992</v>
      </c>
      <c r="D22" s="24">
        <f>+[7]ciiu_desagregado!C10</f>
        <v>316.9834051999984</v>
      </c>
      <c r="E22" s="21">
        <f t="shared" si="0"/>
        <v>10.216680591534843</v>
      </c>
      <c r="F22" s="21">
        <f t="shared" si="1"/>
        <v>3.3340822581583271</v>
      </c>
      <c r="G22" s="21">
        <f>+[7]ciiu_desagregado!D10</f>
        <v>69.326930519999991</v>
      </c>
      <c r="H22" s="24">
        <f>+[7]ciiu_desagregado!E10</f>
        <v>81.726185310000275</v>
      </c>
      <c r="I22" s="21">
        <f t="shared" si="3"/>
        <v>17.885192229047632</v>
      </c>
      <c r="J22" s="21">
        <f t="shared" si="4"/>
        <v>3.2011217154622256</v>
      </c>
      <c r="K22" s="16"/>
    </row>
    <row r="23" spans="1:11">
      <c r="A23" s="14"/>
      <c r="B23" s="9" t="str">
        <f>+[7]ciiu_desagregado!A11</f>
        <v>Productos metalúrgicos</v>
      </c>
      <c r="C23" s="21">
        <f>+[7]ciiu_desagregado!B11</f>
        <v>301.09008416000108</v>
      </c>
      <c r="D23" s="24">
        <f>+[7]ciiu_desagregado!C11</f>
        <v>292.17242910000039</v>
      </c>
      <c r="E23" s="21">
        <f t="shared" si="0"/>
        <v>-2.9617896865915427</v>
      </c>
      <c r="F23" s="21">
        <f t="shared" si="1"/>
        <v>3.0731164351355069</v>
      </c>
      <c r="G23" s="21">
        <f>+[7]ciiu_desagregado!D11</f>
        <v>82.943310309999958</v>
      </c>
      <c r="H23" s="24">
        <f>+[7]ciiu_desagregado!E11</f>
        <v>95.647092170000008</v>
      </c>
      <c r="I23" s="21">
        <f t="shared" si="3"/>
        <v>15.316222384324618</v>
      </c>
      <c r="J23" s="21">
        <f t="shared" si="4"/>
        <v>3.7463878022058994</v>
      </c>
      <c r="K23" s="16"/>
    </row>
    <row r="24" spans="1:11">
      <c r="A24" s="14"/>
      <c r="B24" s="9" t="str">
        <f>+[7]ciiu_desagregado!A12</f>
        <v>Alimentos y bebidas</v>
      </c>
      <c r="C24" s="21">
        <f>+[7]ciiu_desagregado!B12</f>
        <v>268.26856092999952</v>
      </c>
      <c r="D24" s="24">
        <f>+[7]ciiu_desagregado!C12</f>
        <v>268.10932462999966</v>
      </c>
      <c r="E24" s="21">
        <f t="shared" si="0"/>
        <v>-5.9357048566499593E-2</v>
      </c>
      <c r="F24" s="21">
        <f t="shared" si="1"/>
        <v>2.8200168457768142</v>
      </c>
      <c r="G24" s="21">
        <f>+[7]ciiu_desagregado!D12</f>
        <v>60.726911120000011</v>
      </c>
      <c r="H24" s="24">
        <f>+[7]ciiu_desagregado!E12</f>
        <v>72.238663080000009</v>
      </c>
      <c r="I24" s="21">
        <f t="shared" si="3"/>
        <v>18.956590657562167</v>
      </c>
      <c r="J24" s="21">
        <f t="shared" si="4"/>
        <v>2.8295062617225999</v>
      </c>
      <c r="K24" s="16"/>
    </row>
    <row r="25" spans="1:11">
      <c r="A25" s="14"/>
      <c r="B25" s="9" t="str">
        <f>+[7]ciiu_desagregado!A13</f>
        <v>Agricultura</v>
      </c>
      <c r="C25" s="21">
        <f>+[7]ciiu_desagregado!B13</f>
        <v>218.19286737000002</v>
      </c>
      <c r="D25" s="24">
        <f>+[7]ciiu_desagregado!C13</f>
        <v>229.01904276999963</v>
      </c>
      <c r="E25" s="21">
        <f t="shared" si="0"/>
        <v>4.9617457850449131</v>
      </c>
      <c r="F25" s="21">
        <f t="shared" si="1"/>
        <v>2.4088589962559426</v>
      </c>
      <c r="G25" s="21">
        <f>+[7]ciiu_desagregado!D13</f>
        <v>49.986156680000015</v>
      </c>
      <c r="H25" s="24">
        <f>+[7]ciiu_desagregado!E13</f>
        <v>63.545146849999945</v>
      </c>
      <c r="I25" s="21">
        <f t="shared" si="3"/>
        <v>27.125490476896431</v>
      </c>
      <c r="J25" s="21">
        <f t="shared" si="4"/>
        <v>2.4889911198250956</v>
      </c>
      <c r="K25" s="16"/>
    </row>
    <row r="26" spans="1:11">
      <c r="A26" s="14"/>
      <c r="B26" s="9" t="str">
        <f>+[7]ciiu_desagregado!A14</f>
        <v>Caucho y de plástico</v>
      </c>
      <c r="C26" s="21">
        <f>+[7]ciiu_desagregado!B14</f>
        <v>226.44236349999977</v>
      </c>
      <c r="D26" s="24">
        <f>+[7]ciiu_desagregado!C14</f>
        <v>228.84751337000131</v>
      </c>
      <c r="E26" s="21">
        <f t="shared" si="0"/>
        <v>1.0621466022640025</v>
      </c>
      <c r="F26" s="21">
        <f t="shared" si="1"/>
        <v>2.4070548225361033</v>
      </c>
      <c r="G26" s="21">
        <f>+[7]ciiu_desagregado!D14</f>
        <v>59.521954570000155</v>
      </c>
      <c r="H26" s="24">
        <f>+[7]ciiu_desagregado!E14</f>
        <v>61.615750250000019</v>
      </c>
      <c r="I26" s="21">
        <f t="shared" si="3"/>
        <v>3.5176863648479051</v>
      </c>
      <c r="J26" s="21">
        <f t="shared" si="4"/>
        <v>2.4134188496821625</v>
      </c>
      <c r="K26" s="16"/>
    </row>
    <row r="27" spans="1:11">
      <c r="A27" s="14"/>
      <c r="B27" s="9" t="str">
        <f>+[7]ciiu_desagregado!A15</f>
        <v>Textiles</v>
      </c>
      <c r="C27" s="21">
        <f>+[7]ciiu_desagregado!B15</f>
        <v>211.70837872999863</v>
      </c>
      <c r="D27" s="24">
        <f>+[7]ciiu_desagregado!C15</f>
        <v>176.47293716999982</v>
      </c>
      <c r="E27" s="21">
        <f t="shared" si="0"/>
        <v>-16.643385477405303</v>
      </c>
      <c r="F27" s="21">
        <f t="shared" si="1"/>
        <v>1.8561706361011374</v>
      </c>
      <c r="G27" s="21">
        <f>+[7]ciiu_desagregado!D15</f>
        <v>50.371591280000011</v>
      </c>
      <c r="H27" s="24">
        <f>+[7]ciiu_desagregado!E15</f>
        <v>44.353757660000063</v>
      </c>
      <c r="I27" s="21">
        <f t="shared" si="3"/>
        <v>-11.946880110554147</v>
      </c>
      <c r="J27" s="21">
        <f t="shared" si="4"/>
        <v>1.7372862353628278</v>
      </c>
      <c r="K27" s="16"/>
    </row>
    <row r="28" spans="1:11">
      <c r="A28" s="14"/>
      <c r="B28" s="9" t="str">
        <f>+[7]ciiu_desagregado!A16</f>
        <v>Productos de metal</v>
      </c>
      <c r="C28" s="21">
        <f>+[7]ciiu_desagregado!B16</f>
        <v>159.16405663000074</v>
      </c>
      <c r="D28" s="24">
        <f>+[7]ciiu_desagregado!C16</f>
        <v>149.41303593000075</v>
      </c>
      <c r="E28" s="21">
        <f t="shared" si="0"/>
        <v>-6.126396189227334</v>
      </c>
      <c r="F28" s="21">
        <f t="shared" si="1"/>
        <v>1.5715502580252763</v>
      </c>
      <c r="G28" s="21">
        <f>+[7]ciiu_desagregado!D16</f>
        <v>37.320290500000034</v>
      </c>
      <c r="H28" s="24">
        <f>+[7]ciiu_desagregado!E16</f>
        <v>41.677722440000004</v>
      </c>
      <c r="I28" s="21">
        <f t="shared" si="3"/>
        <v>11.675771762816179</v>
      </c>
      <c r="J28" s="21">
        <f t="shared" si="4"/>
        <v>1.6324689797722169</v>
      </c>
      <c r="K28" s="16"/>
    </row>
    <row r="29" spans="1:11">
      <c r="A29" s="14"/>
      <c r="B29" s="9" t="str">
        <f>+[7]ciiu_desagregado!A17</f>
        <v>Muebles industrias</v>
      </c>
      <c r="C29" s="21">
        <f>+[7]ciiu_desagregado!B17</f>
        <v>126.27454146000022</v>
      </c>
      <c r="D29" s="24">
        <f>+[7]ciiu_desagregado!C17</f>
        <v>135.06375899000031</v>
      </c>
      <c r="E29" s="21">
        <f t="shared" si="0"/>
        <v>6.9604034418800254</v>
      </c>
      <c r="F29" s="21">
        <f t="shared" si="1"/>
        <v>1.4206222634418673</v>
      </c>
      <c r="G29" s="21">
        <f>+[7]ciiu_desagregado!D17</f>
        <v>30.542789260000045</v>
      </c>
      <c r="H29" s="24">
        <f>+[7]ciiu_desagregado!E17</f>
        <v>37.716381589999997</v>
      </c>
      <c r="I29" s="21">
        <f t="shared" si="3"/>
        <v>23.487024282339377</v>
      </c>
      <c r="J29" s="21">
        <f t="shared" si="4"/>
        <v>1.4773077646832882</v>
      </c>
      <c r="K29" s="16"/>
    </row>
    <row r="30" spans="1:11">
      <c r="A30" s="14"/>
      <c r="B30" s="9" t="str">
        <f>+[7]ciiu_desagregado!A18</f>
        <v>Cueros</v>
      </c>
      <c r="C30" s="21">
        <f>+[7]ciiu_desagregado!B18</f>
        <v>93.093587619999738</v>
      </c>
      <c r="D30" s="24">
        <f>+[7]ciiu_desagregado!C18</f>
        <v>108.98788316999959</v>
      </c>
      <c r="E30" s="21">
        <f t="shared" si="0"/>
        <v>17.073459038746087</v>
      </c>
      <c r="F30" s="21">
        <f t="shared" si="1"/>
        <v>1.1463520224412367</v>
      </c>
      <c r="G30" s="21">
        <f>+[7]ciiu_desagregado!D18</f>
        <v>21.04750005999999</v>
      </c>
      <c r="H30" s="24">
        <f>+[7]ciiu_desagregado!E18</f>
        <v>24.223801039999955</v>
      </c>
      <c r="I30" s="21">
        <f t="shared" si="3"/>
        <v>15.091108069582138</v>
      </c>
      <c r="J30" s="21">
        <f t="shared" si="4"/>
        <v>0.94881873228324831</v>
      </c>
      <c r="K30" s="16"/>
    </row>
    <row r="31" spans="1:11">
      <c r="A31" s="14"/>
      <c r="B31" s="9" t="str">
        <f>+[7]ciiu_desagregado!A19</f>
        <v>Prendas de vestir</v>
      </c>
      <c r="C31" s="21">
        <f>+[7]ciiu_desagregado!B19</f>
        <v>82.097782740000156</v>
      </c>
      <c r="D31" s="24">
        <f>+[7]ciiu_desagregado!C19</f>
        <v>92.89312230000003</v>
      </c>
      <c r="E31" s="21">
        <f t="shared" si="0"/>
        <v>13.149367984989579</v>
      </c>
      <c r="F31" s="21">
        <f t="shared" si="1"/>
        <v>0.97706474813705269</v>
      </c>
      <c r="G31" s="21">
        <f>+[7]ciiu_desagregado!D19</f>
        <v>18.499904930000007</v>
      </c>
      <c r="H31" s="24">
        <f>+[7]ciiu_desagregado!E19</f>
        <v>17.849720409999986</v>
      </c>
      <c r="I31" s="21">
        <f t="shared" si="3"/>
        <v>-3.5145289797984924</v>
      </c>
      <c r="J31" s="21">
        <f t="shared" si="4"/>
        <v>0.69915324449125515</v>
      </c>
      <c r="K31" s="16"/>
    </row>
    <row r="32" spans="1:11">
      <c r="A32" s="14"/>
      <c r="B32" s="9" t="str">
        <f>+[7]ciiu_desagregado!A20</f>
        <v>Papel</v>
      </c>
      <c r="C32" s="21">
        <f>+[7]ciiu_desagregado!B20</f>
        <v>89.573949570000153</v>
      </c>
      <c r="D32" s="24">
        <f>+[7]ciiu_desagregado!C20</f>
        <v>86.243344049999692</v>
      </c>
      <c r="E32" s="21">
        <f t="shared" si="0"/>
        <v>-3.7182747171348729</v>
      </c>
      <c r="F32" s="21">
        <f t="shared" si="1"/>
        <v>0.90712131475755231</v>
      </c>
      <c r="G32" s="21">
        <f>+[7]ciiu_desagregado!D20</f>
        <v>19.325152699999997</v>
      </c>
      <c r="H32" s="24">
        <f>+[7]ciiu_desagregado!E20</f>
        <v>24.847224200000024</v>
      </c>
      <c r="I32" s="21">
        <f t="shared" si="3"/>
        <v>28.574529711219455</v>
      </c>
      <c r="J32" s="21">
        <f t="shared" si="4"/>
        <v>0.97323750831969824</v>
      </c>
      <c r="K32" s="16"/>
    </row>
    <row r="33" spans="1:11">
      <c r="A33" s="14"/>
      <c r="B33" s="9" t="str">
        <f>+[7]ciiu_desagregado!A21</f>
        <v>Fabr. minerales no metálicos</v>
      </c>
      <c r="C33" s="21">
        <f>+[7]ciiu_desagregado!B21</f>
        <v>82.160497290000208</v>
      </c>
      <c r="D33" s="24">
        <f>+[7]ciiu_desagregado!C21</f>
        <v>82.925745600000269</v>
      </c>
      <c r="E33" s="21">
        <f t="shared" si="0"/>
        <v>0.93140661904587141</v>
      </c>
      <c r="F33" s="21">
        <f t="shared" si="1"/>
        <v>0.87222628255592105</v>
      </c>
      <c r="G33" s="21">
        <f>+[7]ciiu_desagregado!D21</f>
        <v>19.962352210000002</v>
      </c>
      <c r="H33" s="24">
        <f>+[7]ciiu_desagregado!E21</f>
        <v>21.168507069999968</v>
      </c>
      <c r="I33" s="21">
        <f t="shared" si="3"/>
        <v>6.0421479759071195</v>
      </c>
      <c r="J33" s="21">
        <f t="shared" si="4"/>
        <v>0.82914634286008759</v>
      </c>
      <c r="K33" s="16"/>
    </row>
    <row r="34" spans="1:11">
      <c r="A34" s="14"/>
      <c r="B34" s="9" t="str">
        <f>+[7]ciiu_desagregado!A22</f>
        <v>Edición</v>
      </c>
      <c r="C34" s="21">
        <f>+[7]ciiu_desagregado!B22</f>
        <v>42.646346120000118</v>
      </c>
      <c r="D34" s="24">
        <f>+[7]ciiu_desagregado!C22</f>
        <v>44.122554329999986</v>
      </c>
      <c r="E34" s="21">
        <f t="shared" si="0"/>
        <v>3.4615115814284447</v>
      </c>
      <c r="F34" s="21">
        <f t="shared" si="1"/>
        <v>0.46408809787207295</v>
      </c>
      <c r="G34" s="21">
        <f>+[7]ciiu_desagregado!D22</f>
        <v>9.7118667499999827</v>
      </c>
      <c r="H34" s="24">
        <f>+[7]ciiu_desagregado!E22</f>
        <v>12.673908950000012</v>
      </c>
      <c r="I34" s="21">
        <f t="shared" si="3"/>
        <v>30.499205520916295</v>
      </c>
      <c r="J34" s="21">
        <f t="shared" si="4"/>
        <v>0.49642259706292358</v>
      </c>
      <c r="K34" s="16"/>
    </row>
    <row r="35" spans="1:11">
      <c r="A35" s="14"/>
      <c r="B35" s="9" t="str">
        <f>+[7]ciiu_desagregado!A23</f>
        <v>Madera</v>
      </c>
      <c r="C35" s="21">
        <f>+[7]ciiu_desagregado!B23</f>
        <v>27.071672890000052</v>
      </c>
      <c r="D35" s="24">
        <f>+[7]ciiu_desagregado!C23</f>
        <v>30.195469579999983</v>
      </c>
      <c r="E35" s="21">
        <f t="shared" si="0"/>
        <v>11.538986536564666</v>
      </c>
      <c r="F35" s="21">
        <f t="shared" si="1"/>
        <v>0.31760078840694439</v>
      </c>
      <c r="G35" s="21">
        <f>+[7]ciiu_desagregado!D23</f>
        <v>5.9826516899999937</v>
      </c>
      <c r="H35" s="24">
        <f>+[7]ciiu_desagregado!E23</f>
        <v>7.1514202200000039</v>
      </c>
      <c r="I35" s="21">
        <f t="shared" si="3"/>
        <v>19.535961486001383</v>
      </c>
      <c r="J35" s="21">
        <f t="shared" si="4"/>
        <v>0.28011299531236594</v>
      </c>
      <c r="K35" s="16"/>
    </row>
    <row r="36" spans="1:11">
      <c r="A36" s="14"/>
      <c r="B36" s="9" t="str">
        <f>+[7]ciiu_desagregado!A24</f>
        <v>Minerales no metálicos</v>
      </c>
      <c r="C36" s="21">
        <f>+[7]ciiu_desagregado!B24</f>
        <v>14.001606310000009</v>
      </c>
      <c r="D36" s="24">
        <f>+[7]ciiu_desagregado!C24</f>
        <v>13.868106469999976</v>
      </c>
      <c r="E36" s="21">
        <f t="shared" si="0"/>
        <v>-0.95346088901733239</v>
      </c>
      <c r="F36" s="21">
        <f t="shared" si="1"/>
        <v>0.14586696646376318</v>
      </c>
      <c r="G36" s="21">
        <f>+[7]ciiu_desagregado!D24</f>
        <v>2.4092749100000002</v>
      </c>
      <c r="H36" s="24">
        <f>+[7]ciiu_desagregado!E24</f>
        <v>2.1887995499999993</v>
      </c>
      <c r="I36" s="21">
        <f t="shared" si="3"/>
        <v>-9.1511084552821309</v>
      </c>
      <c r="J36" s="21">
        <f t="shared" si="4"/>
        <v>8.573278862486676E-2</v>
      </c>
      <c r="K36" s="16"/>
    </row>
    <row r="37" spans="1:11">
      <c r="A37" s="14"/>
      <c r="B37" s="9" t="str">
        <f>+[7]ciiu_desagregado!A25</f>
        <v>Tabaco</v>
      </c>
      <c r="C37" s="21">
        <f>+[7]ciiu_desagregado!B25</f>
        <v>7.1769391600000025</v>
      </c>
      <c r="D37" s="24">
        <f>+[7]ciiu_desagregado!C25</f>
        <v>6.3863406400000002</v>
      </c>
      <c r="E37" s="21">
        <f t="shared" si="0"/>
        <v>-11.015817500673952</v>
      </c>
      <c r="F37" s="21">
        <f t="shared" si="1"/>
        <v>6.7172554376924223E-2</v>
      </c>
      <c r="G37" s="21">
        <f>+[7]ciiu_desagregado!D25</f>
        <v>2.9910703200000008</v>
      </c>
      <c r="H37" s="24">
        <f>+[7]ciiu_desagregado!E25</f>
        <v>1.5039295399999999</v>
      </c>
      <c r="I37" s="21">
        <f t="shared" si="3"/>
        <v>-49.71935196762611</v>
      </c>
      <c r="J37" s="21">
        <f t="shared" si="4"/>
        <v>5.8907209369406674E-2</v>
      </c>
      <c r="K37" s="16"/>
    </row>
    <row r="38" spans="1:11">
      <c r="A38" s="14"/>
      <c r="B38" s="9" t="str">
        <f>+[7]ciiu_desagregado!A26</f>
        <v>Sin información</v>
      </c>
      <c r="C38" s="21">
        <f>+[7]ciiu_desagregado!B26</f>
        <v>3.2627722699999993</v>
      </c>
      <c r="D38" s="24">
        <f>+[7]ciiu_desagregado!C26</f>
        <v>3.2527002400000011</v>
      </c>
      <c r="E38" s="21">
        <f t="shared" si="0"/>
        <v>-0.3086954640569517</v>
      </c>
      <c r="F38" s="21">
        <f t="shared" si="1"/>
        <v>3.4212422427757398E-2</v>
      </c>
      <c r="G38" s="21">
        <f>+[7]ciiu_desagregado!D26</f>
        <v>0.60829359000000016</v>
      </c>
      <c r="H38" s="24">
        <f>+[7]ciiu_desagregado!E26</f>
        <v>0.74365742999999984</v>
      </c>
      <c r="I38" s="21">
        <f t="shared" si="3"/>
        <v>22.253043961880259</v>
      </c>
      <c r="J38" s="21">
        <f t="shared" si="4"/>
        <v>2.9128215626461389E-2</v>
      </c>
      <c r="K38" s="16"/>
    </row>
    <row r="39" spans="1:11">
      <c r="A39" s="14"/>
      <c r="B39" s="9" t="str">
        <f>+[7]ciiu_desagregado!A27</f>
        <v>Pesca</v>
      </c>
      <c r="C39" s="21">
        <f>+[7]ciiu_desagregado!B27</f>
        <v>1.2473994100000003</v>
      </c>
      <c r="D39" s="24">
        <f>+[7]ciiu_desagregado!C27</f>
        <v>2.4074119100000022</v>
      </c>
      <c r="E39" s="21">
        <f t="shared" si="0"/>
        <v>92.994472395974739</v>
      </c>
      <c r="F39" s="21">
        <f t="shared" si="1"/>
        <v>2.5321544300231712E-2</v>
      </c>
      <c r="G39" s="21">
        <f>+[7]ciiu_desagregado!D27</f>
        <v>0.20998731999999998</v>
      </c>
      <c r="H39" s="24">
        <f>+[7]ciiu_desagregado!E27</f>
        <v>0.33389370000000002</v>
      </c>
      <c r="I39" s="21">
        <f t="shared" si="3"/>
        <v>59.006600970001458</v>
      </c>
      <c r="J39" s="21">
        <f t="shared" si="4"/>
        <v>1.3078236426572128E-2</v>
      </c>
      <c r="K39" s="16"/>
    </row>
    <row r="40" spans="1:11">
      <c r="A40" s="14"/>
      <c r="B40" s="9" t="str">
        <f>+[7]ciiu_desagregado!A28</f>
        <v>Silvicultura</v>
      </c>
      <c r="C40" s="21">
        <f>+[7]ciiu_desagregado!B28</f>
        <v>1.2523709000000003</v>
      </c>
      <c r="D40" s="24">
        <f>+[7]ciiu_desagregado!C28</f>
        <v>1.0289958299999999</v>
      </c>
      <c r="E40" s="21">
        <f t="shared" si="0"/>
        <v>-17.836175369453279</v>
      </c>
      <c r="F40" s="21">
        <f t="shared" si="1"/>
        <v>1.0823143054940971E-2</v>
      </c>
      <c r="G40" s="21">
        <f>+[7]ciiu_desagregado!D28</f>
        <v>0.39162569999999991</v>
      </c>
      <c r="H40" s="24">
        <f>+[7]ciiu_desagregado!E28</f>
        <v>0.14598733</v>
      </c>
      <c r="I40" s="21">
        <f t="shared" si="3"/>
        <v>-62.722740106177909</v>
      </c>
      <c r="J40" s="21">
        <f t="shared" si="4"/>
        <v>5.7181576562361199E-3</v>
      </c>
      <c r="K40" s="16"/>
    </row>
    <row r="41" spans="1:11">
      <c r="A41" s="14"/>
      <c r="B41" s="9" t="str">
        <f>+[7]ciiu_desagregado!A29</f>
        <v>Carbón</v>
      </c>
      <c r="C41" s="21">
        <f>+[7]ciiu_desagregado!B29</f>
        <v>0.51389761</v>
      </c>
      <c r="D41" s="24">
        <f>+[7]ciiu_desagregado!C29</f>
        <v>0.55424684000000002</v>
      </c>
      <c r="E41" s="21">
        <f t="shared" si="0"/>
        <v>7.8516088058864453</v>
      </c>
      <c r="F41" s="21">
        <f t="shared" si="1"/>
        <v>5.829657091097229E-3</v>
      </c>
      <c r="G41" s="21">
        <f>+[7]ciiu_desagregado!D29</f>
        <v>0.10723452999999998</v>
      </c>
      <c r="H41" s="24">
        <f>+[7]ciiu_desagregado!E29</f>
        <v>6.0691429999999998E-2</v>
      </c>
      <c r="I41" s="21">
        <f t="shared" si="3"/>
        <v>-43.403090403809287</v>
      </c>
      <c r="J41" s="21">
        <f t="shared" si="4"/>
        <v>2.3772142768993618E-3</v>
      </c>
      <c r="K41" s="16"/>
    </row>
    <row r="42" spans="1:11">
      <c r="A42" s="14"/>
      <c r="B42" s="9" t="str">
        <f>+[7]ciiu_desagregado!A30</f>
        <v>Esparcimiento</v>
      </c>
      <c r="C42" s="21">
        <f>+[7]ciiu_desagregado!B30</f>
        <v>0.3316175300000001</v>
      </c>
      <c r="D42" s="24">
        <f>+[7]ciiu_desagregado!C30</f>
        <v>0.5436575600000001</v>
      </c>
      <c r="E42" s="21">
        <f t="shared" si="0"/>
        <v>63.941140264810457</v>
      </c>
      <c r="F42" s="21">
        <f t="shared" si="1"/>
        <v>5.7182773469355601E-3</v>
      </c>
      <c r="G42" s="21">
        <f>+[7]ciiu_desagregado!D30</f>
        <v>8.5462230000000014E-2</v>
      </c>
      <c r="H42" s="24">
        <f>+[7]ciiu_desagregado!E30</f>
        <v>0.12492598999999999</v>
      </c>
      <c r="I42" s="21">
        <f t="shared" si="3"/>
        <v>46.176843267487833</v>
      </c>
      <c r="J42" s="21">
        <f t="shared" si="4"/>
        <v>4.8932089256059196E-3</v>
      </c>
      <c r="K42" s="16"/>
    </row>
    <row r="43" spans="1:11">
      <c r="A43" s="14"/>
      <c r="B43" s="9" t="str">
        <f>+[7]ciiu_desagregado!A31</f>
        <v>Minerales metalíferos</v>
      </c>
      <c r="C43" s="21">
        <f>+[7]ciiu_desagregado!B31</f>
        <v>2.0724540599999997</v>
      </c>
      <c r="D43" s="24">
        <f>+[7]ciiu_desagregado!C31</f>
        <v>0.54066654000000003</v>
      </c>
      <c r="E43" s="21">
        <f t="shared" si="0"/>
        <v>-73.911772017759475</v>
      </c>
      <c r="F43" s="21">
        <f t="shared" si="1"/>
        <v>5.686817319211065E-3</v>
      </c>
      <c r="G43" s="21">
        <f>+[7]ciiu_desagregado!D31</f>
        <v>0.78989310000000001</v>
      </c>
      <c r="H43" s="24">
        <f>+[7]ciiu_desagregado!E31</f>
        <v>0.12674948</v>
      </c>
      <c r="I43" s="21">
        <f t="shared" si="3"/>
        <v>-83.9535906820809</v>
      </c>
      <c r="J43" s="21">
        <f t="shared" si="4"/>
        <v>4.9646329546950887E-3</v>
      </c>
      <c r="K43" s="16"/>
    </row>
    <row r="44" spans="1:11">
      <c r="A44" s="14"/>
      <c r="B44" s="9" t="str">
        <f>+[7]ciiu_desagregado!A32</f>
        <v>Reciclaje</v>
      </c>
      <c r="C44" s="21">
        <f>+[7]ciiu_desagregado!B32</f>
        <v>0.32712226999999994</v>
      </c>
      <c r="D44" s="24">
        <f>+[7]ciiu_desagregado!C32</f>
        <v>0.28085422999999998</v>
      </c>
      <c r="E44" s="21">
        <f t="shared" si="0"/>
        <v>-14.143959076830804</v>
      </c>
      <c r="F44" s="21">
        <f t="shared" si="1"/>
        <v>2.954069803057699E-3</v>
      </c>
      <c r="G44" s="21">
        <f>+[7]ciiu_desagregado!D32</f>
        <v>0.11191359000000002</v>
      </c>
      <c r="H44" s="24">
        <f>+[7]ciiu_desagregado!E32</f>
        <v>8.6186579999999999E-2</v>
      </c>
      <c r="I44" s="21">
        <f t="shared" si="3"/>
        <v>-22.988280511777003</v>
      </c>
      <c r="J44" s="21">
        <f t="shared" si="4"/>
        <v>3.3758303017926749E-3</v>
      </c>
      <c r="K44" s="16"/>
    </row>
    <row r="45" spans="1:11">
      <c r="A45" s="14"/>
      <c r="B45" s="9" t="str">
        <f>+[7]ciiu_desagregado!A33</f>
        <v>Activ. empresariales</v>
      </c>
      <c r="C45" s="21">
        <f>+[7]ciiu_desagregado!B33</f>
        <v>0.21221366</v>
      </c>
      <c r="D45" s="24">
        <f>+[7]ciiu_desagregado!C33</f>
        <v>0.24302338000000001</v>
      </c>
      <c r="E45" s="21">
        <f t="shared" si="0"/>
        <v>14.518254856921086</v>
      </c>
      <c r="F45" s="21">
        <f t="shared" si="1"/>
        <v>2.5561588596868076E-3</v>
      </c>
      <c r="G45" s="21">
        <f>+[7]ciiu_desagregado!D33</f>
        <v>7.3612299999999999E-3</v>
      </c>
      <c r="H45" s="24">
        <f>+[7]ciiu_desagregado!E33</f>
        <v>2.8127799999999995E-3</v>
      </c>
      <c r="I45" s="21">
        <f t="shared" si="3"/>
        <v>-61.789266196002579</v>
      </c>
      <c r="J45" s="21">
        <f t="shared" si="4"/>
        <v>1.1017339307669941E-4</v>
      </c>
      <c r="K45" s="16"/>
    </row>
    <row r="46" spans="1:11">
      <c r="A46" s="14"/>
      <c r="B46" s="9" t="str">
        <f>+[7]ciiu_desagregado!A34</f>
        <v>Comercio al por mayor</v>
      </c>
      <c r="C46" s="21">
        <f>+[7]ciiu_desagregado!B34</f>
        <v>5.930847999999999E-2</v>
      </c>
      <c r="D46" s="24">
        <f>+[7]ciiu_desagregado!C34</f>
        <v>4.3211290000000006E-2</v>
      </c>
      <c r="E46" s="21">
        <f t="shared" ref="E46" si="5">IF(OR(OR(D46=0,C46=0),D46=""),"",(D46/C46-1)*100)</f>
        <v>-27.141464424648866</v>
      </c>
      <c r="F46" s="21">
        <f t="shared" ref="F46" si="6">(D46/D$13)*100</f>
        <v>4.5450327360271252E-4</v>
      </c>
      <c r="G46" s="21">
        <f>+[7]ciiu_desagregado!D34</f>
        <v>1.33697E-2</v>
      </c>
      <c r="H46" s="24">
        <f>+[7]ciiu_desagregado!E34</f>
        <v>1.604011E-2</v>
      </c>
      <c r="I46" s="21">
        <f t="shared" ref="I46" si="7">IF(OR(OR(H46=0,G46=0),H46=""),"",(H46/G46-1)*100)</f>
        <v>19.97359701414392</v>
      </c>
      <c r="J46" s="21">
        <f t="shared" ref="J46" si="8">(H46/H$13)*100</f>
        <v>6.2827286315442275E-4</v>
      </c>
      <c r="K46" s="16"/>
    </row>
    <row r="47" spans="1:11">
      <c r="A47" s="14"/>
      <c r="B47" s="9" t="str">
        <f>+[7]ciiu_desagregado!A35</f>
        <v>Petróleo</v>
      </c>
      <c r="C47" s="21">
        <f>+[7]ciiu_desagregado!B35</f>
        <v>2.3845199999999998E-3</v>
      </c>
      <c r="D47" s="24">
        <f>+[7]ciiu_desagregado!C35</f>
        <v>1.7790599999999998E-3</v>
      </c>
      <c r="E47" s="21">
        <f t="shared" si="0"/>
        <v>-25.391273715464745</v>
      </c>
      <c r="F47" s="21">
        <f t="shared" si="1"/>
        <v>1.8712438206210498E-5</v>
      </c>
      <c r="G47" s="21">
        <f>+[7]ciiu_desagregado!D35</f>
        <v>0</v>
      </c>
      <c r="H47" s="24">
        <f>+[7]ciiu_desagregado!E35</f>
        <v>6.2544E-4</v>
      </c>
      <c r="I47" s="21" t="str">
        <f t="shared" si="3"/>
        <v/>
      </c>
      <c r="J47" s="21">
        <f t="shared" si="4"/>
        <v>2.4497773365101745E-5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80"/>
      <c r="E50" s="20"/>
    </row>
    <row r="51" spans="1:11">
      <c r="B51" s="20"/>
      <c r="C51" s="20"/>
      <c r="D51" s="80"/>
      <c r="E51" s="20"/>
    </row>
    <row r="52" spans="1:11">
      <c r="C52" s="20"/>
      <c r="D52" s="8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61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2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/>
      <c r="B14" s="9" t="str">
        <f>+[7]capitulos!A2</f>
        <v>Equipo rodante de transporte</v>
      </c>
      <c r="C14" s="21">
        <f>+[7]capitulos!B2</f>
        <v>657.88775126000291</v>
      </c>
      <c r="D14" s="24">
        <f>+[7]capitulos!C2</f>
        <v>1067.4126099699997</v>
      </c>
      <c r="E14" s="21">
        <f t="shared" ref="E14:E46" si="0">IF(OR(OR(D14=0,C14=0),D14=""),"",(D14/C14-1)*100)</f>
        <v>62.248439483128351</v>
      </c>
      <c r="F14" s="21">
        <f t="shared" ref="F14:F46" si="1">(D14/D$13)*100</f>
        <v>11.227216903642084</v>
      </c>
      <c r="G14" s="21">
        <f>+[7]capitulos!D2</f>
        <v>174.77399156999996</v>
      </c>
      <c r="H14" s="24">
        <f>+[7]capitulos!E2</f>
        <v>209.44184411000026</v>
      </c>
      <c r="I14" s="21">
        <f t="shared" ref="I14:I46" si="2">IF(OR(OR(H14=0,G14=0),H14=""),"",(H14/G14-1)*100)</f>
        <v>19.835818950278551</v>
      </c>
      <c r="J14" s="21">
        <f>(H14/H$13)*100</f>
        <v>8.2035987947297198</v>
      </c>
      <c r="K14" s="16"/>
    </row>
    <row r="15" spans="1:14">
      <c r="A15" s="14"/>
      <c r="B15" s="9" t="str">
        <f>+[7]capitulos!A3</f>
        <v>Químicos y farmacéuticos</v>
      </c>
      <c r="C15" s="21">
        <f>+[7]capitulos!B3</f>
        <v>831.24446392000107</v>
      </c>
      <c r="D15" s="24">
        <f>+[7]capitulos!C3</f>
        <v>921.55972420998467</v>
      </c>
      <c r="E15" s="21">
        <f t="shared" si="0"/>
        <v>10.865066079847674</v>
      </c>
      <c r="F15" s="21">
        <f t="shared" si="1"/>
        <v>9.6931128756825089</v>
      </c>
      <c r="G15" s="21">
        <f>+[7]capitulos!D3</f>
        <v>207.2024305199993</v>
      </c>
      <c r="H15" s="24">
        <f>+[7]capitulos!E3</f>
        <v>304.97927604999967</v>
      </c>
      <c r="I15" s="21">
        <f t="shared" si="2"/>
        <v>47.189043721455228</v>
      </c>
      <c r="J15" s="21">
        <f t="shared" ref="J15:J46" si="3">(H15/H$13)*100</f>
        <v>11.945691330464465</v>
      </c>
      <c r="K15" s="16"/>
    </row>
    <row r="16" spans="1:14">
      <c r="A16" s="14"/>
      <c r="B16" s="9" t="str">
        <f>+[7]capitulos!A4</f>
        <v>Combustibles</v>
      </c>
      <c r="C16" s="21">
        <f>+[7]capitulos!B4</f>
        <v>499.76925448999975</v>
      </c>
      <c r="D16" s="24">
        <f>+[7]capitulos!C4</f>
        <v>882.43314633000011</v>
      </c>
      <c r="E16" s="21">
        <f t="shared" si="0"/>
        <v>76.568113864967131</v>
      </c>
      <c r="F16" s="21">
        <f t="shared" si="1"/>
        <v>9.281573258806354</v>
      </c>
      <c r="G16" s="21">
        <f>+[7]capitulos!D4</f>
        <v>92.261637360000009</v>
      </c>
      <c r="H16" s="24">
        <f>+[7]capitulos!E4</f>
        <v>137.41036187999995</v>
      </c>
      <c r="I16" s="21">
        <f t="shared" si="2"/>
        <v>48.935533567252911</v>
      </c>
      <c r="J16" s="21">
        <f t="shared" si="3"/>
        <v>5.3822075712344191</v>
      </c>
      <c r="K16" s="16"/>
    </row>
    <row r="17" spans="1:11">
      <c r="A17" s="14"/>
      <c r="B17" s="9" t="str">
        <f>+[7]capitulos!A5</f>
        <v>Otro equipo fijo</v>
      </c>
      <c r="C17" s="21">
        <f>+[7]capitulos!B5</f>
        <v>704.06155800999863</v>
      </c>
      <c r="D17" s="24">
        <f>+[7]capitulos!C5</f>
        <v>737.09559121999598</v>
      </c>
      <c r="E17" s="21">
        <f t="shared" si="0"/>
        <v>4.6919239992830652</v>
      </c>
      <c r="F17" s="21">
        <f t="shared" si="1"/>
        <v>7.7528895612145554</v>
      </c>
      <c r="G17" s="21">
        <f>+[7]capitulos!D5</f>
        <v>193.27225111999999</v>
      </c>
      <c r="H17" s="24">
        <f>+[7]capitulos!E5</f>
        <v>197.87700993999991</v>
      </c>
      <c r="I17" s="21">
        <f t="shared" si="2"/>
        <v>2.382524544167941</v>
      </c>
      <c r="J17" s="21">
        <f t="shared" si="3"/>
        <v>7.7506173952323207</v>
      </c>
      <c r="K17" s="16"/>
    </row>
    <row r="18" spans="1:11">
      <c r="A18" s="14"/>
      <c r="B18" s="9" t="str">
        <f>+[7]capitulos!A6</f>
        <v>Aparatos de oficina</v>
      </c>
      <c r="C18" s="21">
        <f>+[7]capitulos!B6</f>
        <v>656.7241313799999</v>
      </c>
      <c r="D18" s="24">
        <f>+[7]capitulos!C6</f>
        <v>729.63592850000032</v>
      </c>
      <c r="E18" s="21">
        <f t="shared" si="0"/>
        <v>11.102347795076151</v>
      </c>
      <c r="F18" s="21">
        <f t="shared" si="1"/>
        <v>7.6744276331811605</v>
      </c>
      <c r="G18" s="21">
        <f>+[7]capitulos!D6</f>
        <v>166.85400403999927</v>
      </c>
      <c r="H18" s="24">
        <f>+[7]capitulos!E6</f>
        <v>213.8303497799989</v>
      </c>
      <c r="I18" s="21">
        <f t="shared" si="2"/>
        <v>28.154161484034979</v>
      </c>
      <c r="J18" s="21">
        <f t="shared" si="3"/>
        <v>8.3754915699201309</v>
      </c>
      <c r="K18" s="16"/>
    </row>
    <row r="19" spans="1:11">
      <c r="A19" s="14"/>
      <c r="B19" s="9" t="str">
        <f>+[7]capitulos!A7</f>
        <v>Maquinaria industrial</v>
      </c>
      <c r="C19" s="21">
        <f>+[7]capitulos!B7</f>
        <v>670.44231539999817</v>
      </c>
      <c r="D19" s="24">
        <f>+[7]capitulos!C7</f>
        <v>677.55270473000439</v>
      </c>
      <c r="E19" s="21">
        <f t="shared" si="0"/>
        <v>1.060551991824088</v>
      </c>
      <c r="F19" s="21">
        <f t="shared" si="1"/>
        <v>7.1266079382994354</v>
      </c>
      <c r="G19" s="21">
        <f>+[7]capitulos!D7</f>
        <v>159.10871611999968</v>
      </c>
      <c r="H19" s="24">
        <f>+[7]capitulos!E7</f>
        <v>188.36598158999962</v>
      </c>
      <c r="I19" s="21">
        <f t="shared" si="2"/>
        <v>18.388222960666802</v>
      </c>
      <c r="J19" s="21">
        <f t="shared" si="3"/>
        <v>7.3780812335103905</v>
      </c>
      <c r="K19" s="16"/>
    </row>
    <row r="20" spans="1:11">
      <c r="A20" s="14"/>
      <c r="B20" s="9" t="str">
        <f>+[7]capitulos!A8</f>
        <v>Vehículos particulares</v>
      </c>
      <c r="C20" s="21">
        <f>+[7]capitulos!B8</f>
        <v>483.02506528000043</v>
      </c>
      <c r="D20" s="24">
        <f>+[7]capitulos!C8</f>
        <v>549.882266310001</v>
      </c>
      <c r="E20" s="21">
        <f t="shared" si="0"/>
        <v>13.841352309790533</v>
      </c>
      <c r="F20" s="21">
        <f t="shared" si="1"/>
        <v>5.7837498055247591</v>
      </c>
      <c r="G20" s="21">
        <f>+[7]capitulos!D8</f>
        <v>136.82828363000021</v>
      </c>
      <c r="H20" s="24">
        <f>+[7]capitulos!E8</f>
        <v>159.05217767000028</v>
      </c>
      <c r="I20" s="21">
        <f t="shared" si="2"/>
        <v>16.242178481238632</v>
      </c>
      <c r="J20" s="21">
        <f t="shared" si="3"/>
        <v>6.2298928782705989</v>
      </c>
      <c r="K20" s="16"/>
    </row>
    <row r="21" spans="1:11">
      <c r="A21" s="14"/>
      <c r="B21" s="9" t="str">
        <f>+[7]capitulos!A9</f>
        <v>Productos mineros</v>
      </c>
      <c r="C21" s="21">
        <f>+[7]capitulos!B9</f>
        <v>526.96716461000437</v>
      </c>
      <c r="D21" s="24">
        <f>+[7]capitulos!C9</f>
        <v>520.07972937001284</v>
      </c>
      <c r="E21" s="21">
        <f t="shared" si="0"/>
        <v>-1.3069951417350234</v>
      </c>
      <c r="F21" s="21">
        <f t="shared" si="1"/>
        <v>5.4702819455999485</v>
      </c>
      <c r="G21" s="21">
        <f>+[7]capitulos!D9</f>
        <v>130.94616772999953</v>
      </c>
      <c r="H21" s="24">
        <f>+[7]capitulos!E9</f>
        <v>149.70203741999967</v>
      </c>
      <c r="I21" s="21">
        <f t="shared" si="2"/>
        <v>14.323343718369252</v>
      </c>
      <c r="J21" s="21">
        <f t="shared" si="3"/>
        <v>5.863658520416239</v>
      </c>
      <c r="K21" s="16"/>
    </row>
    <row r="22" spans="1:11">
      <c r="A22" s="14"/>
      <c r="B22" s="9" t="str">
        <f>+[7]capitulos!A10</f>
        <v>Lubricantes</v>
      </c>
      <c r="C22" s="21">
        <f>+[7]capitulos!B10</f>
        <v>465.40231331999985</v>
      </c>
      <c r="D22" s="24">
        <f>+[7]capitulos!C10</f>
        <v>498.02923110999978</v>
      </c>
      <c r="E22" s="21">
        <f t="shared" si="0"/>
        <v>7.0104760668790345</v>
      </c>
      <c r="F22" s="21">
        <f t="shared" si="1"/>
        <v>5.2383512709140767</v>
      </c>
      <c r="G22" s="21">
        <f>+[7]capitulos!D10</f>
        <v>111.15522161</v>
      </c>
      <c r="H22" s="24">
        <f>+[7]capitulos!E10</f>
        <v>154.92482589999997</v>
      </c>
      <c r="I22" s="21">
        <f t="shared" si="2"/>
        <v>39.377011404439742</v>
      </c>
      <c r="J22" s="21">
        <f t="shared" si="3"/>
        <v>6.068229204281856</v>
      </c>
      <c r="K22" s="16"/>
    </row>
    <row r="23" spans="1:11">
      <c r="A23" s="14"/>
      <c r="B23" s="9" t="str">
        <f>+[7]capitulos!A11</f>
        <v>Farmacéuticos</v>
      </c>
      <c r="C23" s="21">
        <f>+[7]capitulos!B11</f>
        <v>399.01228708000099</v>
      </c>
      <c r="D23" s="24">
        <f>+[7]capitulos!C11</f>
        <v>488.55427713000006</v>
      </c>
      <c r="E23" s="21">
        <f t="shared" si="0"/>
        <v>22.440910455483333</v>
      </c>
      <c r="F23" s="21">
        <f t="shared" si="1"/>
        <v>5.1386921864214612</v>
      </c>
      <c r="G23" s="21">
        <f>+[7]capitulos!D11</f>
        <v>106.60023691000021</v>
      </c>
      <c r="H23" s="24">
        <f>+[7]capitulos!E11</f>
        <v>150.71194518999974</v>
      </c>
      <c r="I23" s="21">
        <f t="shared" si="2"/>
        <v>41.380497416006577</v>
      </c>
      <c r="J23" s="21">
        <f t="shared" si="3"/>
        <v>5.9032154590020616</v>
      </c>
      <c r="K23" s="16"/>
    </row>
    <row r="24" spans="1:11">
      <c r="A24" s="14"/>
      <c r="B24" s="9" t="str">
        <f>+[7]capitulos!A12</f>
        <v>Partes equipo de transporte</v>
      </c>
      <c r="C24" s="21">
        <f>+[7]capitulos!B12</f>
        <v>414.56252077000528</v>
      </c>
      <c r="D24" s="24">
        <f>+[7]capitulos!C12</f>
        <v>371.50281484000129</v>
      </c>
      <c r="E24" s="21">
        <f t="shared" si="0"/>
        <v>-10.386782155324903</v>
      </c>
      <c r="F24" s="21">
        <f t="shared" si="1"/>
        <v>3.9075261464631796</v>
      </c>
      <c r="G24" s="21">
        <f>+[7]capitulos!D12</f>
        <v>86.746970590000103</v>
      </c>
      <c r="H24" s="24">
        <f>+[7]capitulos!E12</f>
        <v>110.67079670999995</v>
      </c>
      <c r="I24" s="21">
        <f t="shared" si="2"/>
        <v>27.578860630272771</v>
      </c>
      <c r="J24" s="21">
        <f t="shared" si="3"/>
        <v>4.33484921964829</v>
      </c>
      <c r="K24" s="16"/>
    </row>
    <row r="25" spans="1:11">
      <c r="A25" s="14"/>
      <c r="B25" s="9" t="str">
        <f>+[7]capitulos!A13</f>
        <v>Agropecuarios no alimenticios</v>
      </c>
      <c r="C25" s="21">
        <f>+[7]capitulos!B13</f>
        <v>274.30947707000013</v>
      </c>
      <c r="D25" s="24">
        <f>+[7]capitulos!C13</f>
        <v>243.43753642000036</v>
      </c>
      <c r="E25" s="21">
        <f t="shared" si="0"/>
        <v>-11.254420000269139</v>
      </c>
      <c r="F25" s="21">
        <f t="shared" si="1"/>
        <v>2.5605150232883513</v>
      </c>
      <c r="G25" s="21">
        <f>+[7]capitulos!D13</f>
        <v>64.052689480000012</v>
      </c>
      <c r="H25" s="24">
        <f>+[7]capitulos!E13</f>
        <v>68.637666379999757</v>
      </c>
      <c r="I25" s="21">
        <f t="shared" si="2"/>
        <v>7.1581333074723918</v>
      </c>
      <c r="J25" s="21">
        <f t="shared" si="3"/>
        <v>2.6884593170994777</v>
      </c>
      <c r="K25" s="16"/>
    </row>
    <row r="26" spans="1:11">
      <c r="A26" s="14"/>
      <c r="B26" s="9" t="str">
        <f>+[7]capitulos!A14</f>
        <v>Materiales de construcción</v>
      </c>
      <c r="C26" s="21">
        <f>+[7]capitulos!B14</f>
        <v>255.67848411000023</v>
      </c>
      <c r="D26" s="24">
        <f>+[7]capitulos!C14</f>
        <v>238.03094220000042</v>
      </c>
      <c r="E26" s="21">
        <f t="shared" si="0"/>
        <v>-6.9022397294906224</v>
      </c>
      <c r="F26" s="21">
        <f t="shared" si="1"/>
        <v>2.5036475987788891</v>
      </c>
      <c r="G26" s="21">
        <f>+[7]capitulos!D14</f>
        <v>69.903933190000032</v>
      </c>
      <c r="H26" s="24">
        <f>+[7]capitulos!E14</f>
        <v>72.087714160000004</v>
      </c>
      <c r="I26" s="21">
        <f t="shared" si="2"/>
        <v>3.1239743893443306</v>
      </c>
      <c r="J26" s="21">
        <f t="shared" si="3"/>
        <v>2.8235937642298476</v>
      </c>
      <c r="K26" s="16"/>
    </row>
    <row r="27" spans="1:11">
      <c r="A27" s="14"/>
      <c r="B27" s="9" t="str">
        <f>+[7]capitulos!A15</f>
        <v>Productos alimenticios</v>
      </c>
      <c r="C27" s="21">
        <f>+[7]capitulos!B15</f>
        <v>205.94731354999956</v>
      </c>
      <c r="D27" s="24">
        <f>+[7]capitulos!C15</f>
        <v>203.82537235999982</v>
      </c>
      <c r="E27" s="21">
        <f t="shared" si="0"/>
        <v>-1.0303320560112961</v>
      </c>
      <c r="F27" s="21">
        <f t="shared" si="1"/>
        <v>2.1438679331469102</v>
      </c>
      <c r="G27" s="21">
        <f>+[7]capitulos!D15</f>
        <v>44.523744000000022</v>
      </c>
      <c r="H27" s="24">
        <f>+[7]capitulos!E15</f>
        <v>56.886672569999959</v>
      </c>
      <c r="I27" s="21">
        <f t="shared" si="2"/>
        <v>27.767046207973721</v>
      </c>
      <c r="J27" s="21">
        <f t="shared" si="3"/>
        <v>2.2281862562589678</v>
      </c>
      <c r="K27" s="16"/>
    </row>
    <row r="28" spans="1:11">
      <c r="A28" s="14"/>
      <c r="B28" s="9" t="str">
        <f>+[7]capitulos!A16</f>
        <v>Otros consumo no duradero</v>
      </c>
      <c r="C28" s="21">
        <f>+[7]capitulos!B16</f>
        <v>174.06603443000023</v>
      </c>
      <c r="D28" s="24">
        <f>+[7]capitulos!C16</f>
        <v>191.84796013000013</v>
      </c>
      <c r="E28" s="21">
        <f t="shared" si="0"/>
        <v>10.215620616755539</v>
      </c>
      <c r="F28" s="21">
        <f t="shared" si="1"/>
        <v>2.0178875917170656</v>
      </c>
      <c r="G28" s="21">
        <f>+[7]capitulos!D16</f>
        <v>41.330899049999921</v>
      </c>
      <c r="H28" s="24">
        <f>+[7]capitulos!E16</f>
        <v>49.551655729999858</v>
      </c>
      <c r="I28" s="21">
        <f t="shared" si="2"/>
        <v>19.890098858132511</v>
      </c>
      <c r="J28" s="21">
        <f t="shared" si="3"/>
        <v>1.9408819901814429</v>
      </c>
      <c r="K28" s="16"/>
    </row>
    <row r="29" spans="1:11">
      <c r="A29" s="14"/>
      <c r="B29" s="9" t="str">
        <f>+[7]capitulos!A17</f>
        <v>Objetos de adorno</v>
      </c>
      <c r="C29" s="21">
        <f>+[7]capitulos!B17</f>
        <v>164.23518705000058</v>
      </c>
      <c r="D29" s="24">
        <f>+[7]capitulos!C17</f>
        <v>171.22378486999918</v>
      </c>
      <c r="E29" s="21">
        <f t="shared" si="0"/>
        <v>4.2552378363784893</v>
      </c>
      <c r="F29" s="21">
        <f t="shared" si="1"/>
        <v>1.8009592109391137</v>
      </c>
      <c r="G29" s="21">
        <f>+[7]capitulos!D17</f>
        <v>38.665693680000025</v>
      </c>
      <c r="H29" s="24">
        <f>+[7]capitulos!E17</f>
        <v>48.48070240000002</v>
      </c>
      <c r="I29" s="21">
        <f t="shared" si="2"/>
        <v>25.384281997446333</v>
      </c>
      <c r="J29" s="21">
        <f t="shared" si="3"/>
        <v>1.8989339664494513</v>
      </c>
      <c r="K29" s="16"/>
    </row>
    <row r="30" spans="1:11">
      <c r="A30" s="14"/>
      <c r="B30" s="9" t="str">
        <f>+[7]capitulos!A18</f>
        <v>Aparatos domésticos</v>
      </c>
      <c r="C30" s="21">
        <f>+[7]capitulos!B18</f>
        <v>182.31574578999968</v>
      </c>
      <c r="D30" s="24">
        <f>+[7]capitulos!C18</f>
        <v>166.68311278999954</v>
      </c>
      <c r="E30" s="21">
        <f t="shared" si="0"/>
        <v>-8.5744832034456273</v>
      </c>
      <c r="F30" s="21">
        <f t="shared" si="1"/>
        <v>1.753199694277698</v>
      </c>
      <c r="G30" s="21">
        <f>+[7]capitulos!D18</f>
        <v>41.595229779999933</v>
      </c>
      <c r="H30" s="24">
        <f>+[7]capitulos!E18</f>
        <v>56.392631299999962</v>
      </c>
      <c r="I30" s="21">
        <f t="shared" si="2"/>
        <v>35.574756043576429</v>
      </c>
      <c r="J30" s="21">
        <f t="shared" si="3"/>
        <v>2.2088352216825626</v>
      </c>
      <c r="K30" s="16"/>
    </row>
    <row r="31" spans="1:11">
      <c r="A31" s="14"/>
      <c r="B31" s="9" t="str">
        <f>+[7]capitulos!A19</f>
        <v>Alimentos</v>
      </c>
      <c r="C31" s="21">
        <f>+[7]capitulos!B19</f>
        <v>185.27473333999939</v>
      </c>
      <c r="D31" s="24">
        <f>+[7]capitulos!C19</f>
        <v>163.11934795999977</v>
      </c>
      <c r="E31" s="21">
        <f t="shared" si="0"/>
        <v>-11.958125633537986</v>
      </c>
      <c r="F31" s="21">
        <f t="shared" si="1"/>
        <v>1.7157154446386542</v>
      </c>
      <c r="G31" s="21">
        <f>+[7]capitulos!D19</f>
        <v>39.87571610000002</v>
      </c>
      <c r="H31" s="24">
        <f>+[7]capitulos!E19</f>
        <v>39.82215044000008</v>
      </c>
      <c r="I31" s="21">
        <f t="shared" si="2"/>
        <v>-0.13433153116449992</v>
      </c>
      <c r="J31" s="21">
        <f t="shared" si="3"/>
        <v>1.5597883352361677</v>
      </c>
      <c r="K31" s="16"/>
    </row>
    <row r="32" spans="1:11">
      <c r="A32" s="14"/>
      <c r="B32" s="9" t="str">
        <f>+[7]capitulos!A20</f>
        <v>Vestuario</v>
      </c>
      <c r="C32" s="21">
        <f>+[7]capitulos!B20</f>
        <v>116.51316660000032</v>
      </c>
      <c r="D32" s="24">
        <f>+[7]capitulos!C20</f>
        <v>132.00063568000095</v>
      </c>
      <c r="E32" s="21">
        <f t="shared" si="0"/>
        <v>13.292462587657973</v>
      </c>
      <c r="F32" s="21">
        <f t="shared" si="1"/>
        <v>1.3884038415469531</v>
      </c>
      <c r="G32" s="21">
        <f>+[7]capitulos!D20</f>
        <v>25.998699520000066</v>
      </c>
      <c r="H32" s="24">
        <f>+[7]capitulos!E20</f>
        <v>24.367461459999923</v>
      </c>
      <c r="I32" s="21">
        <f t="shared" si="2"/>
        <v>-6.2743063696139023</v>
      </c>
      <c r="J32" s="21">
        <f t="shared" si="3"/>
        <v>0.95444574752163169</v>
      </c>
      <c r="K32" s="16"/>
    </row>
    <row r="33" spans="1:11">
      <c r="A33" s="14"/>
      <c r="B33" s="9" t="str">
        <f>+[7]capitulos!A21</f>
        <v>Partes maquinaria industrial</v>
      </c>
      <c r="C33" s="21">
        <f>+[7]capitulos!B21</f>
        <v>116.04081346999966</v>
      </c>
      <c r="D33" s="24">
        <f>+[7]capitulos!C21</f>
        <v>129.93023509000054</v>
      </c>
      <c r="E33" s="21">
        <f t="shared" si="0"/>
        <v>11.969428000943605</v>
      </c>
      <c r="F33" s="21">
        <f t="shared" si="1"/>
        <v>1.3666270363225737</v>
      </c>
      <c r="G33" s="21">
        <f>+[7]capitulos!D21</f>
        <v>25.768904060000025</v>
      </c>
      <c r="H33" s="24">
        <f>+[7]capitulos!E21</f>
        <v>33.832901200000087</v>
      </c>
      <c r="I33" s="21">
        <f t="shared" si="2"/>
        <v>31.293519977504445</v>
      </c>
      <c r="J33" s="21">
        <f t="shared" si="3"/>
        <v>1.3251962552466758</v>
      </c>
      <c r="K33" s="16"/>
    </row>
    <row r="34" spans="1:11">
      <c r="A34" s="14"/>
      <c r="B34" s="9" t="str">
        <f>+[7]capitulos!A22</f>
        <v>Materias primas agricultura</v>
      </c>
      <c r="C34" s="21">
        <f>+[7]capitulos!B22</f>
        <v>88.646772310000003</v>
      </c>
      <c r="D34" s="24">
        <f>+[7]capitulos!C22</f>
        <v>88.993459620000067</v>
      </c>
      <c r="E34" s="21">
        <f t="shared" si="0"/>
        <v>0.39108847504079058</v>
      </c>
      <c r="F34" s="21">
        <f t="shared" si="1"/>
        <v>0.93604747107806396</v>
      </c>
      <c r="G34" s="21">
        <f>+[7]capitulos!D22</f>
        <v>22.349317119999988</v>
      </c>
      <c r="H34" s="24">
        <f>+[7]capitulos!E22</f>
        <v>28.389197760000005</v>
      </c>
      <c r="I34" s="21">
        <f t="shared" si="2"/>
        <v>27.024900168403974</v>
      </c>
      <c r="J34" s="21">
        <f t="shared" si="3"/>
        <v>1.1119725836875387</v>
      </c>
      <c r="K34" s="16"/>
    </row>
    <row r="35" spans="1:11">
      <c r="A35" s="14"/>
      <c r="B35" s="9" t="str">
        <f>+[7]capitulos!A23</f>
        <v>Muebles</v>
      </c>
      <c r="C35" s="21">
        <f>+[7]capitulos!B23</f>
        <v>84.031561170000316</v>
      </c>
      <c r="D35" s="24">
        <f>+[7]capitulos!C23</f>
        <v>84.243868689999928</v>
      </c>
      <c r="E35" s="21">
        <f t="shared" si="0"/>
        <v>0.25265211908904739</v>
      </c>
      <c r="F35" s="21">
        <f t="shared" si="1"/>
        <v>0.88609051246935733</v>
      </c>
      <c r="G35" s="21">
        <f>+[7]capitulos!D23</f>
        <v>20.039876380000013</v>
      </c>
      <c r="H35" s="24">
        <f>+[7]capitulos!E23</f>
        <v>20.54801410000001</v>
      </c>
      <c r="I35" s="21">
        <f t="shared" si="2"/>
        <v>2.5356330067341393</v>
      </c>
      <c r="J35" s="21">
        <f t="shared" si="3"/>
        <v>0.80484233903286539</v>
      </c>
      <c r="K35" s="16"/>
    </row>
    <row r="36" spans="1:11">
      <c r="A36" s="14"/>
      <c r="B36" s="9" t="str">
        <f>+[7]capitulos!A24</f>
        <v>Alimentos para animales</v>
      </c>
      <c r="C36" s="21">
        <f>+[7]capitulos!B24</f>
        <v>36.032701879999983</v>
      </c>
      <c r="D36" s="24">
        <f>+[7]capitulos!C24</f>
        <v>70.445380299999954</v>
      </c>
      <c r="E36" s="21">
        <f t="shared" si="0"/>
        <v>95.504018917606601</v>
      </c>
      <c r="F36" s="21">
        <f t="shared" si="1"/>
        <v>0.74095580012857776</v>
      </c>
      <c r="G36" s="21">
        <f>+[7]capitulos!D24</f>
        <v>10.624831890000005</v>
      </c>
      <c r="H36" s="24">
        <f>+[7]capitulos!E24</f>
        <v>20.527763969999999</v>
      </c>
      <c r="I36" s="21">
        <f t="shared" si="2"/>
        <v>93.20554134433452</v>
      </c>
      <c r="J36" s="21">
        <f t="shared" si="3"/>
        <v>0.80404916447518737</v>
      </c>
      <c r="K36" s="16"/>
    </row>
    <row r="37" spans="1:11">
      <c r="A37" s="14"/>
      <c r="B37" s="9" t="str">
        <f>+[7]capitulos!A25</f>
        <v>Herramientas</v>
      </c>
      <c r="C37" s="21">
        <f>+[7]capitulos!B25</f>
        <v>55.146963859999872</v>
      </c>
      <c r="D37" s="24">
        <f>+[7]capitulos!C25</f>
        <v>51.197380819999758</v>
      </c>
      <c r="E37" s="21">
        <f t="shared" si="0"/>
        <v>-7.1619229120696737</v>
      </c>
      <c r="F37" s="21">
        <f t="shared" si="1"/>
        <v>0.53850225676147634</v>
      </c>
      <c r="G37" s="21">
        <f>+[7]capitulos!D25</f>
        <v>13.342903769999966</v>
      </c>
      <c r="H37" s="24">
        <f>+[7]capitulos!E25</f>
        <v>15.200049780000031</v>
      </c>
      <c r="I37" s="21">
        <f t="shared" si="2"/>
        <v>13.918604540757107</v>
      </c>
      <c r="J37" s="21">
        <f t="shared" si="3"/>
        <v>0.59536865990135801</v>
      </c>
      <c r="K37" s="16"/>
    </row>
    <row r="38" spans="1:11">
      <c r="A38" s="14"/>
      <c r="B38" s="9" t="str">
        <f>+[7]capitulos!A26</f>
        <v>Utensilios domésticos</v>
      </c>
      <c r="C38" s="21">
        <f>+[7]capitulos!B26</f>
        <v>27.542322629999941</v>
      </c>
      <c r="D38" s="24">
        <f>+[7]capitulos!C26</f>
        <v>36.44749125000002</v>
      </c>
      <c r="E38" s="21">
        <f t="shared" si="0"/>
        <v>32.332671211614873</v>
      </c>
      <c r="F38" s="21">
        <f t="shared" si="1"/>
        <v>0.38336055433038974</v>
      </c>
      <c r="G38" s="21">
        <f>+[7]capitulos!D26</f>
        <v>7.3486914200000006</v>
      </c>
      <c r="H38" s="24">
        <f>+[7]capitulos!E26</f>
        <v>11.62330065000001</v>
      </c>
      <c r="I38" s="21">
        <f t="shared" si="2"/>
        <v>58.168304881687469</v>
      </c>
      <c r="J38" s="21">
        <f t="shared" si="3"/>
        <v>0.45527146501365445</v>
      </c>
      <c r="K38" s="16"/>
    </row>
    <row r="39" spans="1:11">
      <c r="A39" s="14"/>
      <c r="B39" s="9" t="str">
        <f>+[7]capitulos!A27</f>
        <v>Bebidas</v>
      </c>
      <c r="C39" s="21">
        <f>+[7]capitulos!B27</f>
        <v>19.633321930000008</v>
      </c>
      <c r="D39" s="24">
        <f>+[7]capitulos!C27</f>
        <v>23.768921729999992</v>
      </c>
      <c r="E39" s="21">
        <f t="shared" si="0"/>
        <v>21.064187786177555</v>
      </c>
      <c r="F39" s="21">
        <f t="shared" si="1"/>
        <v>0.25000532815131515</v>
      </c>
      <c r="G39" s="21">
        <f>+[7]capitulos!D27</f>
        <v>3.7706888399999978</v>
      </c>
      <c r="H39" s="24">
        <f>+[7]capitulos!E27</f>
        <v>7.9988537499999968</v>
      </c>
      <c r="I39" s="21">
        <f t="shared" si="2"/>
        <v>112.13242697586261</v>
      </c>
      <c r="J39" s="21">
        <f t="shared" si="3"/>
        <v>0.31330600273102793</v>
      </c>
      <c r="K39" s="16"/>
    </row>
    <row r="40" spans="1:11">
      <c r="A40" s="14"/>
      <c r="B40" s="9" t="str">
        <f>+[7]capitulos!A28</f>
        <v>Armas y equipo militar</v>
      </c>
      <c r="C40" s="21">
        <f>+[7]capitulos!B28</f>
        <v>26.904754349999997</v>
      </c>
      <c r="D40" s="24">
        <f>+[7]capitulos!C28</f>
        <v>15.82333744</v>
      </c>
      <c r="E40" s="21">
        <f t="shared" si="0"/>
        <v>-41.18757884143254</v>
      </c>
      <c r="F40" s="21">
        <f t="shared" si="1"/>
        <v>0.16643239916698538</v>
      </c>
      <c r="G40" s="21">
        <f>+[7]capitulos!D28</f>
        <v>7.2212313299999993</v>
      </c>
      <c r="H40" s="24">
        <f>+[7]capitulos!E28</f>
        <v>6.0949154299999995</v>
      </c>
      <c r="I40" s="21">
        <f t="shared" si="2"/>
        <v>-15.59728318522099</v>
      </c>
      <c r="J40" s="21">
        <f t="shared" si="3"/>
        <v>0.23873090445702488</v>
      </c>
      <c r="K40" s="16"/>
    </row>
    <row r="41" spans="1:11">
      <c r="A41" s="14"/>
      <c r="B41" s="9" t="str">
        <f>+[7]capitulos!A29</f>
        <v>Material de transporte</v>
      </c>
      <c r="C41" s="21">
        <f>+[7]capitulos!B29</f>
        <v>17.910695769999997</v>
      </c>
      <c r="D41" s="24">
        <f>+[7]capitulos!C29</f>
        <v>15.148959930000002</v>
      </c>
      <c r="E41" s="21">
        <f t="shared" si="0"/>
        <v>-15.419478257376461</v>
      </c>
      <c r="F41" s="21">
        <f t="shared" si="1"/>
        <v>0.15933918843573794</v>
      </c>
      <c r="G41" s="21">
        <f>+[7]capitulos!D29</f>
        <v>4.5600378500000005</v>
      </c>
      <c r="H41" s="24">
        <f>+[7]capitulos!E29</f>
        <v>5.1235450000000018</v>
      </c>
      <c r="I41" s="21">
        <f t="shared" si="2"/>
        <v>12.357510365840518</v>
      </c>
      <c r="J41" s="21">
        <f t="shared" si="3"/>
        <v>0.20068342964297176</v>
      </c>
      <c r="K41" s="16"/>
    </row>
    <row r="42" spans="1:11">
      <c r="A42" s="14"/>
      <c r="B42" s="9" t="str">
        <f>+[7]capitulos!A30</f>
        <v>Máquinas y herramientas</v>
      </c>
      <c r="C42" s="21">
        <f>+[7]capitulos!B30</f>
        <v>8.3102360600000011</v>
      </c>
      <c r="D42" s="24">
        <f>+[7]capitulos!C30</f>
        <v>10.628689700000008</v>
      </c>
      <c r="E42" s="21">
        <f t="shared" si="0"/>
        <v>27.898769941801227</v>
      </c>
      <c r="F42" s="21">
        <f t="shared" si="1"/>
        <v>0.11179426170237999</v>
      </c>
      <c r="G42" s="21">
        <f>+[7]capitulos!D30</f>
        <v>1.7922771100000001</v>
      </c>
      <c r="H42" s="24">
        <f>+[7]capitulos!E30</f>
        <v>3.8006457300000003</v>
      </c>
      <c r="I42" s="21">
        <f t="shared" si="2"/>
        <v>112.05681358057404</v>
      </c>
      <c r="J42" s="21">
        <f t="shared" si="3"/>
        <v>0.14886697002843066</v>
      </c>
      <c r="K42" s="16"/>
    </row>
    <row r="43" spans="1:11">
      <c r="A43" s="14"/>
      <c r="B43" s="9" t="str">
        <f>+[7]capitulos!A31</f>
        <v>Equipo fijo de transporte</v>
      </c>
      <c r="C43" s="21">
        <f>+[7]capitulos!B31</f>
        <v>8.4213293699999987</v>
      </c>
      <c r="D43" s="24">
        <f>+[7]capitulos!C31</f>
        <v>10.423582179999999</v>
      </c>
      <c r="E43" s="21">
        <f t="shared" si="0"/>
        <v>23.775970776452372</v>
      </c>
      <c r="F43" s="21">
        <f t="shared" si="1"/>
        <v>0.10963690793486834</v>
      </c>
      <c r="G43" s="21">
        <f>+[7]capitulos!D31</f>
        <v>1.5933898400000004</v>
      </c>
      <c r="H43" s="24">
        <f>+[7]capitulos!E31</f>
        <v>2.7692460299999992</v>
      </c>
      <c r="I43" s="21">
        <f t="shared" si="2"/>
        <v>73.795888519033028</v>
      </c>
      <c r="J43" s="21">
        <f t="shared" si="3"/>
        <v>0.10846821699147438</v>
      </c>
      <c r="K43" s="16"/>
    </row>
    <row r="44" spans="1:11">
      <c r="A44" s="14"/>
      <c r="B44" s="9" t="str">
        <f>+[7]capitulos!A32</f>
        <v>Bienes no clasificados</v>
      </c>
      <c r="C44" s="21">
        <f>+[7]capitulos!B32</f>
        <v>10.559319419999991</v>
      </c>
      <c r="D44" s="24">
        <f>+[7]capitulos!C32</f>
        <v>9.7436164799999911</v>
      </c>
      <c r="E44" s="21">
        <f t="shared" si="0"/>
        <v>-7.7249575238249601</v>
      </c>
      <c r="F44" s="21">
        <f t="shared" si="1"/>
        <v>0.10248491972559334</v>
      </c>
      <c r="G44" s="21">
        <f>+[7]capitulos!D32</f>
        <v>2.0041450100000007</v>
      </c>
      <c r="H44" s="24">
        <f>+[7]capitulos!E32</f>
        <v>2.3681786899999997</v>
      </c>
      <c r="I44" s="21">
        <f t="shared" si="2"/>
        <v>18.164038938479756</v>
      </c>
      <c r="J44" s="21">
        <f t="shared" si="3"/>
        <v>9.2758865495784618E-2</v>
      </c>
      <c r="K44" s="16"/>
    </row>
    <row r="45" spans="1:11">
      <c r="A45" s="14"/>
      <c r="B45" s="9" t="str">
        <f>+[7]capitulos!A33</f>
        <v>Tabaco</v>
      </c>
      <c r="C45" s="21">
        <f>+[7]capitulos!B33</f>
        <v>7.1769391600000016</v>
      </c>
      <c r="D45" s="24">
        <f>+[7]capitulos!C33</f>
        <v>6.3863406400000002</v>
      </c>
      <c r="E45" s="21">
        <f t="shared" si="0"/>
        <v>-11.015817500673942</v>
      </c>
      <c r="F45" s="21">
        <f t="shared" si="1"/>
        <v>6.7172554376924223E-2</v>
      </c>
      <c r="G45" s="21">
        <f>+[7]capitulos!D33</f>
        <v>2.9910703200000013</v>
      </c>
      <c r="H45" s="24">
        <f>+[7]capitulos!E33</f>
        <v>1.5039295399999999</v>
      </c>
      <c r="I45" s="21">
        <f t="shared" si="2"/>
        <v>-49.71935196762611</v>
      </c>
      <c r="J45" s="21">
        <f t="shared" si="3"/>
        <v>5.8907209369406674E-2</v>
      </c>
      <c r="K45" s="16"/>
    </row>
    <row r="46" spans="1:11">
      <c r="A46" s="14"/>
      <c r="B46" s="9" t="str">
        <f>+[7]capitulos!A34</f>
        <v>Equipo para la agricultura</v>
      </c>
      <c r="C46" s="21">
        <f>+[7]capitulos!B34</f>
        <v>0.51213087999999973</v>
      </c>
      <c r="D46" s="24">
        <f>+[7]capitulos!C34</f>
        <v>0.27808525999999995</v>
      </c>
      <c r="E46" s="21">
        <f t="shared" si="0"/>
        <v>-45.700353003513463</v>
      </c>
      <c r="F46" s="21">
        <f t="shared" si="1"/>
        <v>2.9249453328206911E-3</v>
      </c>
      <c r="G46" s="21">
        <f>+[7]capitulos!D34</f>
        <v>7.9067390000000001E-2</v>
      </c>
      <c r="H46" s="24">
        <f>+[7]capitulos!E34</f>
        <v>7.4553060000000004E-2</v>
      </c>
      <c r="I46" s="21">
        <f t="shared" si="2"/>
        <v>-5.7094713762525835</v>
      </c>
      <c r="J46" s="21">
        <f t="shared" si="3"/>
        <v>2.9201585564639812E-3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62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2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/>
      <c r="B14" s="9" t="str">
        <f>+[7]Subpartida!J2</f>
        <v>Gasóleo</v>
      </c>
      <c r="C14" s="21">
        <f>+[7]Subpartida!C2/1000000</f>
        <v>440.90440447000003</v>
      </c>
      <c r="D14" s="24">
        <f>+[7]Subpartida!G2/1000000</f>
        <v>770.96555981000006</v>
      </c>
      <c r="E14" s="21">
        <f t="shared" ref="E14:E33" si="0">IF(OR(OR(D14=0,C14=0),D14=""),"",(D14/C14-1)*100)</f>
        <v>74.860026798044373</v>
      </c>
      <c r="F14" s="21">
        <f t="shared" ref="F14:F33" si="1">(D14/D$13)*100</f>
        <v>8.1091393191129644</v>
      </c>
      <c r="G14" s="21">
        <f>+[7]Subpartida!D2/1000000</f>
        <v>92.101749010000006</v>
      </c>
      <c r="H14" s="24">
        <f>+[7]Subpartida!H2/1000000</f>
        <v>109.40036995</v>
      </c>
      <c r="I14" s="21">
        <f t="shared" ref="I14:I33" si="2">IF(OR(OR(H14=0,G14=0),H14=""),"",(H14/G14-1)*100)</f>
        <v>18.782076481654862</v>
      </c>
      <c r="J14" s="21">
        <f>(H14/H$13)*100</f>
        <v>4.2850880485632308</v>
      </c>
      <c r="K14" s="16"/>
    </row>
    <row r="15" spans="1:14">
      <c r="A15" s="14"/>
      <c r="B15" s="9" t="str">
        <f>+[7]Subpartida!J3</f>
        <v>Aviones &gt; 15 mil Kg</v>
      </c>
      <c r="C15" s="21">
        <f>+[7]Subpartida!C3/1000000</f>
        <v>108.30265367</v>
      </c>
      <c r="D15" s="24">
        <f>+[7]Subpartida!G3/1000000</f>
        <v>486.23581060000004</v>
      </c>
      <c r="E15" s="21">
        <f t="shared" si="0"/>
        <v>348.96020007189179</v>
      </c>
      <c r="F15" s="21">
        <f t="shared" si="1"/>
        <v>5.1143061838831585</v>
      </c>
      <c r="G15" s="21">
        <f>+[7]Subpartida!D3/1000000</f>
        <v>39.669671139999998</v>
      </c>
      <c r="H15" s="24">
        <f>+[7]Subpartida!H3/1000000</f>
        <v>79.571002500000006</v>
      </c>
      <c r="I15" s="21">
        <f t="shared" si="2"/>
        <v>100.58397312945311</v>
      </c>
      <c r="J15" s="21">
        <f t="shared" ref="J15:J33" si="3">(H15/H$13)*100</f>
        <v>3.1167056563042728</v>
      </c>
      <c r="K15" s="16"/>
      <c r="N15" s="96"/>
    </row>
    <row r="16" spans="1:14">
      <c r="A16" s="14"/>
      <c r="B16" s="9" t="str">
        <f>+[7]Subpartida!J4</f>
        <v>Aceites livianos</v>
      </c>
      <c r="C16" s="21">
        <f>+[7]Subpartida!C4/1000000</f>
        <v>417.1228137299999</v>
      </c>
      <c r="D16" s="24">
        <f>+[7]Subpartida!G4/1000000</f>
        <v>464.18940781999987</v>
      </c>
      <c r="E16" s="21">
        <f t="shared" si="0"/>
        <v>11.283629794573113</v>
      </c>
      <c r="F16" s="21">
        <f t="shared" si="1"/>
        <v>4.8824185861124363</v>
      </c>
      <c r="G16" s="21">
        <f>+[7]Subpartida!D4/1000000</f>
        <v>97.932131739999988</v>
      </c>
      <c r="H16" s="24">
        <f>+[7]Subpartida!H4/1000000</f>
        <v>143.09294881</v>
      </c>
      <c r="I16" s="21">
        <f t="shared" si="2"/>
        <v>46.114402155461562</v>
      </c>
      <c r="J16" s="21">
        <f t="shared" si="3"/>
        <v>5.6047880373680687</v>
      </c>
      <c r="K16" s="16"/>
    </row>
    <row r="17" spans="1:11">
      <c r="A17" s="14"/>
      <c r="B17" s="9" t="str">
        <f>+[7]Subpartida!J5</f>
        <v>Teléfonos móviles</v>
      </c>
      <c r="C17" s="21">
        <f>+[7]Subpartida!C5/1000000</f>
        <v>348.12440446999938</v>
      </c>
      <c r="D17" s="24">
        <f>+[7]Subpartida!G5/1000000</f>
        <v>415.07302216000016</v>
      </c>
      <c r="E17" s="21">
        <f t="shared" si="0"/>
        <v>19.231233671171786</v>
      </c>
      <c r="F17" s="21">
        <f t="shared" si="1"/>
        <v>4.3658045699605648</v>
      </c>
      <c r="G17" s="21">
        <f>+[7]Subpartida!D5/1000000</f>
        <v>102.78884258000004</v>
      </c>
      <c r="H17" s="24">
        <f>+[7]Subpartida!H5/1000000</f>
        <v>103.72163554999996</v>
      </c>
      <c r="I17" s="21">
        <f t="shared" si="2"/>
        <v>0.90748465162835412</v>
      </c>
      <c r="J17" s="21">
        <f t="shared" si="3"/>
        <v>4.0626584816474471</v>
      </c>
      <c r="K17" s="16"/>
    </row>
    <row r="18" spans="1:11">
      <c r="A18" s="14"/>
      <c r="B18" s="9" t="str">
        <f>+[7]Subpartida!J6</f>
        <v>Vehículos 1.500 y 3.000 cm3</v>
      </c>
      <c r="C18" s="21">
        <f>+[7]Subpartida!C6/1000000</f>
        <v>275.52026183999993</v>
      </c>
      <c r="D18" s="24">
        <f>+[7]Subpartida!G6/1000000</f>
        <v>287.29978284000049</v>
      </c>
      <c r="E18" s="21">
        <f t="shared" si="0"/>
        <v>4.275373767915891</v>
      </c>
      <c r="F18" s="21">
        <f t="shared" si="1"/>
        <v>3.0218651608440434</v>
      </c>
      <c r="G18" s="21">
        <f>+[7]Subpartida!D6/1000000</f>
        <v>81.748512029999986</v>
      </c>
      <c r="H18" s="24">
        <f>+[7]Subpartida!H6/1000000</f>
        <v>80.590154989999945</v>
      </c>
      <c r="I18" s="21">
        <f t="shared" si="2"/>
        <v>-1.4169762986939172</v>
      </c>
      <c r="J18" s="21">
        <f t="shared" si="3"/>
        <v>3.1566247000566676</v>
      </c>
      <c r="K18" s="16"/>
    </row>
    <row r="19" spans="1:11">
      <c r="A19" s="14"/>
      <c r="B19" s="9" t="str">
        <f>+[7]Subpartida!J7</f>
        <v>Helicopteros &gt; 2000 kg</v>
      </c>
      <c r="C19" s="21">
        <f>+[7]Subpartida!C7/1000000</f>
        <v>10.27732125</v>
      </c>
      <c r="D19" s="24">
        <f>+[7]Subpartida!G7/1000000</f>
        <v>257.30470309999998</v>
      </c>
      <c r="E19" s="21">
        <f t="shared" si="0"/>
        <v>2403.6164272864389</v>
      </c>
      <c r="F19" s="21">
        <f t="shared" si="1"/>
        <v>2.7063721048902725</v>
      </c>
      <c r="G19" s="21">
        <f>+[7]Subpartida!D7/1000000</f>
        <v>0</v>
      </c>
      <c r="H19" s="24">
        <f>+[7]Subpartida!H7/1000000</f>
        <v>16.782058500000002</v>
      </c>
      <c r="I19" s="21" t="str">
        <f t="shared" si="2"/>
        <v/>
      </c>
      <c r="J19" s="21">
        <f t="shared" si="3"/>
        <v>0.65733414193668349</v>
      </c>
      <c r="K19" s="16"/>
    </row>
    <row r="20" spans="1:11">
      <c r="A20" s="14"/>
      <c r="B20" s="9" t="str">
        <f>+[7]Subpartida!J8</f>
        <v>Portátiles</v>
      </c>
      <c r="C20" s="21">
        <f>+[7]Subpartida!C8/1000000</f>
        <v>166.84400148999984</v>
      </c>
      <c r="D20" s="24">
        <f>+[7]Subpartida!G8/1000000</f>
        <v>231.72344485999977</v>
      </c>
      <c r="E20" s="21">
        <f t="shared" si="0"/>
        <v>38.886290661093149</v>
      </c>
      <c r="F20" s="21">
        <f t="shared" si="1"/>
        <v>2.4373043308674083</v>
      </c>
      <c r="G20" s="21">
        <f>+[7]Subpartida!D8/1000000</f>
        <v>43.087299130000034</v>
      </c>
      <c r="H20" s="24">
        <f>+[7]Subpartida!H8/1000000</f>
        <v>71.410487480000029</v>
      </c>
      <c r="I20" s="21">
        <f t="shared" si="2"/>
        <v>65.734425043781968</v>
      </c>
      <c r="J20" s="21">
        <f t="shared" si="3"/>
        <v>2.7970675655162385</v>
      </c>
      <c r="K20" s="16"/>
    </row>
    <row r="21" spans="1:11">
      <c r="A21" s="14"/>
      <c r="B21" s="9" t="str">
        <f>+[7]Subpartida!J9</f>
        <v>Medicamentos uso humano</v>
      </c>
      <c r="C21" s="21">
        <f>+[7]Subpartida!C9/1000000</f>
        <v>168.92321371000045</v>
      </c>
      <c r="D21" s="24">
        <f>+[7]Subpartida!G9/1000000</f>
        <v>211.18266857999964</v>
      </c>
      <c r="E21" s="21">
        <f t="shared" si="0"/>
        <v>25.016961222717594</v>
      </c>
      <c r="F21" s="21">
        <f t="shared" si="1"/>
        <v>2.2212531539272842</v>
      </c>
      <c r="G21" s="21">
        <f>+[7]Subpartida!D9/1000000</f>
        <v>45.84961406999998</v>
      </c>
      <c r="H21" s="24">
        <f>+[7]Subpartida!H9/1000000</f>
        <v>65.408485719999987</v>
      </c>
      <c r="I21" s="21">
        <f t="shared" si="2"/>
        <v>42.658748708634484</v>
      </c>
      <c r="J21" s="21">
        <f t="shared" si="3"/>
        <v>2.5619759838242731</v>
      </c>
      <c r="K21" s="16"/>
    </row>
    <row r="22" spans="1:11">
      <c r="A22" s="14"/>
      <c r="B22" s="9" t="str">
        <f>+[7]Subpartida!J10</f>
        <v>Aparatos de telecomunicación</v>
      </c>
      <c r="C22" s="21">
        <f>+[7]Subpartida!C10/1000000</f>
        <v>148.67860874000024</v>
      </c>
      <c r="D22" s="24">
        <f>+[7]Subpartida!G10/1000000</f>
        <v>124.71150476000008</v>
      </c>
      <c r="E22" s="21">
        <f t="shared" si="0"/>
        <v>-16.120075499167687</v>
      </c>
      <c r="F22" s="21">
        <f t="shared" si="1"/>
        <v>1.3117355943166773</v>
      </c>
      <c r="G22" s="21">
        <f>+[7]Subpartida!D10/1000000</f>
        <v>45.448784560000085</v>
      </c>
      <c r="H22" s="24">
        <f>+[7]Subpartida!H10/1000000</f>
        <v>40.203780230000042</v>
      </c>
      <c r="I22" s="21">
        <f t="shared" si="2"/>
        <v>-11.540472161748905</v>
      </c>
      <c r="J22" s="21">
        <f t="shared" si="3"/>
        <v>1.5747363400084726</v>
      </c>
      <c r="K22" s="16"/>
    </row>
    <row r="23" spans="1:11">
      <c r="A23" s="14"/>
      <c r="B23" s="9" t="str">
        <f>+[7]Subpartida!J11</f>
        <v>Vehículos 1.000 y 1.500 cm3</v>
      </c>
      <c r="C23" s="21">
        <f>+[7]Subpartida!C11/1000000</f>
        <v>69.300897090000021</v>
      </c>
      <c r="D23" s="24">
        <f>+[7]Subpartida!G11/1000000</f>
        <v>115.53216170999994</v>
      </c>
      <c r="E23" s="21">
        <f t="shared" ref="E23:E24" si="4">IF(OR(OR(D23=0,C23=0),D23=""),"",(D23/C23-1)*100)</f>
        <v>66.710917984164155</v>
      </c>
      <c r="F23" s="21">
        <f t="shared" ref="F23:F24" si="5">(D23/D$13)*100</f>
        <v>1.2151857929627401</v>
      </c>
      <c r="G23" s="21">
        <f>+[7]Subpartida!D11/1000000</f>
        <v>16.783124259999994</v>
      </c>
      <c r="H23" s="24">
        <f>+[7]Subpartida!H11/1000000</f>
        <v>27.957245590000007</v>
      </c>
      <c r="I23" s="21">
        <f t="shared" ref="I23:I24" si="6">IF(OR(OR(H23=0,G23=0),H23=""),"",(H23/G23-1)*100)</f>
        <v>66.57950663352841</v>
      </c>
      <c r="J23" s="21">
        <f t="shared" ref="J23:J24" si="7">(H23/H$13)*100</f>
        <v>1.09505350853209</v>
      </c>
      <c r="K23" s="16"/>
    </row>
    <row r="24" spans="1:11">
      <c r="A24" s="14"/>
      <c r="B24" s="9" t="str">
        <f>+[7]Subpartida!J12</f>
        <v>Gasolinas sin tetraetilo</v>
      </c>
      <c r="C24" s="21">
        <f>+[7]Subpartida!C12/1000000</f>
        <v>57.923393489999995</v>
      </c>
      <c r="D24" s="24">
        <f>+[7]Subpartida!G12/1000000</f>
        <v>105.31217742</v>
      </c>
      <c r="E24" s="21">
        <f t="shared" si="4"/>
        <v>81.812858457923895</v>
      </c>
      <c r="F24" s="21">
        <f t="shared" si="5"/>
        <v>1.1076903602650987</v>
      </c>
      <c r="G24" s="21">
        <f>+[7]Subpartida!D12/1000000</f>
        <v>3.6413419999999995E-2</v>
      </c>
      <c r="H24" s="24">
        <f>+[7]Subpartida!H12/1000000</f>
        <v>27.922753289999999</v>
      </c>
      <c r="I24" s="21">
        <f t="shared" si="6"/>
        <v>76582.589248689095</v>
      </c>
      <c r="J24" s="21">
        <f t="shared" si="7"/>
        <v>1.09370248437591</v>
      </c>
      <c r="K24" s="16"/>
    </row>
    <row r="25" spans="1:11">
      <c r="A25" s="14"/>
      <c r="B25" s="9" t="str">
        <f>+[7]Subpartida!J13</f>
        <v>Máquinas procesamiento de datos</v>
      </c>
      <c r="C25" s="21">
        <f>+[7]Subpartida!C13/1000000</f>
        <v>105.65855044999988</v>
      </c>
      <c r="D25" s="24">
        <f>+[7]Subpartida!G13/1000000</f>
        <v>80.717808040000207</v>
      </c>
      <c r="E25" s="21">
        <f t="shared" ref="E25:E26" si="8">IF(OR(OR(D25=0,C25=0),D25=""),"",(D25/C25-1)*100)</f>
        <v>-23.605039349657009</v>
      </c>
      <c r="F25" s="21">
        <f t="shared" ref="F25:F26" si="9">(D25/D$13)*100</f>
        <v>0.84900284143832394</v>
      </c>
      <c r="G25" s="21">
        <f>+[7]Subpartida!D13/1000000</f>
        <v>30.388257999999997</v>
      </c>
      <c r="H25" s="24">
        <f>+[7]Subpartida!H13/1000000</f>
        <v>21.119283259999992</v>
      </c>
      <c r="I25" s="21">
        <f t="shared" ref="I25:I26" si="10">IF(OR(OR(H25=0,G25=0),H25=""),"",(H25/G25-1)*100)</f>
        <v>-30.501829818609561</v>
      </c>
      <c r="J25" s="21">
        <f t="shared" ref="J25:J26" si="11">(H25/H$13)*100</f>
        <v>0.82721830221422832</v>
      </c>
      <c r="K25" s="16"/>
    </row>
    <row r="26" spans="1:11">
      <c r="A26" s="14"/>
      <c r="B26" s="9" t="str">
        <f>+[7]Subpartida!J14</f>
        <v>Productos inmunológicos</v>
      </c>
      <c r="C26" s="21">
        <f>+[7]Subpartida!C14/1000000</f>
        <v>28.163074789999992</v>
      </c>
      <c r="D26" s="24">
        <f>+[7]Subpartida!G14/1000000</f>
        <v>72.897647440000057</v>
      </c>
      <c r="E26" s="21">
        <f t="shared" si="8"/>
        <v>158.84122377817991</v>
      </c>
      <c r="F26" s="21">
        <f t="shared" si="9"/>
        <v>0.76674913892680396</v>
      </c>
      <c r="G26" s="21">
        <f>+[7]Subpartida!D14/1000000</f>
        <v>6.157767999999999</v>
      </c>
      <c r="H26" s="24">
        <f>+[7]Subpartida!H14/1000000</f>
        <v>25.099686819999999</v>
      </c>
      <c r="I26" s="21">
        <f t="shared" si="10"/>
        <v>307.61014088221577</v>
      </c>
      <c r="J26" s="21">
        <f t="shared" si="11"/>
        <v>0.98312618197011892</v>
      </c>
      <c r="K26" s="16"/>
    </row>
    <row r="27" spans="1:11">
      <c r="A27" s="14"/>
      <c r="B27" s="9" t="str">
        <f>+[7]Subpartida!J15</f>
        <v>Maíz duro amarillo.</v>
      </c>
      <c r="C27" s="21">
        <f>+[7]Subpartida!C15/1000000</f>
        <v>45.240222999999986</v>
      </c>
      <c r="D27" s="24">
        <f>+[7]Subpartida!G15/1000000</f>
        <v>63.604222980000003</v>
      </c>
      <c r="E27" s="21">
        <f t="shared" ref="E27" si="12">IF(OR(OR(D27=0,C27=0),D27=""),"",(D27/C27-1)*100)</f>
        <v>40.592195975691858</v>
      </c>
      <c r="F27" s="21">
        <f t="shared" ref="F27" si="13">(D27/D$13)*100</f>
        <v>0.6689994110188997</v>
      </c>
      <c r="G27" s="21">
        <f>+[7]Subpartida!D15/1000000</f>
        <v>9.6958118400000011</v>
      </c>
      <c r="H27" s="24">
        <f>+[7]Subpartida!H15/1000000</f>
        <v>18.907198400000002</v>
      </c>
      <c r="I27" s="21">
        <f t="shared" ref="I27" si="14">IF(OR(OR(H27=0,G27=0),H27=""),"",(H27/G27-1)*100)</f>
        <v>95.003767729882014</v>
      </c>
      <c r="J27" s="21">
        <f t="shared" ref="J27" si="15">(H27/H$13)*100</f>
        <v>0.74057345448358658</v>
      </c>
      <c r="K27" s="16"/>
    </row>
    <row r="28" spans="1:11">
      <c r="A28" s="14"/>
      <c r="B28" s="9" t="str">
        <f>+[7]Subpartida!J16</f>
        <v>Medicamentos VIH</v>
      </c>
      <c r="C28" s="21">
        <f>+[7]Subpartida!C16/1000000</f>
        <v>48.414437710000001</v>
      </c>
      <c r="D28" s="24">
        <f>+[7]Subpartida!G16/1000000</f>
        <v>62.332535949999993</v>
      </c>
      <c r="E28" s="21">
        <f t="shared" ref="E28" si="16">IF(OR(OR(D28=0,C28=0),D28=""),"",(D28/C28-1)*100)</f>
        <v>28.747825851802066</v>
      </c>
      <c r="F28" s="21">
        <f t="shared" ref="F28" si="17">(D28/D$13)*100</f>
        <v>0.6556236030267496</v>
      </c>
      <c r="G28" s="21">
        <f>+[7]Subpartida!D16/1000000</f>
        <v>15.464008560000003</v>
      </c>
      <c r="H28" s="24">
        <f>+[7]Subpartida!H16/1000000</f>
        <v>12.826913789999997</v>
      </c>
      <c r="I28" s="21">
        <f t="shared" ref="I28" si="18">IF(OR(OR(H28=0,G28=0),H28=""),"",(H28/G28-1)*100)</f>
        <v>-17.053112456373377</v>
      </c>
      <c r="J28" s="21">
        <f t="shared" ref="J28" si="19">(H28/H$13)*100</f>
        <v>0.50241562260347628</v>
      </c>
      <c r="K28" s="16"/>
    </row>
    <row r="29" spans="1:11">
      <c r="A29" s="14"/>
      <c r="B29" s="9" t="str">
        <f>+[7]Subpartida!J17</f>
        <v>Aviones &lt; 15 mil Kg</v>
      </c>
      <c r="C29" s="21">
        <f>+[7]Subpartida!C17/1000000</f>
        <v>22.908713179999999</v>
      </c>
      <c r="D29" s="24">
        <f>+[7]Subpartida!G17/1000000</f>
        <v>57.168573989999999</v>
      </c>
      <c r="E29" s="21">
        <f t="shared" ref="E29" si="20">IF(OR(OR(D29=0,C29=0),D29=""),"",(D29/C29-1)*100)</f>
        <v>149.54947727011526</v>
      </c>
      <c r="F29" s="21">
        <f t="shared" ref="F29" si="21">(D29/D$13)*100</f>
        <v>0.60130822351412971</v>
      </c>
      <c r="G29" s="21">
        <f>+[7]Subpartida!D17/1000000</f>
        <v>0</v>
      </c>
      <c r="H29" s="24">
        <f>+[7]Subpartida!H17/1000000</f>
        <v>9.3753672599999991</v>
      </c>
      <c r="I29" s="21" t="str">
        <f t="shared" ref="I29" si="22">IF(OR(OR(H29=0,G29=0),H29=""),"",(H29/G29-1)*100)</f>
        <v/>
      </c>
      <c r="J29" s="21">
        <f t="shared" ref="J29" si="23">(H29/H$13)*100</f>
        <v>0.36722247114043699</v>
      </c>
      <c r="K29" s="16"/>
    </row>
    <row r="30" spans="1:11">
      <c r="A30" s="14"/>
      <c r="B30" s="9" t="str">
        <f>+[7]Subpartida!J18</f>
        <v>Vacunas medicina humana</v>
      </c>
      <c r="C30" s="21">
        <f>+[7]Subpartida!C18/1000000</f>
        <v>36.874618210000001</v>
      </c>
      <c r="D30" s="24">
        <f>+[7]Subpartida!G18/1000000</f>
        <v>52.055240789999992</v>
      </c>
      <c r="E30" s="21">
        <f t="shared" ref="E30" si="24">IF(OR(OR(D30=0,C30=0),D30=""),"",(D30/C30-1)*100)</f>
        <v>41.168216287818197</v>
      </c>
      <c r="F30" s="21">
        <f t="shared" ref="F30" si="25">(D30/D$13)*100</f>
        <v>0.54752536541335484</v>
      </c>
      <c r="G30" s="21">
        <f>+[7]Subpartida!D18/1000000</f>
        <v>9.5480995700000015</v>
      </c>
      <c r="H30" s="24">
        <f>+[7]Subpartida!H18/1000000</f>
        <v>34.73495217</v>
      </c>
      <c r="I30" s="21">
        <f t="shared" ref="I30" si="26">IF(OR(OR(H30=0,G30=0),H30=""),"",(H30/G30-1)*100)</f>
        <v>263.78916993216899</v>
      </c>
      <c r="J30" s="21">
        <f t="shared" ref="J30" si="27">(H30/H$13)*100</f>
        <v>1.3605285656630677</v>
      </c>
      <c r="K30" s="16"/>
    </row>
    <row r="31" spans="1:11">
      <c r="A31" s="14"/>
      <c r="B31" s="9" t="str">
        <f>+[7]Subpartida!J19</f>
        <v>Aparatos receptores TV LED</v>
      </c>
      <c r="C31" s="21">
        <f>+[7]Subpartida!C19/1000000</f>
        <v>24.589235330000005</v>
      </c>
      <c r="D31" s="24">
        <f>+[7]Subpartida!G19/1000000</f>
        <v>49.915884959999971</v>
      </c>
      <c r="E31" s="21">
        <f t="shared" ref="E31" si="28">IF(OR(OR(D31=0,C31=0),D31=""),"",(D31/C31-1)*100)</f>
        <v>102.99893140271949</v>
      </c>
      <c r="F31" s="21">
        <f t="shared" ref="F31" si="29">(D31/D$13)*100</f>
        <v>0.52502327792334791</v>
      </c>
      <c r="G31" s="21">
        <f>+[7]Subpartida!D19/1000000</f>
        <v>10.246657949999999</v>
      </c>
      <c r="H31" s="24">
        <f>+[7]Subpartida!H19/1000000</f>
        <v>20.070762769999991</v>
      </c>
      <c r="I31" s="21">
        <f t="shared" ref="I31" si="30">IF(OR(OR(H31=0,G31=0),H31=""),"",(H31/G31-1)*100)</f>
        <v>95.876185854334992</v>
      </c>
      <c r="J31" s="21">
        <f t="shared" ref="J31" si="31">(H31/H$13)*100</f>
        <v>0.78614894730778573</v>
      </c>
      <c r="K31" s="16"/>
    </row>
    <row r="32" spans="1:11">
      <c r="A32" s="14"/>
      <c r="B32" s="9" t="str">
        <f>+[7]Subpartida!J20</f>
        <v>Camperos 1500 y 3000 cm3</v>
      </c>
      <c r="C32" s="21">
        <f>+[7]Subpartida!C20/1000000</f>
        <v>42.062950019999967</v>
      </c>
      <c r="D32" s="24">
        <f>+[7]Subpartida!G20/1000000</f>
        <v>48.110160320000091</v>
      </c>
      <c r="E32" s="21">
        <f t="shared" ref="E32" si="32">IF(OR(OR(D32=0,C32=0),D32=""),"",(D32/C32-1)*100)</f>
        <v>14.376572012007749</v>
      </c>
      <c r="F32" s="21">
        <f t="shared" ref="F32" si="33">(D32/D$13)*100</f>
        <v>0.50603037676013285</v>
      </c>
      <c r="G32" s="21">
        <f>+[7]Subpartida!D20/1000000</f>
        <v>14.403888609999994</v>
      </c>
      <c r="H32" s="24">
        <f>+[7]Subpartida!H20/1000000</f>
        <v>17.436232310000012</v>
      </c>
      <c r="I32" s="21">
        <f t="shared" ref="I32" si="34">IF(OR(OR(H32=0,G32=0),H32=""),"",(H32/G32-1)*100)</f>
        <v>21.052257359827074</v>
      </c>
      <c r="J32" s="21">
        <f t="shared" ref="J32" si="35">(H32/H$13)*100</f>
        <v>0.68295738595491928</v>
      </c>
      <c r="K32" s="16"/>
    </row>
    <row r="33" spans="1:11">
      <c r="A33" s="14"/>
      <c r="B33" s="9" t="s">
        <v>33</v>
      </c>
      <c r="C33" s="21">
        <f>+C13-SUM(C14:C32)</f>
        <v>5808.4750530799902</v>
      </c>
      <c r="D33" s="24">
        <f>+D13-SUM(D14:D32)</f>
        <v>5551.033747129979</v>
      </c>
      <c r="E33" s="21">
        <f t="shared" si="0"/>
        <v>-4.4321668527008811</v>
      </c>
      <c r="F33" s="21">
        <f t="shared" si="1"/>
        <v>58.386662604835614</v>
      </c>
      <c r="G33" s="21">
        <f t="shared" ref="G33:H33" si="36">+G13-SUM(G14:G32)</f>
        <v>1393.8323138600031</v>
      </c>
      <c r="H33" s="24">
        <f t="shared" si="36"/>
        <v>1627.4170359800005</v>
      </c>
      <c r="I33" s="21">
        <f t="shared" si="2"/>
        <v>16.758452203846574</v>
      </c>
      <c r="J33" s="21">
        <f t="shared" si="3"/>
        <v>63.744074120529035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79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49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f>+'Resumen importaciones totales'!C13</f>
        <v>8374.3088297199902</v>
      </c>
      <c r="D13" s="24">
        <f>+'Resumen importaciones totales'!D13</f>
        <v>9507.3660652599792</v>
      </c>
      <c r="E13" s="24">
        <f>IF(OR(OR(D13=0,C13=0),D13=""),"",(D13/C13-1)*100)</f>
        <v>13.530158232507826</v>
      </c>
      <c r="F13" s="22">
        <f>(D13/D$13)*100</f>
        <v>100</v>
      </c>
      <c r="G13" s="24">
        <f>+'Resumen importaciones totales'!G13</f>
        <v>2055.182948330003</v>
      </c>
      <c r="H13" s="24">
        <f>+'Resumen importaciones totales'!H13</f>
        <v>2553.0483553700001</v>
      </c>
      <c r="I13" s="24">
        <f>IF(OR(OR(H13=0,G13=0),H13=""),"",(H13/G13-1)*100)</f>
        <v>24.224870464430026</v>
      </c>
      <c r="J13" s="22">
        <f>(H13/H$13)*100</f>
        <v>100</v>
      </c>
      <c r="K13" s="16"/>
    </row>
    <row r="14" spans="1:14">
      <c r="A14" s="14"/>
      <c r="B14" s="10" t="s">
        <v>80</v>
      </c>
      <c r="C14" s="21">
        <f>SUM(C15:C26)</f>
        <v>1869.7311188100007</v>
      </c>
      <c r="D14" s="24">
        <f>SUM(D15:D26)</f>
        <v>2029.9813446199989</v>
      </c>
      <c r="E14" s="21">
        <f t="shared" ref="E14:E49" si="0">IF(OR(OR(D14=0,C14=0),D14=""),"",(D14/C14-1)*100)</f>
        <v>8.5707631540084872</v>
      </c>
      <c r="F14" s="21">
        <f t="shared" ref="F14:F49" si="1">(D14/D$13)*100</f>
        <v>21.351669123560661</v>
      </c>
      <c r="G14" s="21">
        <f t="shared" ref="G14" si="2">SUM(G15:G26)</f>
        <v>472.26631696000015</v>
      </c>
      <c r="H14" s="24">
        <f>SUM(H15:H26)</f>
        <v>576.14773765999973</v>
      </c>
      <c r="I14" s="21">
        <f t="shared" ref="I14:I49" si="3">IF(OR(OR(H14=0,G14=0),H14=""),"",(H14/G14-1)*100)</f>
        <v>21.996364544625791</v>
      </c>
      <c r="J14" s="21">
        <f>(H14/H$13)*100</f>
        <v>22.567051518947888</v>
      </c>
      <c r="K14" s="16"/>
    </row>
    <row r="15" spans="1:14">
      <c r="A15" s="14"/>
      <c r="B15" s="9" t="s">
        <v>81</v>
      </c>
      <c r="C15" s="21">
        <f>+[7]cuode!C3/1000000</f>
        <v>185.27473334000001</v>
      </c>
      <c r="D15" s="24">
        <f>+[7]cuode!F3/1000000</f>
        <v>163.11934796000017</v>
      </c>
      <c r="E15" s="21">
        <f t="shared" si="0"/>
        <v>-11.958125633538064</v>
      </c>
      <c r="F15" s="21">
        <f t="shared" si="1"/>
        <v>1.7157154446386584</v>
      </c>
      <c r="G15" s="21">
        <f>+[7]cuode!D3/1000000</f>
        <v>39.875716099999998</v>
      </c>
      <c r="H15" s="24">
        <f>+[7]cuode!G3/1000000</f>
        <v>39.822150439999994</v>
      </c>
      <c r="I15" s="21">
        <f t="shared" si="3"/>
        <v>-0.13433153116466645</v>
      </c>
      <c r="J15" s="21">
        <f t="shared" ref="J15:J49" si="4">(H15/H$13)*100</f>
        <v>1.5597883352361641</v>
      </c>
      <c r="K15" s="16"/>
    </row>
    <row r="16" spans="1:14">
      <c r="A16" s="14"/>
      <c r="B16" s="9" t="s">
        <v>82</v>
      </c>
      <c r="C16" s="21">
        <f>+[7]cuode!C4/1000000</f>
        <v>19.633321930000001</v>
      </c>
      <c r="D16" s="24">
        <f>+[7]cuode!F4/1000000</f>
        <v>23.768921730000013</v>
      </c>
      <c r="E16" s="21">
        <f t="shared" si="0"/>
        <v>21.064187786177712</v>
      </c>
      <c r="F16" s="21">
        <f t="shared" si="1"/>
        <v>0.25000532815131538</v>
      </c>
      <c r="G16" s="21">
        <f>+[7]cuode!D4/1000000</f>
        <v>3.77068884</v>
      </c>
      <c r="H16" s="24">
        <f>+[7]cuode!G4/1000000</f>
        <v>7.9988537499999968</v>
      </c>
      <c r="I16" s="21">
        <f t="shared" si="3"/>
        <v>112.13242697586247</v>
      </c>
      <c r="J16" s="21">
        <f t="shared" si="4"/>
        <v>0.31330600273102793</v>
      </c>
      <c r="K16" s="16"/>
    </row>
    <row r="17" spans="1:11">
      <c r="A17" s="14"/>
      <c r="B17" s="9" t="s">
        <v>83</v>
      </c>
      <c r="C17" s="21">
        <f>+[7]cuode!C5/1000000</f>
        <v>7.1769391600000008</v>
      </c>
      <c r="D17" s="24">
        <f>+[7]cuode!F5/1000000</f>
        <v>6.3863406399999993</v>
      </c>
      <c r="E17" s="21">
        <f t="shared" si="0"/>
        <v>-11.015817500673942</v>
      </c>
      <c r="F17" s="21">
        <f t="shared" si="1"/>
        <v>6.7172554376924209E-2</v>
      </c>
      <c r="G17" s="21">
        <f>+[7]cuode!D5/1000000</f>
        <v>2.9910703199999999</v>
      </c>
      <c r="H17" s="24">
        <f>+[7]cuode!G5/1000000</f>
        <v>1.5039295399999999</v>
      </c>
      <c r="I17" s="21">
        <f t="shared" si="3"/>
        <v>-49.719351967626089</v>
      </c>
      <c r="J17" s="21">
        <f t="shared" si="4"/>
        <v>5.8907209369406674E-2</v>
      </c>
      <c r="K17" s="16"/>
    </row>
    <row r="18" spans="1:11">
      <c r="A18" s="14"/>
      <c r="B18" s="9" t="s">
        <v>98</v>
      </c>
      <c r="C18" s="21">
        <f>+[7]cuode!C6/1000000</f>
        <v>399.01228708000116</v>
      </c>
      <c r="D18" s="24">
        <f>+[7]cuode!F6/1000000</f>
        <v>488.55427712999858</v>
      </c>
      <c r="E18" s="21">
        <f t="shared" si="0"/>
        <v>22.440910455482911</v>
      </c>
      <c r="F18" s="21">
        <f t="shared" si="1"/>
        <v>5.1386921864214452</v>
      </c>
      <c r="G18" s="21">
        <f>+[7]cuode!D6/1000000</f>
        <v>106.60023691000012</v>
      </c>
      <c r="H18" s="24">
        <f>+[7]cuode!G6/1000000</f>
        <v>150.7119451899994</v>
      </c>
      <c r="I18" s="21">
        <f t="shared" si="3"/>
        <v>41.380497416006378</v>
      </c>
      <c r="J18" s="21">
        <f t="shared" si="4"/>
        <v>5.9032154590020491</v>
      </c>
      <c r="K18" s="16"/>
    </row>
    <row r="19" spans="1:11">
      <c r="A19" s="14"/>
      <c r="B19" s="9" t="s">
        <v>99</v>
      </c>
      <c r="C19" s="21">
        <f>+[7]cuode!C7/1000000</f>
        <v>116.51316660000015</v>
      </c>
      <c r="D19" s="24">
        <f>+[7]cuode!F7/1000000</f>
        <v>132.00063568000115</v>
      </c>
      <c r="E19" s="21">
        <f t="shared" si="0"/>
        <v>13.292462587658305</v>
      </c>
      <c r="F19" s="21">
        <f t="shared" si="1"/>
        <v>1.3884038415469553</v>
      </c>
      <c r="G19" s="21">
        <f>+[7]cuode!D7/1000000</f>
        <v>25.998699520000049</v>
      </c>
      <c r="H19" s="24">
        <f>+[7]cuode!G7/1000000</f>
        <v>24.367461459999909</v>
      </c>
      <c r="I19" s="21">
        <f t="shared" si="3"/>
        <v>-6.2743063696138908</v>
      </c>
      <c r="J19" s="21">
        <f t="shared" si="4"/>
        <v>0.95444574752163114</v>
      </c>
      <c r="K19" s="16"/>
    </row>
    <row r="20" spans="1:11">
      <c r="A20" s="14"/>
      <c r="B20" s="9" t="s">
        <v>100</v>
      </c>
      <c r="C20" s="21">
        <f>+[7]cuode!C8/1000000</f>
        <v>174.06603443000063</v>
      </c>
      <c r="D20" s="24">
        <f>+[7]cuode!F8/1000000</f>
        <v>191.84796012999996</v>
      </c>
      <c r="E20" s="21">
        <f t="shared" si="0"/>
        <v>10.215620616755183</v>
      </c>
      <c r="F20" s="21">
        <f t="shared" si="1"/>
        <v>2.0178875917170638</v>
      </c>
      <c r="G20" s="21">
        <f>+[7]cuode!D8/1000000</f>
        <v>41.330899049999992</v>
      </c>
      <c r="H20" s="24">
        <f>+[7]cuode!G8/1000000</f>
        <v>49.551655729999901</v>
      </c>
      <c r="I20" s="21">
        <f t="shared" si="3"/>
        <v>19.890098858132422</v>
      </c>
      <c r="J20" s="21">
        <f t="shared" si="4"/>
        <v>1.9408819901814447</v>
      </c>
      <c r="K20" s="16"/>
    </row>
    <row r="21" spans="1:11">
      <c r="A21" s="14"/>
      <c r="B21" s="9" t="s">
        <v>84</v>
      </c>
      <c r="C21" s="21">
        <f>+[7]cuode!C9/1000000</f>
        <v>27.542322629999983</v>
      </c>
      <c r="D21" s="24">
        <f>+[7]cuode!F9/1000000</f>
        <v>36.447491250000041</v>
      </c>
      <c r="E21" s="21">
        <f t="shared" ref="E21:E36" si="5">IF(OR(OR(D21=0,C21=0),D21=""),"",(D21/C21-1)*100)</f>
        <v>32.332671211614738</v>
      </c>
      <c r="F21" s="21">
        <f t="shared" ref="F21:F36" si="6">(D21/D$13)*100</f>
        <v>0.38336055433038996</v>
      </c>
      <c r="G21" s="21">
        <f>+[7]cuode!D9/1000000</f>
        <v>7.3486914200000042</v>
      </c>
      <c r="H21" s="24">
        <f>+[7]cuode!G9/1000000</f>
        <v>11.623300650000024</v>
      </c>
      <c r="I21" s="21">
        <f t="shared" ref="I21:I36" si="7">IF(OR(OR(H21=0,G21=0),H21=""),"",(H21/G21-1)*100)</f>
        <v>58.168304881687604</v>
      </c>
      <c r="J21" s="21">
        <f t="shared" ref="J21:J36" si="8">(H21/H$13)*100</f>
        <v>0.45527146501365501</v>
      </c>
      <c r="K21" s="16"/>
    </row>
    <row r="22" spans="1:11">
      <c r="A22" s="14"/>
      <c r="B22" s="9" t="s">
        <v>101</v>
      </c>
      <c r="C22" s="21">
        <f>+[7]cuode!C10/1000000</f>
        <v>164.23518705000066</v>
      </c>
      <c r="D22" s="24">
        <f>+[7]cuode!F10/1000000</f>
        <v>171.22378486999946</v>
      </c>
      <c r="E22" s="21">
        <f t="shared" si="5"/>
        <v>4.2552378363786003</v>
      </c>
      <c r="F22" s="21">
        <f t="shared" si="6"/>
        <v>1.8009592109391168</v>
      </c>
      <c r="G22" s="21">
        <f>+[7]cuode!D10/1000000</f>
        <v>38.66569367999989</v>
      </c>
      <c r="H22" s="24">
        <f>+[7]cuode!G10/1000000</f>
        <v>48.480702399999963</v>
      </c>
      <c r="I22" s="21">
        <f t="shared" si="7"/>
        <v>25.384281997446621</v>
      </c>
      <c r="J22" s="21">
        <f t="shared" si="8"/>
        <v>1.8989339664494489</v>
      </c>
      <c r="K22" s="16"/>
    </row>
    <row r="23" spans="1:11">
      <c r="A23" s="14"/>
      <c r="B23" s="9" t="s">
        <v>102</v>
      </c>
      <c r="C23" s="21">
        <f>+[7]cuode!C11/1000000</f>
        <v>84.031561170000117</v>
      </c>
      <c r="D23" s="24">
        <f>+[7]cuode!F11/1000000</f>
        <v>84.243868689999957</v>
      </c>
      <c r="E23" s="21">
        <f t="shared" si="5"/>
        <v>0.25265211908931384</v>
      </c>
      <c r="F23" s="21">
        <f t="shared" si="6"/>
        <v>0.88609051246935766</v>
      </c>
      <c r="G23" s="21">
        <f>+[7]cuode!D11/1000000</f>
        <v>20.039876380000059</v>
      </c>
      <c r="H23" s="24">
        <f>+[7]cuode!G11/1000000</f>
        <v>20.548014100000042</v>
      </c>
      <c r="I23" s="21">
        <f t="shared" si="7"/>
        <v>2.5356330067340505</v>
      </c>
      <c r="J23" s="21">
        <f t="shared" si="8"/>
        <v>0.80484233903286662</v>
      </c>
      <c r="K23" s="16"/>
    </row>
    <row r="24" spans="1:11">
      <c r="A24" s="14"/>
      <c r="B24" s="9" t="s">
        <v>103</v>
      </c>
      <c r="C24" s="21">
        <f>+[7]cuode!C12/1000000</f>
        <v>182.3157457899996</v>
      </c>
      <c r="D24" s="24">
        <f>+[7]cuode!F12/1000000</f>
        <v>166.68311279000017</v>
      </c>
      <c r="E24" s="21">
        <f t="shared" si="5"/>
        <v>-8.5744832034452383</v>
      </c>
      <c r="F24" s="21">
        <f t="shared" si="6"/>
        <v>1.7531996942777046</v>
      </c>
      <c r="G24" s="21">
        <f>+[7]cuode!D12/1000000</f>
        <v>41.595229780000103</v>
      </c>
      <c r="H24" s="24">
        <f>+[7]cuode!G12/1000000</f>
        <v>56.392631299999955</v>
      </c>
      <c r="I24" s="21">
        <f t="shared" si="7"/>
        <v>35.574756043575853</v>
      </c>
      <c r="J24" s="21">
        <f t="shared" si="8"/>
        <v>2.2088352216825626</v>
      </c>
      <c r="K24" s="16"/>
    </row>
    <row r="25" spans="1:11">
      <c r="A25" s="14"/>
      <c r="B25" s="9" t="s">
        <v>104</v>
      </c>
      <c r="C25" s="21">
        <f>+[7]cuode!C13/1000000</f>
        <v>483.02506527999873</v>
      </c>
      <c r="D25" s="24">
        <f>+[7]cuode!F13/1000000</f>
        <v>549.8822663099993</v>
      </c>
      <c r="E25" s="21">
        <f t="shared" si="5"/>
        <v>13.841352309790578</v>
      </c>
      <c r="F25" s="21">
        <f t="shared" si="6"/>
        <v>5.7837498055247414</v>
      </c>
      <c r="G25" s="21">
        <f>+[7]cuode!D13/1000000</f>
        <v>136.82828362999985</v>
      </c>
      <c r="H25" s="24">
        <f>+[7]cuode!G13/1000000</f>
        <v>159.05217767000045</v>
      </c>
      <c r="I25" s="21">
        <f t="shared" si="7"/>
        <v>16.24217848123908</v>
      </c>
      <c r="J25" s="21">
        <f t="shared" si="8"/>
        <v>6.2298928782706051</v>
      </c>
      <c r="K25" s="16"/>
    </row>
    <row r="26" spans="1:11">
      <c r="A26" s="14"/>
      <c r="B26" s="9" t="s">
        <v>85</v>
      </c>
      <c r="C26" s="21">
        <f>+[7]cuode!C14/1000000</f>
        <v>26.904754350000001</v>
      </c>
      <c r="D26" s="24">
        <f>+[7]cuode!F14/1000000</f>
        <v>15.823337440000001</v>
      </c>
      <c r="E26" s="21">
        <f t="shared" si="5"/>
        <v>-41.18757884143254</v>
      </c>
      <c r="F26" s="21">
        <f t="shared" si="6"/>
        <v>0.16643239916698541</v>
      </c>
      <c r="G26" s="21">
        <f>+[7]cuode!D14/1000000</f>
        <v>7.2212313300000002</v>
      </c>
      <c r="H26" s="24">
        <f>+[7]cuode!G14/1000000</f>
        <v>6.0949154299999995</v>
      </c>
      <c r="I26" s="21">
        <f t="shared" si="7"/>
        <v>-15.597283185221</v>
      </c>
      <c r="J26" s="21">
        <f t="shared" si="8"/>
        <v>0.23873090445702488</v>
      </c>
      <c r="K26" s="16"/>
    </row>
    <row r="27" spans="1:11">
      <c r="A27" s="14"/>
      <c r="B27" s="10" t="s">
        <v>29</v>
      </c>
      <c r="C27" s="21">
        <f>SUM(C28:C35)</f>
        <v>2928.3194611500035</v>
      </c>
      <c r="D27" s="24">
        <f>SUM(D28:D35)</f>
        <v>3428.803579719995</v>
      </c>
      <c r="E27" s="21">
        <f t="shared" si="5"/>
        <v>17.091172094093942</v>
      </c>
      <c r="F27" s="21">
        <f t="shared" si="6"/>
        <v>36.064705578644762</v>
      </c>
      <c r="G27" s="21">
        <f>SUM(G28:G35)</f>
        <v>683.11603970999806</v>
      </c>
      <c r="H27" s="24">
        <f>SUM(H28:H35)</f>
        <v>921.4578019299995</v>
      </c>
      <c r="I27" s="21">
        <f t="shared" si="7"/>
        <v>34.890377090425837</v>
      </c>
      <c r="J27" s="21">
        <f t="shared" si="8"/>
        <v>36.092453947918166</v>
      </c>
      <c r="K27" s="16"/>
    </row>
    <row r="28" spans="1:11">
      <c r="A28" s="14"/>
      <c r="B28" s="9" t="s">
        <v>105</v>
      </c>
      <c r="C28" s="21">
        <f>+[7]cuode!C15/1000000</f>
        <v>499.76925448999987</v>
      </c>
      <c r="D28" s="24">
        <f>+[7]cuode!F15/1000000</f>
        <v>882.43314633000011</v>
      </c>
      <c r="E28" s="21">
        <f t="shared" si="5"/>
        <v>76.568113864967088</v>
      </c>
      <c r="F28" s="21">
        <f t="shared" si="6"/>
        <v>9.281573258806354</v>
      </c>
      <c r="G28" s="21">
        <f>+[7]cuode!D15/1000000</f>
        <v>92.261637360000009</v>
      </c>
      <c r="H28" s="24">
        <f>+[7]cuode!G15/1000000</f>
        <v>137.41036187999995</v>
      </c>
      <c r="I28" s="21">
        <f t="shared" si="7"/>
        <v>48.935533567252911</v>
      </c>
      <c r="J28" s="21">
        <f t="shared" si="8"/>
        <v>5.3822075712344191</v>
      </c>
      <c r="K28" s="16"/>
    </row>
    <row r="29" spans="1:11">
      <c r="A29" s="14"/>
      <c r="B29" s="9" t="s">
        <v>86</v>
      </c>
      <c r="C29" s="21">
        <f>+[7]cuode!C16/1000000</f>
        <v>465.40231332000008</v>
      </c>
      <c r="D29" s="24">
        <f>+[7]cuode!F16/1000000</f>
        <v>498.02923110999899</v>
      </c>
      <c r="E29" s="21">
        <f t="shared" si="5"/>
        <v>7.0104760668788124</v>
      </c>
      <c r="F29" s="21">
        <f t="shared" si="6"/>
        <v>5.2383512709140687</v>
      </c>
      <c r="G29" s="21">
        <f>+[7]cuode!D16/1000000</f>
        <v>111.15522160999997</v>
      </c>
      <c r="H29" s="24">
        <f>+[7]cuode!G16/1000000</f>
        <v>154.92482590000034</v>
      </c>
      <c r="I29" s="21">
        <f t="shared" si="7"/>
        <v>39.377011404440118</v>
      </c>
      <c r="J29" s="21">
        <f t="shared" si="8"/>
        <v>6.0682292042818702</v>
      </c>
      <c r="K29" s="16"/>
    </row>
    <row r="30" spans="1:11">
      <c r="A30" s="14"/>
      <c r="B30" s="9" t="s">
        <v>87</v>
      </c>
      <c r="C30" s="21">
        <f>+[7]cuode!C17/1000000</f>
        <v>36.032701879999983</v>
      </c>
      <c r="D30" s="24">
        <f>+[7]cuode!F17/1000000</f>
        <v>70.445380299999968</v>
      </c>
      <c r="E30" s="21">
        <f t="shared" si="5"/>
        <v>95.504018917606629</v>
      </c>
      <c r="F30" s="21">
        <f t="shared" si="6"/>
        <v>0.74095580012857787</v>
      </c>
      <c r="G30" s="21">
        <f>+[7]cuode!D17/1000000</f>
        <v>10.624831890000005</v>
      </c>
      <c r="H30" s="24">
        <f>+[7]cuode!G17/1000000</f>
        <v>20.527763970000006</v>
      </c>
      <c r="I30" s="21">
        <f t="shared" si="7"/>
        <v>93.205541344334591</v>
      </c>
      <c r="J30" s="21">
        <f t="shared" si="8"/>
        <v>0.80404916447518771</v>
      </c>
      <c r="K30" s="16"/>
    </row>
    <row r="31" spans="1:11">
      <c r="A31" s="14"/>
      <c r="B31" s="9" t="s">
        <v>106</v>
      </c>
      <c r="C31" s="21">
        <f>+[7]cuode!C18/1000000</f>
        <v>88.64677231000006</v>
      </c>
      <c r="D31" s="24">
        <f>+[7]cuode!F18/1000000</f>
        <v>88.99345962000011</v>
      </c>
      <c r="E31" s="21">
        <f t="shared" si="5"/>
        <v>0.39108847504076838</v>
      </c>
      <c r="F31" s="21">
        <f t="shared" si="6"/>
        <v>0.9360474710780643</v>
      </c>
      <c r="G31" s="21">
        <f>+[7]cuode!D18/1000000</f>
        <v>22.34931712000002</v>
      </c>
      <c r="H31" s="24">
        <f>+[7]cuode!G18/1000000</f>
        <v>28.389197759999988</v>
      </c>
      <c r="I31" s="21">
        <f t="shared" si="7"/>
        <v>27.024900168403732</v>
      </c>
      <c r="J31" s="21">
        <f t="shared" si="8"/>
        <v>1.111972583687538</v>
      </c>
      <c r="K31" s="16"/>
    </row>
    <row r="32" spans="1:11">
      <c r="A32" s="14"/>
      <c r="B32" s="9" t="s">
        <v>88</v>
      </c>
      <c r="C32" s="21">
        <f>+[7]cuode!C19/1000000</f>
        <v>205.94731354999956</v>
      </c>
      <c r="D32" s="24">
        <f>+[7]cuode!F19/1000000</f>
        <v>203.82537235999988</v>
      </c>
      <c r="E32" s="21">
        <f t="shared" si="5"/>
        <v>-1.0303320560112739</v>
      </c>
      <c r="F32" s="21">
        <f t="shared" si="6"/>
        <v>2.1438679331469106</v>
      </c>
      <c r="G32" s="21">
        <f>+[7]cuode!D19/1000000</f>
        <v>44.523744000000029</v>
      </c>
      <c r="H32" s="24">
        <f>+[7]cuode!G19/1000000</f>
        <v>56.886672569999966</v>
      </c>
      <c r="I32" s="21">
        <f t="shared" si="7"/>
        <v>27.767046207973721</v>
      </c>
      <c r="J32" s="21">
        <f t="shared" si="8"/>
        <v>2.2281862562589683</v>
      </c>
      <c r="K32" s="16"/>
    </row>
    <row r="33" spans="1:11">
      <c r="A33" s="14"/>
      <c r="B33" s="9" t="s">
        <v>107</v>
      </c>
      <c r="C33" s="21">
        <f>+[7]cuode!C20/1000000</f>
        <v>274.30947706999967</v>
      </c>
      <c r="D33" s="24">
        <f>+[7]cuode!F20/1000000</f>
        <v>243.43753641999956</v>
      </c>
      <c r="E33" s="21">
        <f t="shared" si="5"/>
        <v>-11.254420000269283</v>
      </c>
      <c r="F33" s="21">
        <f t="shared" si="6"/>
        <v>2.5605150232883429</v>
      </c>
      <c r="G33" s="21">
        <f>+[7]cuode!D20/1000000</f>
        <v>64.052689480000041</v>
      </c>
      <c r="H33" s="24">
        <f>+[7]cuode!G20/1000000</f>
        <v>68.63766637999997</v>
      </c>
      <c r="I33" s="21">
        <f t="shared" si="7"/>
        <v>7.1581333074726805</v>
      </c>
      <c r="J33" s="21">
        <f t="shared" si="8"/>
        <v>2.6884593170994862</v>
      </c>
      <c r="K33" s="16"/>
    </row>
    <row r="34" spans="1:11">
      <c r="A34" s="14"/>
      <c r="B34" s="9" t="s">
        <v>89</v>
      </c>
      <c r="C34" s="21">
        <f>+[7]cuode!C21/1000000</f>
        <v>526.96716461000256</v>
      </c>
      <c r="D34" s="24">
        <f>+[7]cuode!F21/1000000</f>
        <v>520.07972936999852</v>
      </c>
      <c r="E34" s="21">
        <f t="shared" si="5"/>
        <v>-1.3069951417373993</v>
      </c>
      <c r="F34" s="21">
        <f t="shared" si="6"/>
        <v>5.4702819455997975</v>
      </c>
      <c r="G34" s="21">
        <f>+[7]cuode!D21/1000000</f>
        <v>130.94616772999913</v>
      </c>
      <c r="H34" s="24">
        <f>+[7]cuode!G21/1000000</f>
        <v>149.70203741999845</v>
      </c>
      <c r="I34" s="21">
        <f t="shared" si="7"/>
        <v>14.323343718368653</v>
      </c>
      <c r="J34" s="21">
        <f t="shared" si="8"/>
        <v>5.8636585204161911</v>
      </c>
      <c r="K34" s="16"/>
    </row>
    <row r="35" spans="1:11">
      <c r="A35" s="14"/>
      <c r="B35" s="9" t="s">
        <v>108</v>
      </c>
      <c r="C35" s="21">
        <f>+[7]cuode!C22/1000000</f>
        <v>831.24446392000152</v>
      </c>
      <c r="D35" s="24">
        <f>+[7]cuode!F22/1000000</f>
        <v>921.55972420999808</v>
      </c>
      <c r="E35" s="21">
        <f t="shared" si="5"/>
        <v>10.865066079849228</v>
      </c>
      <c r="F35" s="21">
        <f t="shared" si="6"/>
        <v>9.693112875682651</v>
      </c>
      <c r="G35" s="21">
        <f>+[7]cuode!D22/1000000</f>
        <v>207.2024305199989</v>
      </c>
      <c r="H35" s="24">
        <f>+[7]cuode!G22/1000000</f>
        <v>304.97927605000069</v>
      </c>
      <c r="I35" s="21">
        <f t="shared" si="7"/>
        <v>47.189043721456002</v>
      </c>
      <c r="J35" s="21">
        <f t="shared" si="8"/>
        <v>11.945691330464504</v>
      </c>
      <c r="K35" s="16"/>
    </row>
    <row r="36" spans="1:11">
      <c r="A36" s="14"/>
      <c r="B36" s="10" t="s">
        <v>109</v>
      </c>
      <c r="C36" s="21">
        <f>SUM(C37:C48)</f>
        <v>3565.698930339981</v>
      </c>
      <c r="D36" s="24">
        <f>SUM(D37:D48)</f>
        <v>4038.8375244400017</v>
      </c>
      <c r="E36" s="21">
        <f t="shared" si="5"/>
        <v>13.269168355021721</v>
      </c>
      <c r="F36" s="21">
        <f t="shared" si="6"/>
        <v>42.481140378069156</v>
      </c>
      <c r="G36" s="21">
        <f>SUM(G37:G48)</f>
        <v>897.79644664999876</v>
      </c>
      <c r="H36" s="24">
        <f>SUM(H37:H48)</f>
        <v>1053.0746370900006</v>
      </c>
      <c r="I36" s="21">
        <f t="shared" si="7"/>
        <v>17.29547839261345</v>
      </c>
      <c r="J36" s="21">
        <f t="shared" si="8"/>
        <v>41.247735667638146</v>
      </c>
      <c r="K36" s="16"/>
    </row>
    <row r="37" spans="1:11">
      <c r="A37" s="14"/>
      <c r="B37" s="9" t="s">
        <v>90</v>
      </c>
      <c r="C37" s="21">
        <f>+[7]cuode!C23/1000000</f>
        <v>255.67848410999991</v>
      </c>
      <c r="D37" s="24">
        <f>+[7]cuode!F23/1000000</f>
        <v>238.03094220000025</v>
      </c>
      <c r="E37" s="21">
        <f t="shared" si="0"/>
        <v>-6.902239729490578</v>
      </c>
      <c r="F37" s="21">
        <f t="shared" si="1"/>
        <v>2.5036475987788873</v>
      </c>
      <c r="G37" s="21">
        <f>+[7]cuode!D23/1000000</f>
        <v>69.903933190000075</v>
      </c>
      <c r="H37" s="24">
        <f>+[7]cuode!G23/1000000</f>
        <v>72.087714159999933</v>
      </c>
      <c r="I37" s="21">
        <f t="shared" si="3"/>
        <v>3.1239743893441752</v>
      </c>
      <c r="J37" s="21">
        <f t="shared" si="4"/>
        <v>2.823593764229845</v>
      </c>
      <c r="K37" s="16"/>
    </row>
    <row r="38" spans="1:11">
      <c r="A38" s="14"/>
      <c r="B38" s="9" t="s">
        <v>91</v>
      </c>
      <c r="C38" s="21">
        <f>+[7]cuode!C24/1000000</f>
        <v>8.3102360600000011</v>
      </c>
      <c r="D38" s="24">
        <f>+[7]cuode!F24/1000000</f>
        <v>10.628689699999994</v>
      </c>
      <c r="E38" s="21">
        <f t="shared" si="0"/>
        <v>27.898769941801049</v>
      </c>
      <c r="F38" s="21">
        <f t="shared" si="1"/>
        <v>0.11179426170237984</v>
      </c>
      <c r="G38" s="21">
        <f>+[7]cuode!D24/1000000</f>
        <v>1.7922771099999992</v>
      </c>
      <c r="H38" s="24">
        <f>+[7]cuode!G24/1000000</f>
        <v>3.8006457300000012</v>
      </c>
      <c r="I38" s="21">
        <f t="shared" si="3"/>
        <v>112.05681358057421</v>
      </c>
      <c r="J38" s="21">
        <f t="shared" si="4"/>
        <v>0.14886697002843072</v>
      </c>
      <c r="K38" s="16"/>
    </row>
    <row r="39" spans="1:11">
      <c r="A39" s="14"/>
      <c r="B39" s="9" t="s">
        <v>110</v>
      </c>
      <c r="C39" s="21">
        <f>+[7]cuode!C25/1000000</f>
        <v>0.51213087999999973</v>
      </c>
      <c r="D39" s="24">
        <f>+[7]cuode!F25/1000000</f>
        <v>0.27808525999999995</v>
      </c>
      <c r="E39" s="21">
        <f t="shared" si="0"/>
        <v>-45.700353003513463</v>
      </c>
      <c r="F39" s="21">
        <f t="shared" si="1"/>
        <v>2.9249453328206911E-3</v>
      </c>
      <c r="G39" s="21">
        <f>+[7]cuode!D25/1000000</f>
        <v>7.9067390000000001E-2</v>
      </c>
      <c r="H39" s="24">
        <f>+[7]cuode!G25/1000000</f>
        <v>7.4553060000000004E-2</v>
      </c>
      <c r="I39" s="21">
        <f t="shared" si="3"/>
        <v>-5.7094713762525835</v>
      </c>
      <c r="J39" s="21">
        <f t="shared" si="4"/>
        <v>2.9201585564639812E-3</v>
      </c>
      <c r="K39" s="16"/>
    </row>
    <row r="40" spans="1:11">
      <c r="A40" s="14"/>
      <c r="B40" s="9" t="s">
        <v>111</v>
      </c>
      <c r="C40" s="21">
        <f>+[7]cuode!C26/1000000</f>
        <v>17.910695769999993</v>
      </c>
      <c r="D40" s="24">
        <f>+[7]cuode!F26/1000000</f>
        <v>15.148959929999998</v>
      </c>
      <c r="E40" s="21">
        <f t="shared" si="0"/>
        <v>-15.419478257376461</v>
      </c>
      <c r="F40" s="21">
        <f t="shared" si="1"/>
        <v>0.15933918843573791</v>
      </c>
      <c r="G40" s="21">
        <f>+[7]cuode!D26/1000000</f>
        <v>4.5600378500000005</v>
      </c>
      <c r="H40" s="24">
        <f>+[7]cuode!G26/1000000</f>
        <v>5.123545</v>
      </c>
      <c r="I40" s="21">
        <f t="shared" si="3"/>
        <v>12.357510365840474</v>
      </c>
      <c r="J40" s="21">
        <f t="shared" si="4"/>
        <v>0.2006834296429717</v>
      </c>
      <c r="K40" s="16"/>
    </row>
    <row r="41" spans="1:11">
      <c r="A41" s="14"/>
      <c r="B41" s="9" t="s">
        <v>112</v>
      </c>
      <c r="C41" s="21">
        <f>+[7]cuode!C27/1000000</f>
        <v>656.72413137999729</v>
      </c>
      <c r="D41" s="24">
        <f>+[7]cuode!F27/1000000</f>
        <v>729.63592849999804</v>
      </c>
      <c r="E41" s="21">
        <f t="shared" si="0"/>
        <v>11.102347795076239</v>
      </c>
      <c r="F41" s="21">
        <f t="shared" si="1"/>
        <v>7.6744276331811374</v>
      </c>
      <c r="G41" s="21">
        <f>+[7]cuode!D27/1000000</f>
        <v>166.85400403999924</v>
      </c>
      <c r="H41" s="24">
        <f>+[7]cuode!G27/1000000</f>
        <v>213.83034977999907</v>
      </c>
      <c r="I41" s="21">
        <f t="shared" si="3"/>
        <v>28.15416148403509</v>
      </c>
      <c r="J41" s="21">
        <f t="shared" si="4"/>
        <v>8.375491569920138</v>
      </c>
      <c r="K41" s="16"/>
    </row>
    <row r="42" spans="1:11">
      <c r="A42" s="14"/>
      <c r="B42" s="9" t="s">
        <v>92</v>
      </c>
      <c r="C42" s="21">
        <f>+[7]cuode!C28/1000000</f>
        <v>55.146963859999921</v>
      </c>
      <c r="D42" s="24">
        <f>+[7]cuode!F28/1000000</f>
        <v>51.197380819999807</v>
      </c>
      <c r="E42" s="21">
        <f t="shared" si="0"/>
        <v>-7.1619229120696737</v>
      </c>
      <c r="F42" s="21">
        <f t="shared" si="1"/>
        <v>0.53850225676147678</v>
      </c>
      <c r="G42" s="21">
        <f>+[7]cuode!D28/1000000</f>
        <v>13.342903769999966</v>
      </c>
      <c r="H42" s="24">
        <f>+[7]cuode!G28/1000000</f>
        <v>15.200049780000024</v>
      </c>
      <c r="I42" s="21">
        <f t="shared" si="3"/>
        <v>13.918604540757041</v>
      </c>
      <c r="J42" s="21">
        <f t="shared" si="4"/>
        <v>0.59536865990135779</v>
      </c>
      <c r="K42" s="16"/>
    </row>
    <row r="43" spans="1:11">
      <c r="A43" s="14"/>
      <c r="B43" s="9" t="s">
        <v>113</v>
      </c>
      <c r="C43" s="21">
        <f>+[7]cuode!C29/1000000</f>
        <v>116.04081347000033</v>
      </c>
      <c r="D43" s="24">
        <f>+[7]cuode!F29/1000000</f>
        <v>129.93023509000025</v>
      </c>
      <c r="E43" s="21">
        <f t="shared" si="0"/>
        <v>11.969428000942717</v>
      </c>
      <c r="F43" s="21">
        <f t="shared" si="1"/>
        <v>1.3666270363225705</v>
      </c>
      <c r="G43" s="21">
        <f>+[7]cuode!D29/1000000</f>
        <v>25.768904060000022</v>
      </c>
      <c r="H43" s="24">
        <f>+[7]cuode!G29/1000000</f>
        <v>33.832901200000009</v>
      </c>
      <c r="I43" s="21">
        <f t="shared" si="3"/>
        <v>31.293519977504157</v>
      </c>
      <c r="J43" s="21">
        <f t="shared" si="4"/>
        <v>1.3251962552466727</v>
      </c>
      <c r="K43" s="16"/>
    </row>
    <row r="44" spans="1:11">
      <c r="A44" s="14"/>
      <c r="B44" s="9" t="s">
        <v>93</v>
      </c>
      <c r="C44" s="21">
        <f>+[7]cuode!C30/1000000</f>
        <v>670.44231539998964</v>
      </c>
      <c r="D44" s="24">
        <f>+[7]cuode!F30/1000000</f>
        <v>677.55270473000087</v>
      </c>
      <c r="E44" s="21">
        <f t="shared" si="0"/>
        <v>1.0605519918248429</v>
      </c>
      <c r="F44" s="21">
        <f t="shared" si="1"/>
        <v>7.126607938299399</v>
      </c>
      <c r="G44" s="21">
        <f>+[7]cuode!D30/1000000</f>
        <v>159.10871611999966</v>
      </c>
      <c r="H44" s="24">
        <f>+[7]cuode!G30/1000000</f>
        <v>188.36598159000127</v>
      </c>
      <c r="I44" s="21">
        <f t="shared" si="3"/>
        <v>18.388222960667843</v>
      </c>
      <c r="J44" s="21">
        <f t="shared" si="4"/>
        <v>7.3780812335104544</v>
      </c>
      <c r="K44" s="16"/>
    </row>
    <row r="45" spans="1:11">
      <c r="A45" s="14"/>
      <c r="B45" s="9" t="s">
        <v>94</v>
      </c>
      <c r="C45" s="21">
        <f>+[7]cuode!C31/1000000</f>
        <v>704.0615580099925</v>
      </c>
      <c r="D45" s="24">
        <f>+[7]cuode!F31/1000000</f>
        <v>737.09559121999939</v>
      </c>
      <c r="E45" s="21">
        <f t="shared" si="0"/>
        <v>4.6919239992844641</v>
      </c>
      <c r="F45" s="21">
        <f t="shared" si="1"/>
        <v>7.7528895612145918</v>
      </c>
      <c r="G45" s="21">
        <f>+[7]cuode!D31/1000000</f>
        <v>193.27225111999979</v>
      </c>
      <c r="H45" s="24">
        <f>+[7]cuode!G31/1000000</f>
        <v>197.87700994000051</v>
      </c>
      <c r="I45" s="21">
        <f t="shared" si="3"/>
        <v>2.3825245441683629</v>
      </c>
      <c r="J45" s="21">
        <f t="shared" si="4"/>
        <v>7.7506173952323438</v>
      </c>
      <c r="K45" s="16"/>
    </row>
    <row r="46" spans="1:11">
      <c r="A46" s="14"/>
      <c r="B46" s="9" t="s">
        <v>114</v>
      </c>
      <c r="C46" s="21">
        <f>+[7]cuode!C32/1000000</f>
        <v>414.56252076999999</v>
      </c>
      <c r="D46" s="24">
        <f>+[7]cuode!F32/1000000</f>
        <v>371.50281484000351</v>
      </c>
      <c r="E46" s="21">
        <f t="shared" si="0"/>
        <v>-10.386782155323226</v>
      </c>
      <c r="F46" s="21">
        <f t="shared" si="1"/>
        <v>3.9075261464632027</v>
      </c>
      <c r="G46" s="21">
        <f>+[7]cuode!D32/1000000</f>
        <v>86.746970590000046</v>
      </c>
      <c r="H46" s="24">
        <f>+[7]cuode!G32/1000000</f>
        <v>110.67079670999991</v>
      </c>
      <c r="I46" s="21">
        <f t="shared" si="3"/>
        <v>27.578860630272818</v>
      </c>
      <c r="J46" s="21">
        <f t="shared" si="4"/>
        <v>4.3348492196482882</v>
      </c>
      <c r="K46" s="16"/>
    </row>
    <row r="47" spans="1:11">
      <c r="A47" s="14"/>
      <c r="B47" s="9" t="s">
        <v>95</v>
      </c>
      <c r="C47" s="21">
        <f>+[7]cuode!C33/1000000</f>
        <v>657.88775126000166</v>
      </c>
      <c r="D47" s="24">
        <f>+[7]cuode!F33/1000000</f>
        <v>1067.4126099699999</v>
      </c>
      <c r="E47" s="21">
        <f t="shared" si="0"/>
        <v>62.248439483128678</v>
      </c>
      <c r="F47" s="21">
        <f t="shared" si="1"/>
        <v>11.227216903642088</v>
      </c>
      <c r="G47" s="21">
        <f>+[7]cuode!D33/1000000</f>
        <v>174.77399156999996</v>
      </c>
      <c r="H47" s="24">
        <f>+[7]cuode!G33/1000000</f>
        <v>209.44184411000003</v>
      </c>
      <c r="I47" s="21">
        <f t="shared" si="3"/>
        <v>19.835818950278416</v>
      </c>
      <c r="J47" s="21">
        <f t="shared" si="4"/>
        <v>8.2035987947297109</v>
      </c>
      <c r="K47" s="16"/>
    </row>
    <row r="48" spans="1:11">
      <c r="A48" s="14"/>
      <c r="B48" s="9" t="s">
        <v>96</v>
      </c>
      <c r="C48" s="21">
        <f>+[7]cuode!C34/1000000</f>
        <v>8.4213293700000094</v>
      </c>
      <c r="D48" s="24">
        <f>+[7]cuode!F34/1000000</f>
        <v>10.423582179999999</v>
      </c>
      <c r="E48" s="21">
        <f t="shared" si="0"/>
        <v>23.775970776452215</v>
      </c>
      <c r="F48" s="21">
        <f t="shared" si="1"/>
        <v>0.10963690793486834</v>
      </c>
      <c r="G48" s="21">
        <f>+[7]cuode!D34/1000000</f>
        <v>1.5933898399999982</v>
      </c>
      <c r="H48" s="24">
        <f>+[7]cuode!G34/1000000</f>
        <v>2.769246030000001</v>
      </c>
      <c r="I48" s="21">
        <f t="shared" si="3"/>
        <v>73.795888519033383</v>
      </c>
      <c r="J48" s="21">
        <f t="shared" si="4"/>
        <v>0.10846821699147444</v>
      </c>
      <c r="K48" s="16"/>
    </row>
    <row r="49" spans="1:11">
      <c r="A49" s="14"/>
      <c r="B49" s="10" t="s">
        <v>97</v>
      </c>
      <c r="C49" s="21">
        <f>+[7]cuode!C2/1000000</f>
        <v>10.559319419999994</v>
      </c>
      <c r="D49" s="24">
        <f>+[7]cuode!F2/1000000</f>
        <v>9.7436164799999982</v>
      </c>
      <c r="E49" s="21">
        <f t="shared" si="0"/>
        <v>-7.7249575238249264</v>
      </c>
      <c r="F49" s="21">
        <f t="shared" si="1"/>
        <v>0.1024849197255934</v>
      </c>
      <c r="G49" s="21">
        <f>+[7]cuode!D2/1000000</f>
        <v>2.0041450100000007</v>
      </c>
      <c r="H49" s="24">
        <f>+[7]cuode!G2/1000000</f>
        <v>2.3681786899999984</v>
      </c>
      <c r="I49" s="21">
        <f t="shared" si="3"/>
        <v>18.164038938479688</v>
      </c>
      <c r="J49" s="21">
        <f t="shared" si="4"/>
        <v>9.2758865495784562E-2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48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tr">
        <f>+'Resumen importaciones totales'!E10:E11</f>
        <v>% Cambio   '13/'12</v>
      </c>
      <c r="I10" s="125" t="s">
        <v>136</v>
      </c>
      <c r="J10" s="125" t="s">
        <v>131</v>
      </c>
      <c r="K10" s="62"/>
    </row>
    <row r="11" spans="1:14">
      <c r="A11" s="60"/>
      <c r="B11" s="43"/>
      <c r="C11" s="73">
        <v>2009</v>
      </c>
      <c r="D11" s="73">
        <v>2010</v>
      </c>
      <c r="E11" s="116">
        <v>2011</v>
      </c>
      <c r="F11" s="116">
        <v>2012</v>
      </c>
      <c r="G11" s="116"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+[15]Historico!E7/1000000</f>
        <v>1365.154295</v>
      </c>
      <c r="D13" s="70">
        <f>+[15]Historico!F7/1000000</f>
        <v>1175.533729</v>
      </c>
      <c r="E13" s="70">
        <f>+[15]Historico!G7/1000000</f>
        <v>1580.1497360000001</v>
      </c>
      <c r="F13" s="70">
        <f>+[15]Historico!H7/1000000</f>
        <v>2203.7542600000002</v>
      </c>
      <c r="G13" s="72">
        <f>+[15]Historico!I7/1000000</f>
        <v>2415.5056220000001</v>
      </c>
      <c r="H13" s="70">
        <f t="shared" ref="H13:H14" si="0">IF(OR(OR(G13=0,F13=0),G13=""),"",(G13/F13-1)*100)</f>
        <v>9.6086648971469337</v>
      </c>
      <c r="I13" s="70">
        <f t="shared" ref="I13:I14" si="1">IF(OR(OR(G13=0,F13=0),G13=""),"",G13/F13*100)</f>
        <v>109.60866489714694</v>
      </c>
      <c r="J13" s="70">
        <f>IF(OR(OR(G13=0,F13=0),G13=""),"",(F13/E13-1)*100)</f>
        <v>39.464900685842338</v>
      </c>
      <c r="K13" s="62"/>
      <c r="M13" s="39">
        <f t="shared" ref="M13:M24" si="2">IF(G13="","",1)</f>
        <v>1</v>
      </c>
    </row>
    <row r="14" spans="1:14">
      <c r="A14" s="60"/>
      <c r="B14" s="69" t="s">
        <v>7</v>
      </c>
      <c r="C14" s="70">
        <f>+[15]Historico!E8/1000000</f>
        <v>1087.848133</v>
      </c>
      <c r="D14" s="70">
        <f>+[15]Historico!F8/1000000</f>
        <v>1168.950225</v>
      </c>
      <c r="E14" s="70">
        <f>+[15]Historico!G8/1000000</f>
        <v>1529.446422</v>
      </c>
      <c r="F14" s="70">
        <f>+[15]Historico!H8/1000000</f>
        <v>1764.5771099999999</v>
      </c>
      <c r="G14" s="72">
        <f>+[15]Historico!I8/1000000</f>
        <v>2273.5421489999999</v>
      </c>
      <c r="H14" s="70">
        <f t="shared" si="0"/>
        <v>28.843456945896804</v>
      </c>
      <c r="I14" s="70">
        <f t="shared" si="1"/>
        <v>128.8434569458968</v>
      </c>
      <c r="J14" s="70">
        <f t="shared" ref="J14" si="3">IF(OR(OR(G14=0,F14=0),G14=""),"",(F14/E14-1)*100)</f>
        <v>15.373581226371336</v>
      </c>
      <c r="K14" s="62"/>
      <c r="M14" s="39">
        <f t="shared" si="2"/>
        <v>1</v>
      </c>
    </row>
    <row r="15" spans="1:14">
      <c r="A15" s="60"/>
      <c r="B15" s="69" t="s">
        <v>8</v>
      </c>
      <c r="C15" s="70">
        <f>+[15]Historico!E9/1000000</f>
        <v>1024.1429430000001</v>
      </c>
      <c r="D15" s="70">
        <f>+[15]Historico!F9/1000000</f>
        <v>1516.204131</v>
      </c>
      <c r="E15" s="70">
        <f>+[15]Historico!G9/1000000</f>
        <v>2119.0864969999998</v>
      </c>
      <c r="F15" s="70">
        <f>+[15]Historico!H9/1000000</f>
        <v>2350.7945119999999</v>
      </c>
      <c r="G15" s="72">
        <f>+[15]Historico!I9/1000000</f>
        <v>2265.2699400000001</v>
      </c>
      <c r="H15" s="70">
        <f t="shared" ref="H15" si="4">IF(OR(OR(G15=0,F15=0),G15=""),"",(G15/F15-1)*100)</f>
        <v>-3.6381134788015745</v>
      </c>
      <c r="I15" s="70">
        <f t="shared" ref="I15" si="5">IF(OR(OR(G15=0,F15=0),G15=""),"",G15/F15*100)</f>
        <v>96.361886521198429</v>
      </c>
      <c r="J15" s="70">
        <f t="shared" ref="J15" si="6">IF(OR(OR(G15=0,F15=0),G15=""),"",(F15/E15-1)*100)</f>
        <v>10.934334928188649</v>
      </c>
      <c r="K15" s="62"/>
      <c r="M15" s="39">
        <f t="shared" si="2"/>
        <v>1</v>
      </c>
    </row>
    <row r="16" spans="1:14">
      <c r="A16" s="60"/>
      <c r="B16" s="69" t="s">
        <v>9</v>
      </c>
      <c r="C16" s="70">
        <f>+[15]Historico!E10/1000000</f>
        <v>1164.941495</v>
      </c>
      <c r="D16" s="70">
        <f>+[15]Historico!F10/1000000</f>
        <v>1325.5593839999999</v>
      </c>
      <c r="E16" s="70">
        <f>+[15]Historico!G10/1000000</f>
        <v>2120.4607310000001</v>
      </c>
      <c r="F16" s="70">
        <f>+[15]Historico!H10/1000000</f>
        <v>2055.1829480000001</v>
      </c>
      <c r="G16" s="30">
        <f>+[15]Historico!I10/1000000</f>
        <v>2553.0483549999999</v>
      </c>
      <c r="H16" s="24">
        <f t="shared" ref="H16" si="7">IF(OR(OR(G16=0,F16=0),G16=""),"",(G16/F16-1)*100)</f>
        <v>24.224870466373673</v>
      </c>
      <c r="I16" s="24">
        <f t="shared" ref="I16" si="8">IF(OR(OR(G16=0,F16=0),G16=""),"",G16/F16*100)</f>
        <v>124.22487046637367</v>
      </c>
      <c r="J16" s="24">
        <f t="shared" ref="J16" si="9">IF(OR(OR(G16=0,F16=0),G16=""),"",(F16/E16-1)*100)</f>
        <v>-3.0784716757860098</v>
      </c>
      <c r="K16" s="62"/>
      <c r="M16" s="39">
        <f t="shared" si="2"/>
        <v>1</v>
      </c>
    </row>
    <row r="17" spans="1:14">
      <c r="A17" s="60"/>
      <c r="B17" s="69" t="s">
        <v>10</v>
      </c>
      <c r="C17" s="70">
        <f>+[15]Historico!E11/1000000</f>
        <v>981.42924200000004</v>
      </c>
      <c r="D17" s="70">
        <f>+[15]Historico!F11/1000000</f>
        <v>1399.5099499999999</v>
      </c>
      <c r="E17" s="70">
        <f>+[15]Historico!G11/1000000</f>
        <v>2516.4676840000002</v>
      </c>
      <c r="F17" s="70">
        <f>+[15]Historico!H11/1000000</f>
        <v>2770.9725640000001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2"/>
        <v/>
      </c>
    </row>
    <row r="18" spans="1:14">
      <c r="A18" s="60"/>
      <c r="B18" s="69" t="s">
        <v>11</v>
      </c>
      <c r="C18" s="70">
        <f>+[15]Historico!E12/1000000</f>
        <v>998.38255700000002</v>
      </c>
      <c r="D18" s="70">
        <f>+[15]Historico!F12/1000000</f>
        <v>1361.9487790000001</v>
      </c>
      <c r="E18" s="70">
        <f>+[15]Historico!G12/1000000</f>
        <v>1860.3278299999999</v>
      </c>
      <c r="F18" s="70">
        <f>+[15]Historico!H12/1000000</f>
        <v>2319.8223659999999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2"/>
        <v/>
      </c>
    </row>
    <row r="19" spans="1:14">
      <c r="A19" s="60"/>
      <c r="B19" s="69" t="s">
        <v>12</v>
      </c>
      <c r="C19" s="70">
        <f>+[15]Historico!E13/1000000</f>
        <v>1374.5496860000001</v>
      </c>
      <c r="D19" s="70">
        <f>+[15]Historico!F13/1000000</f>
        <v>1523.659805</v>
      </c>
      <c r="E19" s="70">
        <f>+[15]Historico!G13/1000000</f>
        <v>1851.208971</v>
      </c>
      <c r="F19" s="70">
        <f>+[15]Historico!H13/1000000</f>
        <v>2470.9381360000002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2"/>
        <v/>
      </c>
    </row>
    <row r="20" spans="1:14">
      <c r="A20" s="60"/>
      <c r="B20" s="69" t="s">
        <v>13</v>
      </c>
      <c r="C20" s="70">
        <f>+[15]Historico!E14/1000000</f>
        <v>1101.823615</v>
      </c>
      <c r="D20" s="70">
        <f>+[15]Historico!F14/1000000</f>
        <v>1556.1577870000001</v>
      </c>
      <c r="E20" s="70">
        <f>+[15]Historico!G14/1000000</f>
        <v>1951.9415019999999</v>
      </c>
      <c r="F20" s="70">
        <f>+[15]Historico!H14/1000000</f>
        <v>2343.8767149999999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2"/>
        <v/>
      </c>
    </row>
    <row r="21" spans="1:14">
      <c r="A21" s="60"/>
      <c r="B21" s="69" t="s">
        <v>14</v>
      </c>
      <c r="C21" s="70">
        <f>+[15]Historico!E15/1000000</f>
        <v>1166.8230370000001</v>
      </c>
      <c r="D21" s="70">
        <f>+[15]Historico!F15/1000000</f>
        <v>1794.200102</v>
      </c>
      <c r="E21" s="70">
        <f>+[15]Historico!G15/1000000</f>
        <v>2456.3724099999999</v>
      </c>
      <c r="F21" s="70">
        <f>+[15]Historico!H15/1000000</f>
        <v>2338.282475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2"/>
        <v/>
      </c>
    </row>
    <row r="22" spans="1:14">
      <c r="A22" s="60"/>
      <c r="B22" s="69" t="s">
        <v>15</v>
      </c>
      <c r="C22" s="70">
        <f>+[15]Historico!E16/1000000</f>
        <v>1265.998249</v>
      </c>
      <c r="D22" s="70">
        <f>+[15]Historico!F16/1000000</f>
        <v>1619.319872</v>
      </c>
      <c r="E22" s="70">
        <f>+[15]Historico!G16/1000000</f>
        <v>2418.3817899999999</v>
      </c>
      <c r="F22" s="70">
        <f>+[15]Historico!H16/1000000</f>
        <v>2540.633237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2"/>
        <v/>
      </c>
    </row>
    <row r="23" spans="1:14">
      <c r="A23" s="60"/>
      <c r="B23" s="69" t="s">
        <v>16</v>
      </c>
      <c r="C23" s="70">
        <f>+[15]Historico!E17/1000000</f>
        <v>1112.4315549999999</v>
      </c>
      <c r="D23" s="70">
        <f>+[15]Historico!F17/1000000</f>
        <v>1755.104619</v>
      </c>
      <c r="E23" s="70">
        <f>+[15]Historico!G17/1000000</f>
        <v>2635.0607070000001</v>
      </c>
      <c r="F23" s="70">
        <f>+[15]Historico!H17/1000000</f>
        <v>2477.1099049999998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2"/>
        <v/>
      </c>
    </row>
    <row r="24" spans="1:14">
      <c r="A24" s="60"/>
      <c r="B24" s="69" t="s">
        <v>17</v>
      </c>
      <c r="C24" s="70">
        <f>+[15]Historico!E18/1000000</f>
        <v>1328.639623</v>
      </c>
      <c r="D24" s="70">
        <f>+[15]Historico!F18/1000000</f>
        <v>1889.31556</v>
      </c>
      <c r="E24" s="70">
        <f>+[15]Historico!G18/1000000</f>
        <v>2127.3221920000001</v>
      </c>
      <c r="F24" s="70">
        <f>+[15]Historico!H18/1000000</f>
        <v>2166.1097789999999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2"/>
        <v/>
      </c>
    </row>
    <row r="25" spans="1:14">
      <c r="A25" s="60"/>
      <c r="B25" s="71" t="s">
        <v>25</v>
      </c>
      <c r="C25" s="72">
        <f t="shared" ref="C25:F25" si="34">SUM(C13:C24)</f>
        <v>13972.164430000001</v>
      </c>
      <c r="D25" s="72">
        <f t="shared" si="34"/>
        <v>18085.463942999999</v>
      </c>
      <c r="E25" s="72">
        <f t="shared" si="34"/>
        <v>25166.226471999998</v>
      </c>
      <c r="F25" s="72">
        <f t="shared" si="34"/>
        <v>27802.054007000002</v>
      </c>
      <c r="G25" s="112">
        <f>SUM(G13:G24)</f>
        <v>9507.3660659999987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29.439243530288152</v>
      </c>
      <c r="E26" s="72">
        <f>(E25/D25-1)*100</f>
        <v>39.15167756445981</v>
      </c>
      <c r="F26" s="72">
        <f>(F25/E25-1)*100</f>
        <v>10.473670090876098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4642.0868659999996</v>
      </c>
      <c r="D28" s="72">
        <f t="shared" si="35"/>
        <v>5186.2474689999999</v>
      </c>
      <c r="E28" s="72">
        <f t="shared" si="35"/>
        <v>7349.1433860000006</v>
      </c>
      <c r="F28" s="72">
        <f>SUMPRODUCT(F13:F24,$M$13:$M$24)</f>
        <v>8374.3088299999999</v>
      </c>
      <c r="G28" s="30">
        <f>SUMPRODUCT(G13:G24,$M$13:$M$24)</f>
        <v>9507.3660659999987</v>
      </c>
      <c r="H28" s="68">
        <f>IF(OR(OR(G28=0,F28=0),G28=""),"",(G28/F28-1)*100)</f>
        <v>13.530158237548529</v>
      </c>
      <c r="I28" s="30">
        <f>IF(OR(OR(G28=0,F28=0),G28=""),"",G28/F28*100)</f>
        <v>113.53015823754853</v>
      </c>
      <c r="J28" s="30">
        <f>IF(OR(OR(G28=0,F28=0),F28=""),"",(F28/E28-1)*100)</f>
        <v>13.949454924949789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11.722327020323364</v>
      </c>
      <c r="E29" s="72">
        <f t="shared" si="36"/>
        <v>41.70444873539838</v>
      </c>
      <c r="F29" s="72">
        <f t="shared" si="36"/>
        <v>13.949454924949789</v>
      </c>
      <c r="G29" s="30">
        <f t="shared" si="36"/>
        <v>13.530158237548529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64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01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+[15]Historico!E32/1000000</f>
        <v>38.668281999999998</v>
      </c>
      <c r="D13" s="70">
        <f>+[15]Historico!F32/1000000</f>
        <v>43.958782999999997</v>
      </c>
      <c r="E13" s="70">
        <f>+[15]Historico!G32/1000000</f>
        <v>55.337090000000003</v>
      </c>
      <c r="F13" s="70">
        <f>+[15]Historico!H32/1000000</f>
        <v>92.808128999999994</v>
      </c>
      <c r="G13" s="72">
        <f>+[15]Historico!I32/1000000</f>
        <v>116.746386</v>
      </c>
      <c r="H13" s="70">
        <f t="shared" ref="H13:H14" si="0">IF(OR(OR(G13=0,F13=0),G13=""),"",(G13/F13-1)*100)</f>
        <v>25.793276147178879</v>
      </c>
      <c r="I13" s="70">
        <f t="shared" ref="I13:I14" si="1">IF(OR(OR(G13=0,F13=0),G13=""),"",G13/F13*100)</f>
        <v>125.79327614717887</v>
      </c>
      <c r="J13" s="70">
        <f t="shared" ref="J13:J14" si="2">IF(OR(OR(G13=0,F13=0),G13=""),"",(F13/E13-1)*100)</f>
        <v>67.714147961159483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+[15]Historico!E33/1000000</f>
        <v>28.670425000000002</v>
      </c>
      <c r="D14" s="70">
        <f>+[15]Historico!F33/1000000</f>
        <v>47.190815000000001</v>
      </c>
      <c r="E14" s="70">
        <f>+[15]Historico!G33/1000000</f>
        <v>48.115482999999998</v>
      </c>
      <c r="F14" s="70">
        <f>+[15]Historico!H33/1000000</f>
        <v>83.469506999999993</v>
      </c>
      <c r="G14" s="72">
        <f>+[15]Historico!I33/1000000</f>
        <v>87.666587000000007</v>
      </c>
      <c r="H14" s="70">
        <f t="shared" si="0"/>
        <v>5.0282793691353911</v>
      </c>
      <c r="I14" s="70">
        <f t="shared" si="1"/>
        <v>105.02827936913539</v>
      </c>
      <c r="J14" s="70">
        <f t="shared" si="2"/>
        <v>73.477437605687129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+[15]Historico!E34/1000000</f>
        <v>46.714812000000002</v>
      </c>
      <c r="D15" s="70">
        <f>+[15]Historico!F34/1000000</f>
        <v>59.482695</v>
      </c>
      <c r="E15" s="70">
        <f>+[15]Historico!G34/1000000</f>
        <v>52.523978999999997</v>
      </c>
      <c r="F15" s="70">
        <f>+[15]Historico!H34/1000000</f>
        <v>79.542221999999995</v>
      </c>
      <c r="G15" s="72">
        <f>+[15]Historico!I34/1000000</f>
        <v>60.793436</v>
      </c>
      <c r="H15" s="70">
        <f t="shared" ref="H15" si="4">IF(OR(OR(G15=0,F15=0),G15=""),"",(G15/F15-1)*100)</f>
        <v>-23.570860265884953</v>
      </c>
      <c r="I15" s="70">
        <f t="shared" ref="I15" si="5">IF(OR(OR(G15=0,F15=0),G15=""),"",G15/F15*100)</f>
        <v>76.429139734115054</v>
      </c>
      <c r="J15" s="70">
        <f t="shared" ref="J15" si="6">IF(OR(OR(G15=0,F15=0),G15=""),"",(F15/E15-1)*100)</f>
        <v>51.439825227254765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+[15]Historico!E35/1000000</f>
        <v>37.528328999999999</v>
      </c>
      <c r="D16" s="70">
        <f>+[15]Historico!F35/1000000</f>
        <v>67.349545000000006</v>
      </c>
      <c r="E16" s="70">
        <f>+[15]Historico!G35/1000000</f>
        <v>77.568853000000004</v>
      </c>
      <c r="F16" s="70">
        <f>+[15]Historico!H35/1000000</f>
        <v>75.211976000000007</v>
      </c>
      <c r="G16" s="30">
        <f>+[15]Historico!I35/1000000</f>
        <v>96.570777000000007</v>
      </c>
      <c r="H16" s="24">
        <f t="shared" ref="H16" si="7">IF(OR(OR(G16=0,F16=0),G16=""),"",(G16/F16-1)*100)</f>
        <v>28.3981383496692</v>
      </c>
      <c r="I16" s="24">
        <f t="shared" ref="I16" si="8">IF(OR(OR(G16=0,F16=0),G16=""),"",G16/F16*100)</f>
        <v>128.39813834966921</v>
      </c>
      <c r="J16" s="24">
        <f t="shared" ref="J16" si="9">IF(OR(OR(G16=0,F16=0),G16=""),"",(F16/E16-1)*100)</f>
        <v>-3.0384321913332846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+[15]Historico!E36/1000000</f>
        <v>35.578634999999998</v>
      </c>
      <c r="D17" s="70">
        <f>+[15]Historico!F36/1000000</f>
        <v>44.57329</v>
      </c>
      <c r="E17" s="70">
        <f>+[15]Historico!G36/1000000</f>
        <v>85.809922</v>
      </c>
      <c r="F17" s="70">
        <f>+[15]Historico!H36/1000000</f>
        <v>114.110353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+[15]Historico!E37/1000000</f>
        <v>43.399467999999999</v>
      </c>
      <c r="D18" s="70">
        <f>+[15]Historico!F37/1000000</f>
        <v>52.674779000000001</v>
      </c>
      <c r="E18" s="70">
        <f>+[15]Historico!G37/1000000</f>
        <v>75.768917000000002</v>
      </c>
      <c r="F18" s="70">
        <f>+[15]Historico!H37/1000000</f>
        <v>114.928698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+[15]Historico!E38/1000000</f>
        <v>50.850552999999998</v>
      </c>
      <c r="D19" s="70">
        <f>+[15]Historico!F38/1000000</f>
        <v>53.804777000000001</v>
      </c>
      <c r="E19" s="70">
        <f>+[15]Historico!G38/1000000</f>
        <v>61.378847999999998</v>
      </c>
      <c r="F19" s="70">
        <f>+[15]Historico!H38/1000000</f>
        <v>89.452392000000003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+[15]Historico!E39/1000000</f>
        <v>40.015101000000001</v>
      </c>
      <c r="D20" s="70">
        <f>+[15]Historico!F39/1000000</f>
        <v>52.476965999999997</v>
      </c>
      <c r="E20" s="70">
        <f>+[15]Historico!G39/1000000</f>
        <v>65.932362999999995</v>
      </c>
      <c r="F20" s="70">
        <f>+[15]Historico!H39/1000000</f>
        <v>102.87795300000001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+[15]Historico!E40/1000000</f>
        <v>34.030462</v>
      </c>
      <c r="D21" s="70">
        <f>+[15]Historico!F40/1000000</f>
        <v>59.125891000000003</v>
      </c>
      <c r="E21" s="70">
        <f>+[15]Historico!G40/1000000</f>
        <v>80.113669999999999</v>
      </c>
      <c r="F21" s="70">
        <f>+[15]Historico!H40/1000000</f>
        <v>111.798878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+[15]Historico!E41/1000000</f>
        <v>44.752462000000001</v>
      </c>
      <c r="D22" s="70">
        <f>+[15]Historico!F41/1000000</f>
        <v>41.996589</v>
      </c>
      <c r="E22" s="70">
        <f>+[15]Historico!G41/1000000</f>
        <v>74.314528999999993</v>
      </c>
      <c r="F22" s="70">
        <f>+[15]Historico!H41/1000000</f>
        <v>102.76441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+[15]Historico!E42/1000000</f>
        <v>40.384563999999997</v>
      </c>
      <c r="D23" s="70">
        <f>+[15]Historico!F42/1000000</f>
        <v>56.922102000000002</v>
      </c>
      <c r="E23" s="70">
        <f>+[15]Historico!G42/1000000</f>
        <v>83.698132999999999</v>
      </c>
      <c r="F23" s="70">
        <f>+[15]Historico!H42/1000000</f>
        <v>95.176208000000003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+[15]Historico!E43/1000000</f>
        <v>51.826391000000001</v>
      </c>
      <c r="D24" s="70">
        <f>+[15]Historico!F43/1000000</f>
        <v>55.981636000000002</v>
      </c>
      <c r="E24" s="70">
        <f>+[15]Historico!G43/1000000</f>
        <v>78.121904999999998</v>
      </c>
      <c r="F24" s="70">
        <f>+[15]Historico!H43/1000000</f>
        <v>126.964303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492.41948399999995</v>
      </c>
      <c r="D25" s="72">
        <f t="shared" si="34"/>
        <v>635.537868</v>
      </c>
      <c r="E25" s="72">
        <f t="shared" si="34"/>
        <v>838.68369199999984</v>
      </c>
      <c r="F25" s="72">
        <f t="shared" si="34"/>
        <v>1189.1050290000001</v>
      </c>
      <c r="G25" s="112">
        <f t="shared" si="34"/>
        <v>361.77718600000003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29.064321914605639</v>
      </c>
      <c r="E26" s="72">
        <f>(E25/D25-1)*100</f>
        <v>31.964393347525878</v>
      </c>
      <c r="F26" s="72">
        <f>(F25/E25-1)*100</f>
        <v>41.782300090318223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151.58184799999998</v>
      </c>
      <c r="D28" s="72">
        <f t="shared" si="35"/>
        <v>217.98183800000001</v>
      </c>
      <c r="E28" s="72">
        <f t="shared" si="35"/>
        <v>233.54540500000002</v>
      </c>
      <c r="F28" s="72">
        <f>SUMPRODUCT(F13:F24,$M$13:$M$24)</f>
        <v>331.03183399999995</v>
      </c>
      <c r="G28" s="30">
        <f>SUMPRODUCT(G13:G24,$M$13:$M$24)</f>
        <v>361.77718600000003</v>
      </c>
      <c r="H28" s="68">
        <f>IF(OR(OR(G28=0,F28=0),G28=""),"",(G28/F28-1)*100)</f>
        <v>9.2877327320731506</v>
      </c>
      <c r="I28" s="30">
        <f>IF(OR(OR(G28=0,F28=0),G28=""),"",G28/F28*100)</f>
        <v>109.28773273207315</v>
      </c>
      <c r="J28" s="30">
        <f>IF(OR(OR(G28=0,F28=0),F28=""),"",(F28/E28-1)*100)</f>
        <v>41.741959770092627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43.804710706522101</v>
      </c>
      <c r="E29" s="72">
        <f t="shared" si="36"/>
        <v>7.1398457517364289</v>
      </c>
      <c r="F29" s="72">
        <f t="shared" si="36"/>
        <v>41.741959770092627</v>
      </c>
      <c r="G29" s="30">
        <f t="shared" si="36"/>
        <v>9.2877327320731506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63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16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+[15]Historico!E57/1000000</f>
        <v>1317.7474030000001</v>
      </c>
      <c r="D13" s="70">
        <f>+[15]Historico!F57/1000000</f>
        <v>1124.1917570000001</v>
      </c>
      <c r="E13" s="70">
        <f>+[15]Historico!G57/1000000</f>
        <v>1516.037904</v>
      </c>
      <c r="F13" s="70">
        <f>+[15]Historico!H57/1000000</f>
        <v>2102.5089210000001</v>
      </c>
      <c r="G13" s="72">
        <f>+[15]Historico!I57/1000000</f>
        <v>2287.7421039999999</v>
      </c>
      <c r="H13" s="70">
        <f t="shared" ref="H13:H14" si="0">IF(OR(OR(G13=0,F13=0),G13=""),"",(G13/F13-1)*100)</f>
        <v>8.8101021189436182</v>
      </c>
      <c r="I13" s="70">
        <f t="shared" ref="I13:I14" si="1">IF(OR(OR(G13=0,F13=0),G13=""),"",G13/F13*100)</f>
        <v>108.81010211894362</v>
      </c>
      <c r="J13" s="70">
        <f t="shared" ref="J13:J14" si="2">IF(OR(OR(G13=0,F13=0),G13=""),"",(F13/E13-1)*100)</f>
        <v>38.684456071488825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+[15]Historico!E58/1000000</f>
        <v>1052.961249</v>
      </c>
      <c r="D14" s="70">
        <f>+[15]Historico!F58/1000000</f>
        <v>1115.0190809999999</v>
      </c>
      <c r="E14" s="70">
        <f>+[15]Historico!G58/1000000</f>
        <v>1473.34419</v>
      </c>
      <c r="F14" s="70">
        <f>+[15]Historico!H58/1000000</f>
        <v>1673.069563</v>
      </c>
      <c r="G14" s="72">
        <f>+[15]Historico!I58/1000000</f>
        <v>2178.897375</v>
      </c>
      <c r="H14" s="70">
        <f t="shared" si="0"/>
        <v>30.233519465442569</v>
      </c>
      <c r="I14" s="70">
        <f t="shared" si="1"/>
        <v>130.23351946544258</v>
      </c>
      <c r="J14" s="70">
        <f t="shared" si="2"/>
        <v>13.555920901279684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+[15]Historico!E59/1000000</f>
        <v>971.71835799999997</v>
      </c>
      <c r="D15" s="70">
        <f>+[15]Historico!F59/1000000</f>
        <v>1445.81537</v>
      </c>
      <c r="E15" s="70">
        <f>+[15]Historico!G59/1000000</f>
        <v>2056.6662719999999</v>
      </c>
      <c r="F15" s="70">
        <f>+[15]Historico!H59/1000000</f>
        <v>2260.742225</v>
      </c>
      <c r="G15" s="72">
        <f>+[15]Historico!I59/1000000</f>
        <v>2195.9354819999999</v>
      </c>
      <c r="H15" s="70">
        <f t="shared" ref="H15" si="4">IF(OR(OR(G15=0,F15=0),G15=""),"",(G15/F15-1)*100)</f>
        <v>-2.8666135521045577</v>
      </c>
      <c r="I15" s="70">
        <f t="shared" ref="I15" si="5">IF(OR(OR(G15=0,F15=0),G15=""),"",G15/F15*100)</f>
        <v>97.133386447895447</v>
      </c>
      <c r="J15" s="70">
        <f t="shared" ref="J15" si="6">IF(OR(OR(G15=0,F15=0),G15=""),"",(F15/E15-1)*100)</f>
        <v>9.9226576415602388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+[15]Historico!E60/1000000</f>
        <v>1122.003913</v>
      </c>
      <c r="D16" s="70">
        <f>+[15]Historico!F60/1000000</f>
        <v>1246.5208700000001</v>
      </c>
      <c r="E16" s="70">
        <f>+[15]Historico!G60/1000000</f>
        <v>2034.620977</v>
      </c>
      <c r="F16" s="70">
        <f>+[15]Historico!H60/1000000</f>
        <v>1971.7857059999999</v>
      </c>
      <c r="G16" s="30">
        <f>+[15]Historico!I60/1000000</f>
        <v>2446.764373</v>
      </c>
      <c r="H16" s="24">
        <f t="shared" ref="H16" si="7">IF(OR(OR(G16=0,F16=0),G16=""),"",(G16/F16-1)*100)</f>
        <v>24.088756985846626</v>
      </c>
      <c r="I16" s="24">
        <f t="shared" ref="I16" si="8">IF(OR(OR(G16=0,F16=0),G16=""),"",G16/F16*100)</f>
        <v>124.08875698584663</v>
      </c>
      <c r="J16" s="24">
        <f t="shared" ref="J16" si="9">IF(OR(OR(G16=0,F16=0),G16=""),"",(F16/E16-1)*100)</f>
        <v>-3.0883035076463838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+[15]Historico!E61/1000000</f>
        <v>942.35614599999997</v>
      </c>
      <c r="D17" s="70">
        <f>+[15]Historico!F61/1000000</f>
        <v>1345.4347540000001</v>
      </c>
      <c r="E17" s="70">
        <f>+[15]Historico!G61/1000000</f>
        <v>2424.2253970000002</v>
      </c>
      <c r="F17" s="70">
        <f>+[15]Historico!H61/1000000</f>
        <v>2649.2670349999999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+[15]Historico!E62/1000000</f>
        <v>948.93721000000005</v>
      </c>
      <c r="D18" s="70">
        <f>+[15]Historico!F62/1000000</f>
        <v>1301.4516779999999</v>
      </c>
      <c r="E18" s="70">
        <f>+[15]Historico!G62/1000000</f>
        <v>1779.0319300000001</v>
      </c>
      <c r="F18" s="70">
        <f>+[15]Historico!H62/1000000</f>
        <v>2198.745703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+[15]Historico!E63/1000000</f>
        <v>1316.649748</v>
      </c>
      <c r="D19" s="70">
        <f>+[15]Historico!F63/1000000</f>
        <v>1461.9948939999999</v>
      </c>
      <c r="E19" s="70">
        <f>+[15]Historico!G63/1000000</f>
        <v>1779.370795</v>
      </c>
      <c r="F19" s="70">
        <f>+[15]Historico!H63/1000000</f>
        <v>2373.1633830000001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+[15]Historico!E64/1000000</f>
        <v>1055.3559270000001</v>
      </c>
      <c r="D20" s="70">
        <f>+[15]Historico!F64/1000000</f>
        <v>1494.208519</v>
      </c>
      <c r="E20" s="70">
        <f>+[15]Historico!G64/1000000</f>
        <v>1875.126387</v>
      </c>
      <c r="F20" s="70">
        <f>+[15]Historico!H64/1000000</f>
        <v>2229.7839869999998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+[15]Historico!E65/1000000</f>
        <v>1126.720063</v>
      </c>
      <c r="D21" s="70">
        <f>+[15]Historico!F65/1000000</f>
        <v>1727.1406669999999</v>
      </c>
      <c r="E21" s="70">
        <f>+[15]Historico!G65/1000000</f>
        <v>2369.503682</v>
      </c>
      <c r="F21" s="70">
        <f>+[15]Historico!H65/1000000</f>
        <v>2216.540011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+[15]Historico!E66/1000000</f>
        <v>1215.402979</v>
      </c>
      <c r="D22" s="70">
        <f>+[15]Historico!F66/1000000</f>
        <v>1570.1751300000001</v>
      </c>
      <c r="E22" s="70">
        <f>+[15]Historico!G66/1000000</f>
        <v>2336.6355509999999</v>
      </c>
      <c r="F22" s="70">
        <f>+[15]Historico!H66/1000000</f>
        <v>2429.1615099999999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+[15]Historico!E67/1000000</f>
        <v>1064.666753</v>
      </c>
      <c r="D23" s="70">
        <f>+[15]Historico!F67/1000000</f>
        <v>1690.0644990000001</v>
      </c>
      <c r="E23" s="70">
        <f>+[15]Historico!G67/1000000</f>
        <v>2539.7678540000002</v>
      </c>
      <c r="F23" s="70">
        <f>+[15]Historico!H67/1000000</f>
        <v>2375.1095700000001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+[15]Historico!E68/1000000</f>
        <v>1268.584965</v>
      </c>
      <c r="D24" s="70">
        <f>+[15]Historico!F68/1000000</f>
        <v>1823.5586719999999</v>
      </c>
      <c r="E24" s="70">
        <f>+[15]Historico!G68/1000000</f>
        <v>2038.86816</v>
      </c>
      <c r="F24" s="70">
        <f>+[15]Historico!H68/1000000</f>
        <v>2028.7559060000001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13403.104714000001</v>
      </c>
      <c r="D25" s="72">
        <f t="shared" si="34"/>
        <v>17345.575891</v>
      </c>
      <c r="E25" s="72">
        <f t="shared" si="34"/>
        <v>24223.199099000005</v>
      </c>
      <c r="F25" s="72">
        <f t="shared" si="34"/>
        <v>26508.633519999996</v>
      </c>
      <c r="G25" s="112">
        <f t="shared" si="34"/>
        <v>9109.3393340000002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29.414611473429385</v>
      </c>
      <c r="E26" s="72">
        <f>(E25/D25-1)*100</f>
        <v>39.650590163273613</v>
      </c>
      <c r="F26" s="72">
        <f>(F25/E25-1)*100</f>
        <v>9.4348992123601825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4464.4309229999999</v>
      </c>
      <c r="D28" s="72">
        <f t="shared" si="35"/>
        <v>4931.5470780000005</v>
      </c>
      <c r="E28" s="72">
        <f t="shared" si="35"/>
        <v>7080.6693429999996</v>
      </c>
      <c r="F28" s="72">
        <f>SUMPRODUCT(F13:F24,$M$13:$M$24)</f>
        <v>8008.1064149999993</v>
      </c>
      <c r="G28" s="30">
        <f>SUMPRODUCT(G13:G24,$M$13:$M$24)</f>
        <v>9109.3393340000002</v>
      </c>
      <c r="H28" s="68">
        <f>IF(OR(OR(G28=0,F28=0),G28=""),"",(G28/F28-1)*100)</f>
        <v>13.751477089980725</v>
      </c>
      <c r="I28" s="30">
        <f>IF(OR(OR(G28=0,F28=0),G28=""),"",G28/F28*100)</f>
        <v>113.75147708998072</v>
      </c>
      <c r="J28" s="30">
        <f>IF(OR(OR(G28=0,F28=0),F28=""),"",(F28/E28-1)*100)</f>
        <v>13.098155373077415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10.463061542592067</v>
      </c>
      <c r="E29" s="72">
        <f t="shared" si="36"/>
        <v>43.579068211421813</v>
      </c>
      <c r="F29" s="72">
        <f t="shared" si="36"/>
        <v>13.098155373077415</v>
      </c>
      <c r="G29" s="30">
        <f t="shared" si="36"/>
        <v>13.751477089980725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65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16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+[15]Historico!E82/1000000</f>
        <v>106.04132199999999</v>
      </c>
      <c r="D13" s="70">
        <f>+[15]Historico!F82/1000000</f>
        <v>102.461524</v>
      </c>
      <c r="E13" s="70">
        <f>+[15]Historico!G82/1000000</f>
        <v>182.613956</v>
      </c>
      <c r="F13" s="70">
        <f>+[15]Historico!H82/1000000</f>
        <v>575.35828600000002</v>
      </c>
      <c r="G13" s="72">
        <f>+[15]Historico!I82/1000000</f>
        <v>604.41933500000005</v>
      </c>
      <c r="H13" s="70">
        <f t="shared" ref="H13:H14" si="0">IF(OR(OR(G13=0,F13=0),G13=""),"",(G13/F13-1)*100)</f>
        <v>5.0509482016914964</v>
      </c>
      <c r="I13" s="70">
        <f t="shared" ref="I13:I14" si="1">IF(OR(OR(G13=0,F13=0),G13=""),"",G13/F13*100)</f>
        <v>105.0509482016915</v>
      </c>
      <c r="J13" s="70">
        <f t="shared" ref="J13:J14" si="2">IF(OR(OR(G13=0,F13=0),G13=""),"",(F13/E13-1)*100)</f>
        <v>215.06808055787369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+[15]Historico!E83/1000000</f>
        <v>85.321374000000006</v>
      </c>
      <c r="D14" s="70">
        <f>+[15]Historico!F83/1000000</f>
        <v>98.130954000000003</v>
      </c>
      <c r="E14" s="70">
        <f>+[15]Historico!G83/1000000</f>
        <v>143.24853400000001</v>
      </c>
      <c r="F14" s="70">
        <f>+[15]Historico!H83/1000000</f>
        <v>176.56525999999999</v>
      </c>
      <c r="G14" s="72">
        <f>+[15]Historico!I83/1000000</f>
        <v>442.87344200000001</v>
      </c>
      <c r="H14" s="70">
        <f t="shared" si="0"/>
        <v>150.82705510698992</v>
      </c>
      <c r="I14" s="70">
        <f t="shared" si="1"/>
        <v>250.82705510698992</v>
      </c>
      <c r="J14" s="70">
        <f t="shared" si="2"/>
        <v>23.257987408094504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+[15]Historico!E84/1000000</f>
        <v>101.777687</v>
      </c>
      <c r="D15" s="70">
        <f>+[15]Historico!F84/1000000</f>
        <v>137.34686500000001</v>
      </c>
      <c r="E15" s="70">
        <f>+[15]Historico!G84/1000000</f>
        <v>177.82723999999999</v>
      </c>
      <c r="F15" s="70">
        <f>+[15]Historico!H84/1000000</f>
        <v>512.28781700000002</v>
      </c>
      <c r="G15" s="72">
        <f>+[15]Historico!I84/1000000</f>
        <v>494.51315299999999</v>
      </c>
      <c r="H15" s="70">
        <f t="shared" ref="H15" si="4">IF(OR(OR(G15=0,F15=0),G15=""),"",(G15/F15-1)*100)</f>
        <v>-3.4696636168492057</v>
      </c>
      <c r="I15" s="70">
        <f t="shared" ref="I15" si="5">IF(OR(OR(G15=0,F15=0),G15=""),"",G15/F15*100)</f>
        <v>96.530336383150797</v>
      </c>
      <c r="J15" s="70">
        <f t="shared" ref="J15" si="6">IF(OR(OR(G15=0,F15=0),G15=""),"",(F15/E15-1)*100)</f>
        <v>188.08174551885304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+[15]Historico!E85/1000000</f>
        <v>91.814465999999996</v>
      </c>
      <c r="D16" s="70">
        <f>+[15]Historico!F85/1000000</f>
        <v>135.42277100000001</v>
      </c>
      <c r="E16" s="70">
        <f>+[15]Historico!G85/1000000</f>
        <v>497.90861899999999</v>
      </c>
      <c r="F16" s="70">
        <f>+[15]Historico!H85/1000000</f>
        <v>364.49232499999999</v>
      </c>
      <c r="G16" s="30">
        <f>+[15]Historico!I85/1000000</f>
        <v>477.621602</v>
      </c>
      <c r="H16" s="24">
        <f t="shared" ref="H16" si="7">IF(OR(OR(G16=0,F16=0),G16=""),"",(G16/F16-1)*100)</f>
        <v>31.037492216056961</v>
      </c>
      <c r="I16" s="24">
        <f t="shared" ref="I16" si="8">IF(OR(OR(G16=0,F16=0),G16=""),"",G16/F16*100)</f>
        <v>131.03749221605696</v>
      </c>
      <c r="J16" s="24">
        <f t="shared" ref="J16" si="9">IF(OR(OR(G16=0,F16=0),G16=""),"",(F16/E16-1)*100)</f>
        <v>-26.795337318713898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+[15]Historico!E86/1000000</f>
        <v>94.888998999999998</v>
      </c>
      <c r="D17" s="70">
        <f>+[15]Historico!F86/1000000</f>
        <v>143.319278</v>
      </c>
      <c r="E17" s="70">
        <f>+[15]Historico!G86/1000000</f>
        <v>435.50117899999998</v>
      </c>
      <c r="F17" s="70">
        <f>+[15]Historico!H86/1000000</f>
        <v>727.46593700000005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+[15]Historico!E87/1000000</f>
        <v>95.849571999999995</v>
      </c>
      <c r="D18" s="70">
        <f>+[15]Historico!F87/1000000</f>
        <v>143.88329899999999</v>
      </c>
      <c r="E18" s="70">
        <f>+[15]Historico!G87/1000000</f>
        <v>168.29394400000001</v>
      </c>
      <c r="F18" s="70">
        <f>+[15]Historico!H87/1000000</f>
        <v>556.58722599999999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+[15]Historico!E88/1000000</f>
        <v>106.620969</v>
      </c>
      <c r="D19" s="70">
        <f>+[15]Historico!F88/1000000</f>
        <v>150.021198</v>
      </c>
      <c r="E19" s="70">
        <f>+[15]Historico!G88/1000000</f>
        <v>157.68370400000001</v>
      </c>
      <c r="F19" s="70">
        <f>+[15]Historico!H88/1000000</f>
        <v>625.05341099999998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+[15]Historico!E89/1000000</f>
        <v>107.77664900000001</v>
      </c>
      <c r="D20" s="70">
        <f>+[15]Historico!F89/1000000</f>
        <v>166.18883199999999</v>
      </c>
      <c r="E20" s="70">
        <f>+[15]Historico!G89/1000000</f>
        <v>174.044219</v>
      </c>
      <c r="F20" s="70">
        <f>+[15]Historico!H89/1000000</f>
        <v>319.16595799999999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+[15]Historico!E90/1000000</f>
        <v>106.41778499999999</v>
      </c>
      <c r="D21" s="70">
        <f>+[15]Historico!F90/1000000</f>
        <v>188.45273499999999</v>
      </c>
      <c r="E21" s="70">
        <f>+[15]Historico!G90/1000000</f>
        <v>432.41536300000001</v>
      </c>
      <c r="F21" s="70">
        <f>+[15]Historico!H90/1000000</f>
        <v>561.08799199999999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+[15]Historico!E91/1000000</f>
        <v>113.913602</v>
      </c>
      <c r="D22" s="70">
        <f>+[15]Historico!F91/1000000</f>
        <v>232.461015</v>
      </c>
      <c r="E22" s="70">
        <f>+[15]Historico!G91/1000000</f>
        <v>387.53152</v>
      </c>
      <c r="F22" s="70">
        <f>+[15]Historico!H91/1000000</f>
        <v>459.11621300000002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+[15]Historico!E92/1000000</f>
        <v>117.34535</v>
      </c>
      <c r="D23" s="70">
        <f>+[15]Historico!F92/1000000</f>
        <v>147.21041099999999</v>
      </c>
      <c r="E23" s="70">
        <f>+[15]Historico!G92/1000000</f>
        <v>529.76970500000004</v>
      </c>
      <c r="F23" s="70">
        <f>+[15]Historico!H92/1000000</f>
        <v>464.01463699999999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+[15]Historico!E93/1000000</f>
        <v>121.74467300000001</v>
      </c>
      <c r="D24" s="70">
        <f>+[15]Historico!F93/1000000</f>
        <v>326.09976699999999</v>
      </c>
      <c r="E24" s="70">
        <f>+[15]Historico!G93/1000000</f>
        <v>157.49479299999999</v>
      </c>
      <c r="F24" s="70">
        <f>+[15]Historico!H93/1000000</f>
        <v>265.11161099999998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1249.5124479999997</v>
      </c>
      <c r="D25" s="72">
        <f t="shared" si="34"/>
        <v>1970.9986490000001</v>
      </c>
      <c r="E25" s="72">
        <f t="shared" si="34"/>
        <v>3444.3327759999997</v>
      </c>
      <c r="F25" s="72">
        <f t="shared" si="34"/>
        <v>5606.306673000001</v>
      </c>
      <c r="G25" s="112">
        <f t="shared" si="34"/>
        <v>2019.4275319999999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57.741417634920644</v>
      </c>
      <c r="E26" s="72">
        <f>(E25/D25-1)*100</f>
        <v>74.750641140596727</v>
      </c>
      <c r="F26" s="72">
        <f>(F25/E25-1)*100</f>
        <v>62.769019069950673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384.95484899999997</v>
      </c>
      <c r="D28" s="72">
        <f t="shared" si="35"/>
        <v>473.36211400000002</v>
      </c>
      <c r="E28" s="72">
        <f t="shared" si="35"/>
        <v>1001.5983489999999</v>
      </c>
      <c r="F28" s="72">
        <f>SUMPRODUCT(F13:F24,$M$13:$M$24)</f>
        <v>1628.7036879999998</v>
      </c>
      <c r="G28" s="30">
        <f>SUMPRODUCT(G13:G24,$M$13:$M$24)</f>
        <v>2019.4275319999999</v>
      </c>
      <c r="H28" s="68">
        <f>IF(OR(OR(G28=0,F28=0),G28=""),"",(G28/F28-1)*100)</f>
        <v>23.989866719083651</v>
      </c>
      <c r="I28" s="30">
        <f>IF(OR(OR(G28=0,F28=0),G28=""),"",G28/F28*100)</f>
        <v>123.98986671908365</v>
      </c>
      <c r="J28" s="30">
        <f>IF(OR(OR(G28=0,F28=0),F28=""),"",(F28/E28-1)*100)</f>
        <v>62.610460533017509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22.965619274482773</v>
      </c>
      <c r="E29" s="72">
        <f t="shared" si="36"/>
        <v>111.59241928685483</v>
      </c>
      <c r="F29" s="72">
        <f t="shared" si="36"/>
        <v>62.610460533017509</v>
      </c>
      <c r="G29" s="30">
        <f t="shared" si="36"/>
        <v>23.989866719083651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66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16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+[15]Historico!E107/1000000</f>
        <v>185.395669</v>
      </c>
      <c r="D13" s="70">
        <f>+[15]Historico!F107/1000000</f>
        <v>128.12426199999999</v>
      </c>
      <c r="E13" s="70">
        <f>+[15]Historico!G107/1000000</f>
        <v>205.99620999999999</v>
      </c>
      <c r="F13" s="70">
        <f>+[15]Historico!H107/1000000</f>
        <v>273.672777</v>
      </c>
      <c r="G13" s="72">
        <f>+[15]Historico!I107/1000000</f>
        <v>262.53454799999997</v>
      </c>
      <c r="H13" s="70">
        <f t="shared" ref="H13:H14" si="0">IF(OR(OR(G13=0,F13=0),G13=""),"",(G13/F13-1)*100)</f>
        <v>-4.0699075450971955</v>
      </c>
      <c r="I13" s="70">
        <f t="shared" ref="I13:I14" si="1">IF(OR(OR(G13=0,F13=0),G13=""),"",G13/F13*100)</f>
        <v>95.930092454902805</v>
      </c>
      <c r="J13" s="70">
        <f t="shared" ref="J13:J14" si="2">IF(OR(OR(G13=0,F13=0),G13=""),"",(F13/E13-1)*100)</f>
        <v>32.85330686423795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+[15]Historico!E108/1000000</f>
        <v>127.712198</v>
      </c>
      <c r="D14" s="70">
        <f>+[15]Historico!F108/1000000</f>
        <v>158.81557100000001</v>
      </c>
      <c r="E14" s="70">
        <f>+[15]Historico!G108/1000000</f>
        <v>212.24603500000001</v>
      </c>
      <c r="F14" s="70">
        <f>+[15]Historico!H108/1000000</f>
        <v>286.30486200000001</v>
      </c>
      <c r="G14" s="72">
        <f>+[15]Historico!I108/1000000</f>
        <v>265.05085700000001</v>
      </c>
      <c r="H14" s="70">
        <f t="shared" si="0"/>
        <v>-7.423557131209324</v>
      </c>
      <c r="I14" s="70">
        <f t="shared" si="1"/>
        <v>92.576442868790679</v>
      </c>
      <c r="J14" s="70">
        <f t="shared" si="2"/>
        <v>34.892914253969451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+[15]Historico!E109/1000000</f>
        <v>117.754178</v>
      </c>
      <c r="D15" s="70">
        <f>+[15]Historico!F109/1000000</f>
        <v>189.94590700000001</v>
      </c>
      <c r="E15" s="70">
        <f>+[15]Historico!G109/1000000</f>
        <v>242.00694999999999</v>
      </c>
      <c r="F15" s="70">
        <f>+[15]Historico!H109/1000000</f>
        <v>281.21410300000002</v>
      </c>
      <c r="G15" s="72">
        <f>+[15]Historico!I109/1000000</f>
        <v>262.95615199999997</v>
      </c>
      <c r="H15" s="70">
        <f t="shared" ref="H15" si="4">IF(OR(OR(G15=0,F15=0),G15=""),"",(G15/F15-1)*100)</f>
        <v>-6.4925445791031544</v>
      </c>
      <c r="I15" s="70">
        <f t="shared" ref="I15" si="5">IF(OR(OR(G15=0,F15=0),G15=""),"",G15/F15*100)</f>
        <v>93.507455420896846</v>
      </c>
      <c r="J15" s="70">
        <f t="shared" ref="J15" si="6">IF(OR(OR(G15=0,F15=0),G15=""),"",(F15/E15-1)*100)</f>
        <v>16.200837620572472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+[15]Historico!E110/1000000</f>
        <v>125.964979</v>
      </c>
      <c r="D16" s="70">
        <f>+[15]Historico!F110/1000000</f>
        <v>160.87774899999999</v>
      </c>
      <c r="E16" s="70">
        <f>+[15]Historico!G110/1000000</f>
        <v>254.92244199999999</v>
      </c>
      <c r="F16" s="70">
        <f>+[15]Historico!H110/1000000</f>
        <v>276.48818399999999</v>
      </c>
      <c r="G16" s="30">
        <f>+[15]Historico!I110/1000000</f>
        <v>296.02373299999999</v>
      </c>
      <c r="H16" s="24">
        <f t="shared" ref="H16" si="7">IF(OR(OR(G16=0,F16=0),G16=""),"",(G16/F16-1)*100)</f>
        <v>7.0655999534504632</v>
      </c>
      <c r="I16" s="24">
        <f t="shared" ref="I16" si="8">IF(OR(OR(G16=0,F16=0),G16=""),"",G16/F16*100)</f>
        <v>107.06559995345046</v>
      </c>
      <c r="J16" s="24">
        <f t="shared" ref="J16" si="9">IF(OR(OR(G16=0,F16=0),G16=""),"",(F16/E16-1)*100)</f>
        <v>8.4597267430852607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+[15]Historico!E111/1000000</f>
        <v>109.471045</v>
      </c>
      <c r="D17" s="70">
        <f>+[15]Historico!F111/1000000</f>
        <v>158.41636800000001</v>
      </c>
      <c r="E17" s="70">
        <f>+[15]Historico!G111/1000000</f>
        <v>315.22943299999997</v>
      </c>
      <c r="F17" s="70">
        <f>+[15]Historico!H111/1000000</f>
        <v>302.43192900000003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+[15]Historico!E112/1000000</f>
        <v>122.924665</v>
      </c>
      <c r="D18" s="70">
        <f>+[15]Historico!F112/1000000</f>
        <v>196.42122900000001</v>
      </c>
      <c r="E18" s="70">
        <f>+[15]Historico!G112/1000000</f>
        <v>268.19292100000001</v>
      </c>
      <c r="F18" s="70">
        <f>+[15]Historico!H112/1000000</f>
        <v>290.53985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+[15]Historico!E113/1000000</f>
        <v>142.19920300000001</v>
      </c>
      <c r="D19" s="70">
        <f>+[15]Historico!F113/1000000</f>
        <v>224.740332</v>
      </c>
      <c r="E19" s="70">
        <f>+[15]Historico!G113/1000000</f>
        <v>280.18350500000003</v>
      </c>
      <c r="F19" s="70">
        <f>+[15]Historico!H113/1000000</f>
        <v>353.09029199999998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+[15]Historico!E114/1000000</f>
        <v>136.70020299999999</v>
      </c>
      <c r="D20" s="70">
        <f>+[15]Historico!F114/1000000</f>
        <v>228.66753800000001</v>
      </c>
      <c r="E20" s="70">
        <f>+[15]Historico!G114/1000000</f>
        <v>315.19032199999998</v>
      </c>
      <c r="F20" s="70">
        <f>+[15]Historico!H114/1000000</f>
        <v>361.30524400000002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+[15]Historico!E115/1000000</f>
        <v>153.86344399999999</v>
      </c>
      <c r="D21" s="70">
        <f>+[15]Historico!F115/1000000</f>
        <v>260.89074599999998</v>
      </c>
      <c r="E21" s="70">
        <f>+[15]Historico!G115/1000000</f>
        <v>311.20364499999999</v>
      </c>
      <c r="F21" s="70">
        <f>+[15]Historico!H115/1000000</f>
        <v>327.293836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+[15]Historico!E116/1000000</f>
        <v>157.76970800000001</v>
      </c>
      <c r="D22" s="70">
        <f>+[15]Historico!F116/1000000</f>
        <v>259.15973000000002</v>
      </c>
      <c r="E22" s="70">
        <f>+[15]Historico!G116/1000000</f>
        <v>339.99044900000001</v>
      </c>
      <c r="F22" s="70">
        <f>+[15]Historico!H116/1000000</f>
        <v>351.97634199999999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+[15]Historico!E117/1000000</f>
        <v>144.80228600000001</v>
      </c>
      <c r="D23" s="70">
        <f>+[15]Historico!F117/1000000</f>
        <v>255.131992</v>
      </c>
      <c r="E23" s="70">
        <f>+[15]Historico!G117/1000000</f>
        <v>334.43166200000002</v>
      </c>
      <c r="F23" s="70">
        <f>+[15]Historico!H117/1000000</f>
        <v>316.51254599999999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+[15]Historico!E118/1000000</f>
        <v>175.981752</v>
      </c>
      <c r="D24" s="70">
        <f>+[15]Historico!F118/1000000</f>
        <v>236.751499</v>
      </c>
      <c r="E24" s="70">
        <f>+[15]Historico!G118/1000000</f>
        <v>361.85999299999997</v>
      </c>
      <c r="F24" s="70">
        <f>+[15]Historico!H118/1000000</f>
        <v>308.63022799999999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1700.5393300000001</v>
      </c>
      <c r="D25" s="72">
        <f t="shared" si="34"/>
        <v>2457.9429230000001</v>
      </c>
      <c r="E25" s="72">
        <f t="shared" si="34"/>
        <v>3441.453567</v>
      </c>
      <c r="F25" s="72">
        <f t="shared" si="34"/>
        <v>3729.4601929999999</v>
      </c>
      <c r="G25" s="112">
        <f t="shared" si="34"/>
        <v>1086.56529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44.539022393560288</v>
      </c>
      <c r="E26" s="72">
        <f>(E25/D25-1)*100</f>
        <v>40.013567231235506</v>
      </c>
      <c r="F26" s="72">
        <f>(F25/E25-1)*100</f>
        <v>8.3687494366243129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556.82702399999994</v>
      </c>
      <c r="D28" s="72">
        <f t="shared" si="35"/>
        <v>637.76348900000005</v>
      </c>
      <c r="E28" s="72">
        <f t="shared" si="35"/>
        <v>915.17163699999992</v>
      </c>
      <c r="F28" s="72">
        <f>SUMPRODUCT(F13:F24,$M$13:$M$24)</f>
        <v>1117.679926</v>
      </c>
      <c r="G28" s="30">
        <f>SUMPRODUCT(G13:G24,$M$13:$M$24)</f>
        <v>1086.56529</v>
      </c>
      <c r="H28" s="68">
        <f>IF(OR(OR(G28=0,F28=0),G28=""),"",(G28/F28-1)*100)</f>
        <v>-2.7838592495218584</v>
      </c>
      <c r="I28" s="30">
        <f>IF(OR(OR(G28=0,F28=0),G28=""),"",G28/F28*100)</f>
        <v>97.216140750478147</v>
      </c>
      <c r="J28" s="30">
        <f>IF(OR(OR(G28=0,F28=0),F28=""),"",(F28/E28-1)*100)</f>
        <v>22.127902659203592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14.535297590010664</v>
      </c>
      <c r="E29" s="72">
        <f t="shared" si="36"/>
        <v>43.497025587803726</v>
      </c>
      <c r="F29" s="72">
        <f t="shared" si="36"/>
        <v>22.127902659203592</v>
      </c>
      <c r="G29" s="30">
        <f t="shared" si="36"/>
        <v>-2.7838592495218584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67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16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+[15]Historico!E132/1000000</f>
        <v>385.681219</v>
      </c>
      <c r="D13" s="70">
        <f>+[15]Historico!F132/1000000</f>
        <v>332.77755500000001</v>
      </c>
      <c r="E13" s="70">
        <f>+[15]Historico!G132/1000000</f>
        <v>532.64609599999994</v>
      </c>
      <c r="F13" s="70">
        <f>+[15]Historico!H132/1000000</f>
        <v>701.45069699999999</v>
      </c>
      <c r="G13" s="72">
        <f>+[15]Historico!I132/1000000</f>
        <v>669.67718600000001</v>
      </c>
      <c r="H13" s="70">
        <f t="shared" ref="H13:H14" si="0">IF(OR(OR(G13=0,F13=0),G13=""),"",(G13/F13-1)*100)</f>
        <v>-4.5296855696188683</v>
      </c>
      <c r="I13" s="70">
        <f t="shared" ref="I13:I14" si="1">IF(OR(OR(G13=0,F13=0),G13=""),"",G13/F13*100)</f>
        <v>95.470314430381137</v>
      </c>
      <c r="J13" s="70">
        <f t="shared" ref="J13:J14" si="2">IF(OR(OR(G13=0,F13=0),G13=""),"",(F13/E13-1)*100)</f>
        <v>31.691699660932105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+[15]Historico!E133/1000000</f>
        <v>319.58694500000001</v>
      </c>
      <c r="D14" s="70">
        <f>+[15]Historico!F133/1000000</f>
        <v>352.404042</v>
      </c>
      <c r="E14" s="70">
        <f>+[15]Historico!G133/1000000</f>
        <v>558.45483000000002</v>
      </c>
      <c r="F14" s="70">
        <f>+[15]Historico!H133/1000000</f>
        <v>656.63609099999996</v>
      </c>
      <c r="G14" s="72">
        <f>+[15]Historico!I133/1000000</f>
        <v>592.464699</v>
      </c>
      <c r="H14" s="70">
        <f t="shared" si="0"/>
        <v>-9.7727482359783906</v>
      </c>
      <c r="I14" s="70">
        <f t="shared" si="1"/>
        <v>90.227251764021617</v>
      </c>
      <c r="J14" s="70">
        <f t="shared" si="2"/>
        <v>17.580877758725787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+[15]Historico!E134/1000000</f>
        <v>313.55358899999999</v>
      </c>
      <c r="D15" s="70">
        <f>+[15]Historico!F134/1000000</f>
        <v>435.92687699999999</v>
      </c>
      <c r="E15" s="70">
        <f>+[15]Historico!G134/1000000</f>
        <v>683.94675299999994</v>
      </c>
      <c r="F15" s="70">
        <f>+[15]Historico!H134/1000000</f>
        <v>835.43943999999999</v>
      </c>
      <c r="G15" s="72">
        <f>+[15]Historico!I134/1000000</f>
        <v>625.41759200000001</v>
      </c>
      <c r="H15" s="70">
        <f t="shared" ref="H15" si="4">IF(OR(OR(G15=0,F15=0),G15=""),"",(G15/F15-1)*100)</f>
        <v>-25.139087041425768</v>
      </c>
      <c r="I15" s="70">
        <f t="shared" ref="I15" si="5">IF(OR(OR(G15=0,F15=0),G15=""),"",G15/F15*100)</f>
        <v>74.860912958574232</v>
      </c>
      <c r="J15" s="70">
        <f t="shared" ref="J15" si="6">IF(OR(OR(G15=0,F15=0),G15=""),"",(F15/E15-1)*100)</f>
        <v>22.149777937464687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+[15]Historico!E135/1000000</f>
        <v>304.51503600000001</v>
      </c>
      <c r="D16" s="70">
        <f>+[15]Historico!F135/1000000</f>
        <v>415.83939600000002</v>
      </c>
      <c r="E16" s="70">
        <f>+[15]Historico!G135/1000000</f>
        <v>677.89439200000004</v>
      </c>
      <c r="F16" s="70">
        <f>+[15]Historico!H135/1000000</f>
        <v>724.82487000000003</v>
      </c>
      <c r="G16" s="30">
        <f>+[15]Historico!I135/1000000</f>
        <v>809.20029599999998</v>
      </c>
      <c r="H16" s="24">
        <f t="shared" ref="H16" si="7">IF(OR(OR(G16=0,F16=0),G16=""),"",(G16/F16-1)*100)</f>
        <v>11.640801729112837</v>
      </c>
      <c r="I16" s="24">
        <f t="shared" ref="I16" si="8">IF(OR(OR(G16=0,F16=0),G16=""),"",G16/F16*100)</f>
        <v>111.64080172911284</v>
      </c>
      <c r="J16" s="24">
        <f t="shared" ref="J16" si="9">IF(OR(OR(G16=0,F16=0),G16=""),"",(F16/E16-1)*100)</f>
        <v>6.9229777608191156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+[15]Historico!E136/1000000</f>
        <v>272.69647900000001</v>
      </c>
      <c r="D17" s="70">
        <f>+[15]Historico!F136/1000000</f>
        <v>412.747434</v>
      </c>
      <c r="E17" s="70">
        <f>+[15]Historico!G136/1000000</f>
        <v>796.88527599999998</v>
      </c>
      <c r="F17" s="70">
        <f>+[15]Historico!H136/1000000</f>
        <v>851.88487599999996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+[15]Historico!E137/1000000</f>
        <v>279.702248</v>
      </c>
      <c r="D18" s="70">
        <f>+[15]Historico!F137/1000000</f>
        <v>483.92732699999999</v>
      </c>
      <c r="E18" s="70">
        <f>+[15]Historico!G137/1000000</f>
        <v>630.27117499999997</v>
      </c>
      <c r="F18" s="70">
        <f>+[15]Historico!H137/1000000</f>
        <v>761.35008800000003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+[15]Historico!E138/1000000</f>
        <v>359.357214</v>
      </c>
      <c r="D19" s="70">
        <f>+[15]Historico!F138/1000000</f>
        <v>462.48172699999998</v>
      </c>
      <c r="E19" s="70">
        <f>+[15]Historico!G138/1000000</f>
        <v>648.26758199999995</v>
      </c>
      <c r="F19" s="70">
        <f>+[15]Historico!H138/1000000</f>
        <v>746.24134900000001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+[15]Historico!E139/1000000</f>
        <v>293.92118099999999</v>
      </c>
      <c r="D20" s="70">
        <f>+[15]Historico!F139/1000000</f>
        <v>469.91059799999999</v>
      </c>
      <c r="E20" s="70">
        <f>+[15]Historico!G139/1000000</f>
        <v>719.83612900000003</v>
      </c>
      <c r="F20" s="70">
        <f>+[15]Historico!H139/1000000</f>
        <v>837.14790800000003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+[15]Historico!E140/1000000</f>
        <v>337.85008599999998</v>
      </c>
      <c r="D21" s="70">
        <f>+[15]Historico!F140/1000000</f>
        <v>513.445965</v>
      </c>
      <c r="E21" s="70">
        <f>+[15]Historico!G140/1000000</f>
        <v>824.58063100000004</v>
      </c>
      <c r="F21" s="70">
        <f>+[15]Historico!H140/1000000</f>
        <v>729.01875399999994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+[15]Historico!E141/1000000</f>
        <v>381.15593799999999</v>
      </c>
      <c r="D22" s="70">
        <f>+[15]Historico!F141/1000000</f>
        <v>621.18192199999999</v>
      </c>
      <c r="E22" s="70">
        <f>+[15]Historico!G141/1000000</f>
        <v>762.930385</v>
      </c>
      <c r="F22" s="70">
        <f>+[15]Historico!H141/1000000</f>
        <v>787.28975500000001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+[15]Historico!E142/1000000</f>
        <v>341.72087299999998</v>
      </c>
      <c r="D23" s="70">
        <f>+[15]Historico!F142/1000000</f>
        <v>597.66459099999997</v>
      </c>
      <c r="E23" s="70">
        <f>+[15]Historico!G142/1000000</f>
        <v>880.65103799999997</v>
      </c>
      <c r="F23" s="70">
        <f>+[15]Historico!H142/1000000</f>
        <v>751.25190799999996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+[15]Historico!E143/1000000</f>
        <v>393.34359000000001</v>
      </c>
      <c r="D24" s="70">
        <f>+[15]Historico!F143/1000000</f>
        <v>698.98407199999997</v>
      </c>
      <c r="E24" s="70">
        <f>+[15]Historico!G143/1000000</f>
        <v>652.50464499999998</v>
      </c>
      <c r="F24" s="70">
        <f>+[15]Historico!H143/1000000</f>
        <v>701.38226499999996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3983.0843979999995</v>
      </c>
      <c r="D25" s="72">
        <f t="shared" si="34"/>
        <v>5797.2915059999996</v>
      </c>
      <c r="E25" s="72">
        <f t="shared" si="34"/>
        <v>8368.8689319999994</v>
      </c>
      <c r="F25" s="72">
        <f t="shared" si="34"/>
        <v>9083.918001</v>
      </c>
      <c r="G25" s="112">
        <f t="shared" si="34"/>
        <v>2696.7597729999998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45.547794792170507</v>
      </c>
      <c r="E26" s="72">
        <f>(E25/D25-1)*100</f>
        <v>44.358256322603481</v>
      </c>
      <c r="F26" s="72">
        <f>(F25/E25-1)*100</f>
        <v>8.5441542317130867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1323.336789</v>
      </c>
      <c r="D28" s="72">
        <f t="shared" si="35"/>
        <v>1536.9478700000002</v>
      </c>
      <c r="E28" s="72">
        <f t="shared" si="35"/>
        <v>2452.9420709999999</v>
      </c>
      <c r="F28" s="72">
        <f>SUMPRODUCT(F13:F24,$M$13:$M$24)</f>
        <v>2918.3510980000001</v>
      </c>
      <c r="G28" s="30">
        <f>SUMPRODUCT(G13:G24,$M$13:$M$24)</f>
        <v>2696.7597729999998</v>
      </c>
      <c r="H28" s="68">
        <f>IF(OR(OR(G28=0,F28=0),G28=""),"",(G28/F28-1)*100)</f>
        <v>-7.5930317346621141</v>
      </c>
      <c r="I28" s="30">
        <f>IF(OR(OR(G28=0,F28=0),G28=""),"",G28/F28*100)</f>
        <v>92.406968265337881</v>
      </c>
      <c r="J28" s="30">
        <f>IF(OR(OR(G28=0,F28=0),F28=""),"",(F28/E28-1)*100)</f>
        <v>18.973502574818866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16.141853137886297</v>
      </c>
      <c r="E29" s="72">
        <f t="shared" si="36"/>
        <v>59.598260870097029</v>
      </c>
      <c r="F29" s="72">
        <f t="shared" si="36"/>
        <v>18.973502574818866</v>
      </c>
      <c r="G29" s="30">
        <f t="shared" si="36"/>
        <v>-7.5930317346621141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7" t="s">
        <v>68</v>
      </c>
      <c r="D7" s="127"/>
      <c r="E7" s="127"/>
      <c r="F7" s="127"/>
      <c r="G7" s="127"/>
      <c r="H7" s="127"/>
      <c r="I7" s="127"/>
      <c r="J7" s="127"/>
      <c r="K7" s="62"/>
    </row>
    <row r="8" spans="1:14">
      <c r="A8" s="60"/>
      <c r="B8" s="41"/>
      <c r="C8" s="121" t="s">
        <v>49</v>
      </c>
      <c r="D8" s="121"/>
      <c r="E8" s="121"/>
      <c r="F8" s="121"/>
      <c r="G8" s="121"/>
      <c r="H8" s="121"/>
      <c r="I8" s="121"/>
      <c r="J8" s="121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8" t="s">
        <v>1</v>
      </c>
      <c r="D10" s="128"/>
      <c r="E10" s="128"/>
      <c r="F10" s="128"/>
      <c r="G10" s="128"/>
      <c r="H10" s="125" t="s">
        <v>131</v>
      </c>
      <c r="I10" s="125" t="str">
        <f>+'Histórico importaciones'!I10:I11</f>
        <v xml:space="preserve"> '13 como % de '12</v>
      </c>
      <c r="J10" s="125" t="str">
        <f>+'Histórico importaciones'!J10:J11</f>
        <v>% Cambio   '12/'11</v>
      </c>
      <c r="K10" s="62"/>
    </row>
    <row r="11" spans="1:14">
      <c r="A11" s="60"/>
      <c r="B11" s="43"/>
      <c r="C11" s="116">
        <f>+'Histórico importaciones'!C11</f>
        <v>2009</v>
      </c>
      <c r="D11" s="116">
        <f>+'Histórico importaciones'!D11</f>
        <v>2010</v>
      </c>
      <c r="E11" s="116">
        <f>+'Histórico importaciones'!E11</f>
        <v>2011</v>
      </c>
      <c r="F11" s="116">
        <f>+'Histórico importaciones'!F11</f>
        <v>2012</v>
      </c>
      <c r="G11" s="116">
        <f>+'Histórico importaciones'!G11</f>
        <v>2013</v>
      </c>
      <c r="H11" s="125"/>
      <c r="I11" s="125"/>
      <c r="J11" s="125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116</v>
      </c>
      <c r="C13" s="70">
        <f>+[15]Historico!E157/1000000</f>
        <v>640.62919299999999</v>
      </c>
      <c r="D13" s="70">
        <f>+[15]Historico!F157/1000000</f>
        <v>560.82841499999995</v>
      </c>
      <c r="E13" s="70">
        <f>+[15]Historico!G157/1000000</f>
        <v>594.78164200000003</v>
      </c>
      <c r="F13" s="70">
        <f>+[15]Historico!H157/1000000</f>
        <v>552.02716099999998</v>
      </c>
      <c r="G13" s="72">
        <f>+[15]Historico!I157/1000000</f>
        <v>751.11103400000002</v>
      </c>
      <c r="H13" s="70">
        <f t="shared" ref="H13:H14" si="0">IF(OR(OR(G13=0,F13=0),G13=""),"",(G13/F13-1)*100)</f>
        <v>36.06414449596258</v>
      </c>
      <c r="I13" s="70">
        <f t="shared" ref="I13:I14" si="1">IF(OR(OR(G13=0,F13=0),G13=""),"",G13/F13*100)</f>
        <v>136.06414449596258</v>
      </c>
      <c r="J13" s="70">
        <f t="shared" ref="J13:J14" si="2">IF(OR(OR(G13=0,F13=0),G13=""),"",(F13/E13-1)*100)</f>
        <v>-7.1882650675355038</v>
      </c>
      <c r="K13" s="62"/>
      <c r="M13" s="39">
        <f t="shared" ref="M13:M24" si="3">IF(G13="","",1)</f>
        <v>1</v>
      </c>
    </row>
    <row r="14" spans="1:14">
      <c r="A14" s="60"/>
      <c r="B14" s="69" t="s">
        <v>7</v>
      </c>
      <c r="C14" s="70">
        <f>+[15]Historico!E158/1000000</f>
        <v>520.340732</v>
      </c>
      <c r="D14" s="70">
        <f>+[15]Historico!F158/1000000</f>
        <v>505.66851400000002</v>
      </c>
      <c r="E14" s="70">
        <f>+[15]Historico!G158/1000000</f>
        <v>559.39479200000005</v>
      </c>
      <c r="F14" s="70">
        <f>+[15]Historico!H158/1000000</f>
        <v>553.56335000000001</v>
      </c>
      <c r="G14" s="72">
        <f>+[15]Historico!I158/1000000</f>
        <v>878.508377</v>
      </c>
      <c r="H14" s="70">
        <f t="shared" si="0"/>
        <v>58.700603463000213</v>
      </c>
      <c r="I14" s="70">
        <f t="shared" si="1"/>
        <v>158.70060346300022</v>
      </c>
      <c r="J14" s="70">
        <f t="shared" si="2"/>
        <v>-1.0424555400580182</v>
      </c>
      <c r="K14" s="62"/>
      <c r="M14" s="39">
        <f t="shared" si="3"/>
        <v>1</v>
      </c>
    </row>
    <row r="15" spans="1:14">
      <c r="A15" s="60"/>
      <c r="B15" s="69" t="s">
        <v>8</v>
      </c>
      <c r="C15" s="70">
        <f>+[15]Historico!E159/1000000</f>
        <v>438.632904</v>
      </c>
      <c r="D15" s="70">
        <f>+[15]Historico!F159/1000000</f>
        <v>682.59572100000003</v>
      </c>
      <c r="E15" s="70">
        <f>+[15]Historico!G159/1000000</f>
        <v>952.88532899999996</v>
      </c>
      <c r="F15" s="70">
        <f>+[15]Historico!H159/1000000</f>
        <v>631.80086500000004</v>
      </c>
      <c r="G15" s="72">
        <f>+[15]Historico!I159/1000000</f>
        <v>813.04858400000001</v>
      </c>
      <c r="H15" s="70">
        <f t="shared" ref="H15" si="4">IF(OR(OR(G15=0,F15=0),G15=""),"",(G15/F15-1)*100)</f>
        <v>28.687475601984168</v>
      </c>
      <c r="I15" s="70">
        <f t="shared" ref="I15" si="5">IF(OR(OR(G15=0,F15=0),G15=""),"",G15/F15*100)</f>
        <v>128.68747560198418</v>
      </c>
      <c r="J15" s="70">
        <f t="shared" ref="J15" si="6">IF(OR(OR(G15=0,F15=0),G15=""),"",(F15/E15-1)*100)</f>
        <v>-33.69602345929286</v>
      </c>
      <c r="K15" s="62"/>
      <c r="M15" s="39">
        <f t="shared" si="3"/>
        <v>1</v>
      </c>
    </row>
    <row r="16" spans="1:14">
      <c r="A16" s="60"/>
      <c r="B16" s="69" t="s">
        <v>9</v>
      </c>
      <c r="C16" s="70">
        <f>+[15]Historico!E160/1000000</f>
        <v>599.70943199999999</v>
      </c>
      <c r="D16" s="70">
        <f>+[15]Historico!F160/1000000</f>
        <v>534.38095399999997</v>
      </c>
      <c r="E16" s="70">
        <f>+[15]Historico!G160/1000000</f>
        <v>603.89552400000002</v>
      </c>
      <c r="F16" s="70">
        <f>+[15]Historico!H160/1000000</f>
        <v>605.98032699999999</v>
      </c>
      <c r="G16" s="30">
        <f>+[15]Historico!I160/1000000</f>
        <v>863.91874299999995</v>
      </c>
      <c r="H16" s="24">
        <f t="shared" ref="H16" si="7">IF(OR(OR(G16=0,F16=0),G16=""),"",(G16/F16-1)*100)</f>
        <v>42.565476882222278</v>
      </c>
      <c r="I16" s="24">
        <f t="shared" ref="I16" si="8">IF(OR(OR(G16=0,F16=0),G16=""),"",G16/F16*100)</f>
        <v>142.56547688222227</v>
      </c>
      <c r="J16" s="24">
        <f t="shared" ref="J16" si="9">IF(OR(OR(G16=0,F16=0),G16=""),"",(F16/E16-1)*100)</f>
        <v>0.34522577451658876</v>
      </c>
      <c r="K16" s="62"/>
      <c r="M16" s="39">
        <f t="shared" si="3"/>
        <v>1</v>
      </c>
    </row>
    <row r="17" spans="1:14">
      <c r="A17" s="60"/>
      <c r="B17" s="69" t="s">
        <v>10</v>
      </c>
      <c r="C17" s="70">
        <f>+[15]Historico!E161/1000000</f>
        <v>465.299623</v>
      </c>
      <c r="D17" s="70">
        <f>+[15]Historico!F161/1000000</f>
        <v>630.95167500000002</v>
      </c>
      <c r="E17" s="70">
        <f>+[15]Historico!G161/1000000</f>
        <v>876.609509</v>
      </c>
      <c r="F17" s="70">
        <f>+[15]Historico!H161/1000000</f>
        <v>767.48429299999998</v>
      </c>
      <c r="G17" s="72"/>
      <c r="H17" s="70" t="str">
        <f t="shared" ref="H17" si="10">IF(OR(OR(G17=0,F17=0),G17=""),"",(G17/F17-1)*100)</f>
        <v/>
      </c>
      <c r="I17" s="70" t="str">
        <f t="shared" ref="I17" si="11">IF(OR(OR(G17=0,F17=0),G17=""),"",G17/F17*100)</f>
        <v/>
      </c>
      <c r="J17" s="70" t="str">
        <f t="shared" ref="J17" si="12">IF(OR(OR(G17=0,F17=0),G17=""),"",(F17/E17-1)*100)</f>
        <v/>
      </c>
      <c r="K17" s="62"/>
      <c r="M17" s="39" t="str">
        <f t="shared" si="3"/>
        <v/>
      </c>
    </row>
    <row r="18" spans="1:14">
      <c r="A18" s="60"/>
      <c r="B18" s="69" t="s">
        <v>11</v>
      </c>
      <c r="C18" s="70">
        <f>+[15]Historico!E162/1000000</f>
        <v>450.46072500000002</v>
      </c>
      <c r="D18" s="70">
        <f>+[15]Historico!F162/1000000</f>
        <v>477.21982300000002</v>
      </c>
      <c r="E18" s="70">
        <f>+[15]Historico!G162/1000000</f>
        <v>712.27389000000005</v>
      </c>
      <c r="F18" s="70">
        <f>+[15]Historico!H162/1000000</f>
        <v>590.26853900000003</v>
      </c>
      <c r="G18" s="72"/>
      <c r="H18" s="70" t="str">
        <f t="shared" ref="H18" si="13">IF(OR(OR(G18=0,F18=0),G18=""),"",(G18/F18-1)*100)</f>
        <v/>
      </c>
      <c r="I18" s="70" t="str">
        <f t="shared" ref="I18" si="14">IF(OR(OR(G18=0,F18=0),G18=""),"",G18/F18*100)</f>
        <v/>
      </c>
      <c r="J18" s="70" t="str">
        <f t="shared" ref="J18" si="15">IF(OR(OR(G18=0,F18=0),G18=""),"",(F18/E18-1)*100)</f>
        <v/>
      </c>
      <c r="K18" s="62"/>
      <c r="M18" s="39" t="str">
        <f t="shared" si="3"/>
        <v/>
      </c>
    </row>
    <row r="19" spans="1:14">
      <c r="A19" s="60"/>
      <c r="B19" s="69" t="s">
        <v>12</v>
      </c>
      <c r="C19" s="70">
        <f>+[15]Historico!E163/1000000</f>
        <v>708.47236199999998</v>
      </c>
      <c r="D19" s="70">
        <f>+[15]Historico!F163/1000000</f>
        <v>624.75163699999996</v>
      </c>
      <c r="E19" s="70">
        <f>+[15]Historico!G163/1000000</f>
        <v>693.23600399999998</v>
      </c>
      <c r="F19" s="70">
        <f>+[15]Historico!H163/1000000</f>
        <v>648.77833199999998</v>
      </c>
      <c r="G19" s="72"/>
      <c r="H19" s="70" t="str">
        <f t="shared" ref="H19" si="16">IF(OR(OR(G19=0,F19=0),G19=""),"",(G19/F19-1)*100)</f>
        <v/>
      </c>
      <c r="I19" s="70" t="str">
        <f t="shared" ref="I19" si="17">IF(OR(OR(G19=0,F19=0),G19=""),"",G19/F19*100)</f>
        <v/>
      </c>
      <c r="J19" s="70" t="str">
        <f t="shared" ref="J19" si="18">IF(OR(OR(G19=0,F19=0),G19=""),"",(F19/E19-1)*100)</f>
        <v/>
      </c>
      <c r="K19" s="62"/>
      <c r="M19" s="39" t="str">
        <f t="shared" si="3"/>
        <v/>
      </c>
    </row>
    <row r="20" spans="1:14">
      <c r="A20" s="60"/>
      <c r="B20" s="69" t="s">
        <v>13</v>
      </c>
      <c r="C20" s="70">
        <f>+[15]Historico!E164/1000000</f>
        <v>516.95789400000001</v>
      </c>
      <c r="D20" s="70">
        <f>+[15]Historico!F164/1000000</f>
        <v>629.441552</v>
      </c>
      <c r="E20" s="70">
        <f>+[15]Historico!G164/1000000</f>
        <v>666.05571599999996</v>
      </c>
      <c r="F20" s="70">
        <f>+[15]Historico!H164/1000000</f>
        <v>712.16487600000005</v>
      </c>
      <c r="G20" s="72"/>
      <c r="H20" s="70" t="str">
        <f t="shared" ref="H20" si="19">IF(OR(OR(G20=0,F20=0),G20=""),"",(G20/F20-1)*100)</f>
        <v/>
      </c>
      <c r="I20" s="70" t="str">
        <f t="shared" ref="I20" si="20">IF(OR(OR(G20=0,F20=0),G20=""),"",G20/F20*100)</f>
        <v/>
      </c>
      <c r="J20" s="70" t="str">
        <f t="shared" ref="J20" si="21">IF(OR(OR(G20=0,F20=0),G20=""),"",(F20/E20-1)*100)</f>
        <v/>
      </c>
      <c r="K20" s="62"/>
      <c r="M20" s="39" t="str">
        <f t="shared" si="3"/>
        <v/>
      </c>
    </row>
    <row r="21" spans="1:14">
      <c r="A21" s="60"/>
      <c r="B21" s="69" t="s">
        <v>14</v>
      </c>
      <c r="C21" s="70">
        <f>+[15]Historico!E165/1000000</f>
        <v>528.58874800000001</v>
      </c>
      <c r="D21" s="70">
        <f>+[15]Historico!F165/1000000</f>
        <v>764.35122000000001</v>
      </c>
      <c r="E21" s="70">
        <f>+[15]Historico!G165/1000000</f>
        <v>801.30404299999998</v>
      </c>
      <c r="F21" s="70">
        <f>+[15]Historico!H165/1000000</f>
        <v>599.13942799999995</v>
      </c>
      <c r="G21" s="72"/>
      <c r="H21" s="70" t="str">
        <f t="shared" ref="H21" si="22">IF(OR(OR(G21=0,F21=0),G21=""),"",(G21/F21-1)*100)</f>
        <v/>
      </c>
      <c r="I21" s="70" t="str">
        <f t="shared" ref="I21" si="23">IF(OR(OR(G21=0,F21=0),G21=""),"",G21/F21*100)</f>
        <v/>
      </c>
      <c r="J21" s="70" t="str">
        <f t="shared" ref="J21" si="24">IF(OR(OR(G21=0,F21=0),G21=""),"",(F21/E21-1)*100)</f>
        <v/>
      </c>
      <c r="K21" s="62"/>
      <c r="M21" s="39" t="str">
        <f t="shared" si="3"/>
        <v/>
      </c>
    </row>
    <row r="22" spans="1:14">
      <c r="A22" s="60"/>
      <c r="B22" s="69" t="s">
        <v>15</v>
      </c>
      <c r="C22" s="70">
        <f>+[15]Historico!E166/1000000</f>
        <v>562.56373099999996</v>
      </c>
      <c r="D22" s="70">
        <f>+[15]Historico!F166/1000000</f>
        <v>457.37246299999998</v>
      </c>
      <c r="E22" s="70">
        <f>+[15]Historico!G166/1000000</f>
        <v>846.18319699999995</v>
      </c>
      <c r="F22" s="70">
        <f>+[15]Historico!H166/1000000</f>
        <v>830.77919999999995</v>
      </c>
      <c r="G22" s="72"/>
      <c r="H22" s="70" t="str">
        <f t="shared" ref="H22" si="25">IF(OR(OR(G22=0,F22=0),G22=""),"",(G22/F22-1)*100)</f>
        <v/>
      </c>
      <c r="I22" s="70" t="str">
        <f t="shared" ref="I22" si="26">IF(OR(OR(G22=0,F22=0),G22=""),"",G22/F22*100)</f>
        <v/>
      </c>
      <c r="J22" s="70" t="str">
        <f t="shared" ref="J22" si="27">IF(OR(OR(G22=0,F22=0),G22=""),"",(F22/E22-1)*100)</f>
        <v/>
      </c>
      <c r="K22" s="62"/>
      <c r="M22" s="39" t="str">
        <f t="shared" si="3"/>
        <v/>
      </c>
    </row>
    <row r="23" spans="1:14">
      <c r="A23" s="60"/>
      <c r="B23" s="69" t="s">
        <v>16</v>
      </c>
      <c r="C23" s="70">
        <f>+[15]Historico!E167/1000000</f>
        <v>460.79824500000001</v>
      </c>
      <c r="D23" s="70">
        <f>+[15]Historico!F167/1000000</f>
        <v>690.05750599999999</v>
      </c>
      <c r="E23" s="70">
        <f>+[15]Historico!G167/1000000</f>
        <v>794.91544899999997</v>
      </c>
      <c r="F23" s="70">
        <f>+[15]Historico!H167/1000000</f>
        <v>843.33047999999997</v>
      </c>
      <c r="G23" s="72"/>
      <c r="H23" s="70" t="str">
        <f t="shared" ref="H23" si="28">IF(OR(OR(G23=0,F23=0),G23=""),"",(G23/F23-1)*100)</f>
        <v/>
      </c>
      <c r="I23" s="70" t="str">
        <f t="shared" ref="I23" si="29">IF(OR(OR(G23=0,F23=0),G23=""),"",G23/F23*100)</f>
        <v/>
      </c>
      <c r="J23" s="70" t="str">
        <f t="shared" ref="J23" si="30">IF(OR(OR(G23=0,F23=0),G23=""),"",(F23/E23-1)*100)</f>
        <v/>
      </c>
      <c r="K23" s="62"/>
      <c r="M23" s="39" t="str">
        <f t="shared" si="3"/>
        <v/>
      </c>
    </row>
    <row r="24" spans="1:14">
      <c r="A24" s="60"/>
      <c r="B24" s="69" t="s">
        <v>17</v>
      </c>
      <c r="C24" s="70">
        <f>+[15]Historico!E168/1000000</f>
        <v>577.51495</v>
      </c>
      <c r="D24" s="70">
        <f>+[15]Historico!F168/1000000</f>
        <v>561.72333300000003</v>
      </c>
      <c r="E24" s="70">
        <f>+[15]Historico!G168/1000000</f>
        <v>867.00872800000002</v>
      </c>
      <c r="F24" s="70">
        <f>+[15]Historico!H168/1000000</f>
        <v>753.63180199999999</v>
      </c>
      <c r="G24" s="72"/>
      <c r="H24" s="70" t="str">
        <f t="shared" ref="H24" si="31">IF(OR(OR(G24=0,F24=0),G24=""),"",(G24/F24-1)*100)</f>
        <v/>
      </c>
      <c r="I24" s="70" t="str">
        <f t="shared" ref="I24" si="32">IF(OR(OR(G24=0,F24=0),G24=""),"",G24/F24*100)</f>
        <v/>
      </c>
      <c r="J24" s="70" t="str">
        <f t="shared" ref="J24" si="33">IF(OR(OR(G24=0,F24=0),G24=""),"",(F24/E24-1)*100)</f>
        <v/>
      </c>
      <c r="K24" s="62"/>
      <c r="M24" s="39" t="str">
        <f t="shared" si="3"/>
        <v/>
      </c>
    </row>
    <row r="25" spans="1:14">
      <c r="A25" s="60"/>
      <c r="B25" s="71" t="s">
        <v>25</v>
      </c>
      <c r="C25" s="72">
        <f t="shared" ref="C25:G25" si="34">SUM(C13:C24)</f>
        <v>6469.9685389999995</v>
      </c>
      <c r="D25" s="72">
        <f t="shared" si="34"/>
        <v>7119.3428130000002</v>
      </c>
      <c r="E25" s="72">
        <f t="shared" si="34"/>
        <v>8968.543823</v>
      </c>
      <c r="F25" s="72">
        <f t="shared" si="34"/>
        <v>8088.9486529999995</v>
      </c>
      <c r="G25" s="112">
        <f t="shared" si="34"/>
        <v>3306.586738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f>(D25/C25-1)*100</f>
        <v>10.036745466159068</v>
      </c>
      <c r="E26" s="72">
        <f>(E25/D25-1)*100</f>
        <v>25.974321767780829</v>
      </c>
      <c r="F26" s="72">
        <f>(F25/E25-1)*100</f>
        <v>-9.8075583657657113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3"/>
      <c r="D27" s="113"/>
      <c r="E27" s="113"/>
      <c r="F27" s="113"/>
      <c r="G27" s="114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f t="shared" ref="C28:E28" si="35">SUMPRODUCT(C13:C24,$M$13:$M$24)</f>
        <v>2199.312261</v>
      </c>
      <c r="D28" s="72">
        <f t="shared" si="35"/>
        <v>2283.4736039999998</v>
      </c>
      <c r="E28" s="72">
        <f t="shared" si="35"/>
        <v>2710.9572869999997</v>
      </c>
      <c r="F28" s="72">
        <f>SUMPRODUCT(F13:F24,$M$13:$M$24)</f>
        <v>2343.3717029999998</v>
      </c>
      <c r="G28" s="30">
        <f>SUMPRODUCT(G13:G24,$M$13:$M$24)</f>
        <v>3306.586738</v>
      </c>
      <c r="H28" s="68">
        <f>IF(OR(OR(G28=0,F28=0),G28=""),"",(G28/F28-1)*100)</f>
        <v>41.103809257698472</v>
      </c>
      <c r="I28" s="30">
        <f>IF(OR(OR(G28=0,F28=0),G28=""),"",G28/F28*100)</f>
        <v>141.10380925769849</v>
      </c>
      <c r="J28" s="30">
        <f>IF(OR(OR(G28=0,F28=0),F28=""),"",(F28/E28-1)*100)</f>
        <v>-13.5592539861363</v>
      </c>
      <c r="K28" s="62"/>
    </row>
    <row r="29" spans="1:14" ht="18.75" customHeight="1">
      <c r="A29" s="60"/>
      <c r="B29" s="71" t="s">
        <v>18</v>
      </c>
      <c r="C29" s="72"/>
      <c r="D29" s="72">
        <f t="shared" ref="D29:G29" si="36">(D28/C28-1)*100</f>
        <v>3.8267118540835421</v>
      </c>
      <c r="E29" s="72">
        <f t="shared" si="36"/>
        <v>18.720763062518841</v>
      </c>
      <c r="F29" s="72">
        <f t="shared" si="36"/>
        <v>-13.5592539861363</v>
      </c>
      <c r="G29" s="30">
        <f t="shared" si="36"/>
        <v>41.103809257698472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tr">
        <f>IF(G32="","",1)</f>
        <v/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tr">
        <f>IF(G33="","",1)</f>
        <v/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tr">
        <f>IF(G34="","",1)</f>
        <v/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tr">
        <f>IF(G35="","",1)</f>
        <v/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tr">
        <f>IF(G36="","",1)</f>
        <v/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tr">
        <f>IF(G38="","",1)</f>
        <v/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tr">
        <f>IF(G39="","",1)</f>
        <v/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tr">
        <f>IF(G40="","",1)</f>
        <v/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tr">
        <f>IF(G41="","",1)</f>
        <v/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48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f>SUM(C14:C45)</f>
        <v>18477.960438659968</v>
      </c>
      <c r="D13" s="87">
        <f>SUM(D14:D45)</f>
        <v>19353.660585850004</v>
      </c>
      <c r="E13" s="87">
        <f>IF(OR(OR(D13=0,C13=0),D13=""),"",(D13/C13-1)*100)</f>
        <v>4.7391602016739753</v>
      </c>
      <c r="F13" s="87">
        <f>(D13/D$13)*100</f>
        <v>100</v>
      </c>
      <c r="G13" s="87">
        <f t="shared" ref="G13:H13" si="0">SUM(G14:G45)</f>
        <v>4434.4479823400115</v>
      </c>
      <c r="H13" s="87">
        <f t="shared" si="0"/>
        <v>5167.1372964399625</v>
      </c>
      <c r="I13" s="87">
        <f>IF(OR(OR(H13=0,G13=0),H13=""),"",(H13/G13-1)*100)</f>
        <v>16.522672427726135</v>
      </c>
      <c r="J13" s="87">
        <f>(H13/H$13)*100</f>
        <v>100</v>
      </c>
      <c r="K13" s="16"/>
    </row>
    <row r="14" spans="1:14">
      <c r="A14" s="14"/>
      <c r="B14" s="10" t="str">
        <f>+[17]Total!A2</f>
        <v>Bogotá</v>
      </c>
      <c r="C14" s="24">
        <f>+[17]Total!B2/1000000</f>
        <v>8374.3088297199556</v>
      </c>
      <c r="D14" s="24">
        <f>+[17]Total!C2/1000000</f>
        <v>9507.3660652600011</v>
      </c>
      <c r="E14" s="24">
        <f>IF(OR(OR(D14=0,C14=0),D14=""),"",(D14/C14-1)*100)</f>
        <v>13.53015823250856</v>
      </c>
      <c r="F14" s="24">
        <f>(D14/D$13)*100</f>
        <v>49.12438152506973</v>
      </c>
      <c r="G14" s="24">
        <f>+[17]Total!D2/1000000</f>
        <v>2055.1829483300185</v>
      </c>
      <c r="H14" s="24">
        <f>+[17]Total!E2/1000000</f>
        <v>2553.0483553699705</v>
      </c>
      <c r="I14" s="24">
        <f>IF(OR(OR(H14=0,G14=0),H14=""),"",(H14/G14-1)*100)</f>
        <v>24.224870464427649</v>
      </c>
      <c r="J14" s="24">
        <f>(H14/H$13)*100</f>
        <v>49.409338457659359</v>
      </c>
      <c r="K14" s="16"/>
    </row>
    <row r="15" spans="1:14">
      <c r="A15" s="14"/>
      <c r="B15" s="9" t="str">
        <f>+[17]Total!A3</f>
        <v>Antioquia</v>
      </c>
      <c r="C15" s="21">
        <f>+[17]Total!B3/1000000</f>
        <v>2205.9251522500126</v>
      </c>
      <c r="D15" s="21">
        <f>+[17]Total!C3/1000000</f>
        <v>2523.6620726600031</v>
      </c>
      <c r="E15" s="21">
        <f t="shared" ref="E15:E42" si="1">IF(OR(OR(D15=0,C15=0),D15=""),"",(D15/C15-1)*100)</f>
        <v>14.403794257747293</v>
      </c>
      <c r="F15" s="21">
        <f t="shared" ref="F15:F42" si="2">(D15/D$13)*100</f>
        <v>13.039714432654264</v>
      </c>
      <c r="G15" s="21">
        <f>+[17]Total!D3/1000000</f>
        <v>538.43276707999598</v>
      </c>
      <c r="H15" s="21">
        <f>+[17]Total!E3/1000000</f>
        <v>613.65962121999632</v>
      </c>
      <c r="I15" s="21">
        <f t="shared" ref="I15:I42" si="3">IF(OR(OR(H15=0,G15=0),H15=""),"",(H15/G15-1)*100)</f>
        <v>13.971448013457133</v>
      </c>
      <c r="J15" s="21">
        <f t="shared" ref="J15:J42" si="4">(H15/H$13)*100</f>
        <v>11.876201192540279</v>
      </c>
      <c r="K15" s="16"/>
    </row>
    <row r="16" spans="1:14">
      <c r="A16" s="14"/>
      <c r="B16" s="9" t="str">
        <f>+[17]Total!A4</f>
        <v>Cundinamarca</v>
      </c>
      <c r="C16" s="21">
        <f>+[17]Total!B4/1000000</f>
        <v>1946.2523808700078</v>
      </c>
      <c r="D16" s="21">
        <f>+[17]Total!C4/1000000</f>
        <v>1911.6943174100065</v>
      </c>
      <c r="E16" s="21">
        <f t="shared" si="1"/>
        <v>-1.7756208701233844</v>
      </c>
      <c r="F16" s="21">
        <f t="shared" si="2"/>
        <v>9.8776885588646675</v>
      </c>
      <c r="G16" s="21">
        <f>+[17]Total!D4/1000000</f>
        <v>532.09282443999859</v>
      </c>
      <c r="H16" s="21">
        <f>+[17]Total!E4/1000000</f>
        <v>529.09968033999701</v>
      </c>
      <c r="I16" s="21">
        <f t="shared" si="3"/>
        <v>-0.5625229212876004</v>
      </c>
      <c r="J16" s="21">
        <f t="shared" si="4"/>
        <v>10.239706243233258</v>
      </c>
      <c r="K16" s="16"/>
    </row>
    <row r="17" spans="1:11">
      <c r="A17" s="14"/>
      <c r="B17" s="9" t="str">
        <f>+[17]Total!A5</f>
        <v>Valle del Cauca</v>
      </c>
      <c r="C17" s="21">
        <f>+[17]Total!B5/1000000</f>
        <v>1695.7263929599935</v>
      </c>
      <c r="D17" s="21">
        <f>+[17]Total!C5/1000000</f>
        <v>1589.1997919700027</v>
      </c>
      <c r="E17" s="21">
        <f t="shared" si="1"/>
        <v>-6.282063039901276</v>
      </c>
      <c r="F17" s="21">
        <f t="shared" si="2"/>
        <v>8.2113654154496771</v>
      </c>
      <c r="G17" s="21">
        <f>+[17]Total!D5/1000000</f>
        <v>354.31014445999801</v>
      </c>
      <c r="H17" s="21">
        <f>+[17]Total!E5/1000000</f>
        <v>437.15469702000058</v>
      </c>
      <c r="I17" s="21">
        <f t="shared" si="3"/>
        <v>23.381930733669918</v>
      </c>
      <c r="J17" s="21">
        <f t="shared" si="4"/>
        <v>8.4602880074657598</v>
      </c>
      <c r="K17" s="16"/>
    </row>
    <row r="18" spans="1:11">
      <c r="A18" s="14"/>
      <c r="B18" s="9" t="str">
        <f>+[17]Total!A6</f>
        <v>Bolívar</v>
      </c>
      <c r="C18" s="21">
        <f>+[17]Total!B6/1000000</f>
        <v>1199.7540023999986</v>
      </c>
      <c r="D18" s="21">
        <f>+[17]Total!C6/1000000</f>
        <v>1184.6233966500013</v>
      </c>
      <c r="E18" s="21">
        <f t="shared" si="1"/>
        <v>-1.2611423441580505</v>
      </c>
      <c r="F18" s="21">
        <f t="shared" si="2"/>
        <v>6.1209267951930091</v>
      </c>
      <c r="G18" s="21">
        <f>+[17]Total!D6/1000000</f>
        <v>293.38044855999931</v>
      </c>
      <c r="H18" s="21">
        <f>+[17]Total!E6/1000000</f>
        <v>300.85389462999944</v>
      </c>
      <c r="I18" s="21">
        <f t="shared" si="3"/>
        <v>2.5473565490413907</v>
      </c>
      <c r="J18" s="21">
        <f t="shared" si="4"/>
        <v>5.8224482410653335</v>
      </c>
      <c r="K18" s="16"/>
    </row>
    <row r="19" spans="1:11">
      <c r="A19" s="14"/>
      <c r="B19" s="9" t="str">
        <f>+[17]Total!A7</f>
        <v>Atlántico</v>
      </c>
      <c r="C19" s="21">
        <f>+[17]Total!B7/1000000</f>
        <v>911.01260358999002</v>
      </c>
      <c r="D19" s="21">
        <f>+[17]Total!C7/1000000</f>
        <v>1000.5300113299896</v>
      </c>
      <c r="E19" s="21">
        <f t="shared" si="1"/>
        <v>9.826143720431757</v>
      </c>
      <c r="F19" s="21">
        <f t="shared" si="2"/>
        <v>5.1697197379885065</v>
      </c>
      <c r="G19" s="21">
        <f>+[17]Total!D7/1000000</f>
        <v>220.57851431999953</v>
      </c>
      <c r="H19" s="21">
        <f>+[17]Total!E7/1000000</f>
        <v>282.454308709999</v>
      </c>
      <c r="I19" s="21">
        <f t="shared" si="3"/>
        <v>28.051596312882275</v>
      </c>
      <c r="J19" s="21">
        <f t="shared" si="4"/>
        <v>5.4663596592373009</v>
      </c>
      <c r="K19" s="16"/>
    </row>
    <row r="20" spans="1:11">
      <c r="A20" s="14"/>
      <c r="B20" s="9" t="str">
        <f>+[17]Total!A8</f>
        <v>Guajira</v>
      </c>
      <c r="C20" s="21">
        <f>+[17]Total!B8/1000000</f>
        <v>332.20851246999871</v>
      </c>
      <c r="D20" s="21">
        <f>+[17]Total!C8/1000000</f>
        <v>367.96266581000083</v>
      </c>
      <c r="E20" s="21">
        <f t="shared" si="1"/>
        <v>10.762563871156372</v>
      </c>
      <c r="F20" s="21">
        <f t="shared" si="2"/>
        <v>1.9012561689700631</v>
      </c>
      <c r="G20" s="21">
        <f>+[17]Total!D8/1000000</f>
        <v>87.303944259999739</v>
      </c>
      <c r="H20" s="21">
        <f>+[17]Total!E8/1000000</f>
        <v>118.61135628999989</v>
      </c>
      <c r="I20" s="21">
        <f t="shared" si="3"/>
        <v>35.860249265214875</v>
      </c>
      <c r="J20" s="21">
        <f t="shared" si="4"/>
        <v>2.2954945743694553</v>
      </c>
      <c r="K20" s="16"/>
    </row>
    <row r="21" spans="1:11">
      <c r="A21" s="14"/>
      <c r="B21" s="9" t="str">
        <f>+[17]Total!A9</f>
        <v>Santander</v>
      </c>
      <c r="C21" s="21">
        <f>+[17]Total!B9/1000000</f>
        <v>299.96645556000118</v>
      </c>
      <c r="D21" s="21">
        <f>+[17]Total!C9/1000000</f>
        <v>272.60049648000052</v>
      </c>
      <c r="E21" s="21">
        <f t="shared" si="1"/>
        <v>-9.1230064471414689</v>
      </c>
      <c r="F21" s="21">
        <f t="shared" si="2"/>
        <v>1.4085216348131384</v>
      </c>
      <c r="G21" s="21">
        <f>+[17]Total!D9/1000000</f>
        <v>70.12642651000013</v>
      </c>
      <c r="H21" s="21">
        <f>+[17]Total!E9/1000000</f>
        <v>74.920159120000037</v>
      </c>
      <c r="I21" s="21">
        <f t="shared" si="3"/>
        <v>6.8358432741704167</v>
      </c>
      <c r="J21" s="21">
        <f t="shared" si="4"/>
        <v>1.4499355217756316</v>
      </c>
      <c r="K21" s="16"/>
    </row>
    <row r="22" spans="1:11">
      <c r="A22" s="14"/>
      <c r="B22" s="9" t="str">
        <f>+[17]Total!A10</f>
        <v>Risaralda</v>
      </c>
      <c r="C22" s="21">
        <f>+[17]Total!B10/1000000</f>
        <v>159.86545994999966</v>
      </c>
      <c r="D22" s="21">
        <f>+[17]Total!C10/1000000</f>
        <v>135.29280095000004</v>
      </c>
      <c r="E22" s="21">
        <f t="shared" si="1"/>
        <v>-15.370836832224477</v>
      </c>
      <c r="F22" s="21">
        <f t="shared" si="2"/>
        <v>0.6990553562198788</v>
      </c>
      <c r="G22" s="21">
        <f>+[17]Total!D10/1000000</f>
        <v>41.364084610000027</v>
      </c>
      <c r="H22" s="21">
        <f>+[17]Total!E10/1000000</f>
        <v>35.641728270000009</v>
      </c>
      <c r="I22" s="21">
        <f t="shared" si="3"/>
        <v>-13.834118158187414</v>
      </c>
      <c r="J22" s="21">
        <f t="shared" si="4"/>
        <v>0.68977707045942693</v>
      </c>
      <c r="K22" s="16"/>
    </row>
    <row r="23" spans="1:11">
      <c r="A23" s="14"/>
      <c r="B23" s="9" t="str">
        <f>+[17]Total!A11</f>
        <v>Caldas</v>
      </c>
      <c r="C23" s="21">
        <f>+[17]Total!B11/1000000</f>
        <v>141.4772125099997</v>
      </c>
      <c r="D23" s="21">
        <f>+[17]Total!C11/1000000</f>
        <v>127.31371891999999</v>
      </c>
      <c r="E23" s="21">
        <f t="shared" si="1"/>
        <v>-10.011148324680653</v>
      </c>
      <c r="F23" s="21">
        <f t="shared" si="2"/>
        <v>0.65782758954180776</v>
      </c>
      <c r="G23" s="21">
        <f>+[17]Total!D11/1000000</f>
        <v>36.036153699999957</v>
      </c>
      <c r="H23" s="21">
        <f>+[17]Total!E11/1000000</f>
        <v>31.07555678999999</v>
      </c>
      <c r="I23" s="21">
        <f t="shared" si="3"/>
        <v>-13.765611478119466</v>
      </c>
      <c r="J23" s="21">
        <f t="shared" si="4"/>
        <v>0.60140760748529609</v>
      </c>
      <c r="K23" s="16"/>
    </row>
    <row r="24" spans="1:11">
      <c r="A24" s="14"/>
      <c r="B24" s="9" t="str">
        <f>+[17]Total!A12</f>
        <v>Meta</v>
      </c>
      <c r="C24" s="21">
        <f>+[17]Total!B12/1000000</f>
        <v>112.79773065000005</v>
      </c>
      <c r="D24" s="21">
        <f>+[17]Total!C12/1000000</f>
        <v>121.50143430000007</v>
      </c>
      <c r="E24" s="21">
        <f t="shared" si="1"/>
        <v>7.716204572418861</v>
      </c>
      <c r="F24" s="21">
        <f t="shared" si="2"/>
        <v>0.62779562430082669</v>
      </c>
      <c r="G24" s="21">
        <f>+[17]Total!D12/1000000</f>
        <v>23.331330940000004</v>
      </c>
      <c r="H24" s="21">
        <f>+[17]Total!E12/1000000</f>
        <v>26.167182640000021</v>
      </c>
      <c r="I24" s="21">
        <f t="shared" si="3"/>
        <v>12.154693220428925</v>
      </c>
      <c r="J24" s="21">
        <f t="shared" si="4"/>
        <v>0.50641547028426359</v>
      </c>
      <c r="K24" s="16"/>
    </row>
    <row r="25" spans="1:11">
      <c r="A25" s="14"/>
      <c r="B25" s="9" t="str">
        <f>+[17]Total!A13</f>
        <v>Cauca</v>
      </c>
      <c r="C25" s="21">
        <f>+[17]Total!B13/1000000</f>
        <v>142.65296224000016</v>
      </c>
      <c r="D25" s="21">
        <f>+[17]Total!C13/1000000</f>
        <v>103.24803859999979</v>
      </c>
      <c r="E25" s="21">
        <f t="shared" si="1"/>
        <v>-27.622927011992438</v>
      </c>
      <c r="F25" s="21">
        <f t="shared" si="2"/>
        <v>0.53348067225839058</v>
      </c>
      <c r="G25" s="21">
        <f>+[17]Total!D13/1000000</f>
        <v>24.343825879999994</v>
      </c>
      <c r="H25" s="21">
        <f>+[17]Total!E13/1000000</f>
        <v>24.833024069999972</v>
      </c>
      <c r="I25" s="21">
        <f t="shared" si="3"/>
        <v>2.0095370070892793</v>
      </c>
      <c r="J25" s="21">
        <f t="shared" si="4"/>
        <v>0.48059539828967485</v>
      </c>
      <c r="K25" s="16"/>
    </row>
    <row r="26" spans="1:11">
      <c r="A26" s="14"/>
      <c r="B26" s="9" t="str">
        <f>+[17]Total!A14</f>
        <v>Cesar</v>
      </c>
      <c r="C26" s="21">
        <f>+[17]Total!B14/1000000</f>
        <v>107.59923305000035</v>
      </c>
      <c r="D26" s="21">
        <f>+[17]Total!C14/1000000</f>
        <v>94.153683260000079</v>
      </c>
      <c r="E26" s="21">
        <f t="shared" si="1"/>
        <v>-12.495953185607044</v>
      </c>
      <c r="F26" s="21">
        <f t="shared" si="2"/>
        <v>0.4864903093776401</v>
      </c>
      <c r="G26" s="21">
        <f>+[17]Total!D14/1000000</f>
        <v>25.705805100000045</v>
      </c>
      <c r="H26" s="21">
        <f>+[17]Total!E14/1000000</f>
        <v>20.730189839999959</v>
      </c>
      <c r="I26" s="21">
        <f t="shared" si="3"/>
        <v>-19.355998540578977</v>
      </c>
      <c r="J26" s="21">
        <f t="shared" si="4"/>
        <v>0.40119293625664987</v>
      </c>
      <c r="K26" s="16"/>
    </row>
    <row r="27" spans="1:11">
      <c r="A27" s="14"/>
      <c r="B27" s="9" t="str">
        <f>+[17]Total!A15</f>
        <v>Norte de Santander</v>
      </c>
      <c r="C27" s="21">
        <f>+[17]Total!B15/1000000</f>
        <v>60.686700230000106</v>
      </c>
      <c r="D27" s="21">
        <f>+[17]Total!C15/1000000</f>
        <v>75.44602193999998</v>
      </c>
      <c r="E27" s="21">
        <f t="shared" si="1"/>
        <v>24.320521059907119</v>
      </c>
      <c r="F27" s="21">
        <f t="shared" si="2"/>
        <v>0.38982817542620674</v>
      </c>
      <c r="G27" s="21">
        <f>+[17]Total!D15/1000000</f>
        <v>16.926291509999984</v>
      </c>
      <c r="H27" s="21">
        <f>+[17]Total!E15/1000000</f>
        <v>21.933873389999995</v>
      </c>
      <c r="I27" s="21">
        <f t="shared" si="3"/>
        <v>29.584636877141989</v>
      </c>
      <c r="J27" s="21">
        <f t="shared" si="4"/>
        <v>0.42448791529328866</v>
      </c>
      <c r="K27" s="16"/>
    </row>
    <row r="28" spans="1:11">
      <c r="A28" s="14"/>
      <c r="B28" s="9" t="str">
        <f>+[17]Total!A16</f>
        <v>Magdalena</v>
      </c>
      <c r="C28" s="21">
        <f>+[17]Total!B16/1000000</f>
        <v>408.37879365999936</v>
      </c>
      <c r="D28" s="21">
        <f>+[17]Total!C16/1000000</f>
        <v>73.126923390000016</v>
      </c>
      <c r="E28" s="21">
        <f t="shared" si="1"/>
        <v>-82.093359272008939</v>
      </c>
      <c r="F28" s="21">
        <f t="shared" si="2"/>
        <v>0.37784543686513306</v>
      </c>
      <c r="G28" s="21">
        <f>+[17]Total!D16/1000000</f>
        <v>19.720778339999985</v>
      </c>
      <c r="H28" s="21">
        <f>+[17]Total!E16/1000000</f>
        <v>23.56593775000001</v>
      </c>
      <c r="I28" s="21">
        <f t="shared" si="3"/>
        <v>19.49801039140948</v>
      </c>
      <c r="J28" s="21">
        <f t="shared" si="4"/>
        <v>0.4560733806364386</v>
      </c>
      <c r="K28" s="16"/>
    </row>
    <row r="29" spans="1:11">
      <c r="A29" s="14"/>
      <c r="B29" s="9" t="str">
        <f>+[17]Total!A17</f>
        <v>Nariño</v>
      </c>
      <c r="C29" s="21">
        <f>+[17]Total!B17/1000000</f>
        <v>127.72387768999998</v>
      </c>
      <c r="D29" s="21">
        <f>+[17]Total!C17/1000000</f>
        <v>72.55312880000011</v>
      </c>
      <c r="E29" s="21">
        <f t="shared" si="1"/>
        <v>-43.195328773140915</v>
      </c>
      <c r="F29" s="21">
        <f t="shared" si="2"/>
        <v>0.37488065101774959</v>
      </c>
      <c r="G29" s="21">
        <f>+[17]Total!D17/1000000</f>
        <v>20.59638070999998</v>
      </c>
      <c r="H29" s="21">
        <f>+[17]Total!E17/1000000</f>
        <v>18.131171839999997</v>
      </c>
      <c r="I29" s="21">
        <f t="shared" si="3"/>
        <v>-11.969136251220448</v>
      </c>
      <c r="J29" s="21">
        <f t="shared" si="4"/>
        <v>0.35089394377989436</v>
      </c>
      <c r="K29" s="16"/>
    </row>
    <row r="30" spans="1:11">
      <c r="A30" s="14"/>
      <c r="B30" s="9" t="str">
        <f>+[17]Total!A18</f>
        <v>Casanare</v>
      </c>
      <c r="C30" s="21">
        <f>+[17]Total!B18/1000000</f>
        <v>63.615099669999971</v>
      </c>
      <c r="D30" s="21">
        <f>+[17]Total!C18/1000000</f>
        <v>63.096117969999987</v>
      </c>
      <c r="E30" s="21">
        <f t="shared" si="1"/>
        <v>-0.81581527450586</v>
      </c>
      <c r="F30" s="21">
        <f t="shared" si="2"/>
        <v>0.32601645404555302</v>
      </c>
      <c r="G30" s="21">
        <f>+[17]Total!D18/1000000</f>
        <v>24.093234910000017</v>
      </c>
      <c r="H30" s="21">
        <f>+[17]Total!E18/1000000</f>
        <v>20.968867560000014</v>
      </c>
      <c r="I30" s="21">
        <f t="shared" si="3"/>
        <v>-12.967820060988233</v>
      </c>
      <c r="J30" s="21">
        <f t="shared" si="4"/>
        <v>0.40581208427434429</v>
      </c>
      <c r="K30" s="16"/>
    </row>
    <row r="31" spans="1:11">
      <c r="A31" s="14"/>
      <c r="B31" s="9" t="str">
        <f>+[17]Total!A19</f>
        <v>Boyacá</v>
      </c>
      <c r="C31" s="21">
        <f>+[17]Total!B19/1000000</f>
        <v>79.19032677999995</v>
      </c>
      <c r="D31" s="21">
        <f>+[17]Total!C19/1000000</f>
        <v>50.923429160000055</v>
      </c>
      <c r="E31" s="21">
        <f t="shared" si="1"/>
        <v>-35.694886950686112</v>
      </c>
      <c r="F31" s="21">
        <f t="shared" si="2"/>
        <v>0.26312040006132786</v>
      </c>
      <c r="G31" s="21">
        <f>+[17]Total!D19/1000000</f>
        <v>23.922390909999987</v>
      </c>
      <c r="H31" s="21">
        <f>+[17]Total!E19/1000000</f>
        <v>16.659929249999998</v>
      </c>
      <c r="I31" s="21">
        <f t="shared" si="3"/>
        <v>-30.358427329954509</v>
      </c>
      <c r="J31" s="21">
        <f t="shared" si="4"/>
        <v>0.32242087434909661</v>
      </c>
      <c r="K31" s="16"/>
    </row>
    <row r="32" spans="1:11">
      <c r="A32" s="14"/>
      <c r="B32" s="9" t="str">
        <f>+[17]Total!A20</f>
        <v>Quindío</v>
      </c>
      <c r="C32" s="21">
        <f>+[17]Total!B20/1000000</f>
        <v>34.060675970000069</v>
      </c>
      <c r="D32" s="21">
        <f>+[17]Total!C20/1000000</f>
        <v>23.49410757000005</v>
      </c>
      <c r="E32" s="21">
        <f t="shared" si="1"/>
        <v>-31.022779493004869</v>
      </c>
      <c r="F32" s="21">
        <f t="shared" si="2"/>
        <v>0.12139361164149609</v>
      </c>
      <c r="G32" s="21">
        <f>+[17]Total!D20/1000000</f>
        <v>6.8844280599999967</v>
      </c>
      <c r="H32" s="21">
        <f>+[17]Total!E20/1000000</f>
        <v>4.7371245999999898</v>
      </c>
      <c r="I32" s="21">
        <f t="shared" si="3"/>
        <v>-31.190731332880073</v>
      </c>
      <c r="J32" s="21">
        <f t="shared" si="4"/>
        <v>9.1677931671445209E-2</v>
      </c>
      <c r="K32" s="16"/>
    </row>
    <row r="33" spans="1:13">
      <c r="A33" s="14"/>
      <c r="B33" s="9" t="str">
        <f>+[17]Total!A21</f>
        <v>Córdoba</v>
      </c>
      <c r="C33" s="21">
        <f>+[17]Total!B21/1000000</f>
        <v>22.22301531999998</v>
      </c>
      <c r="D33" s="21">
        <f>+[17]Total!C21/1000000</f>
        <v>17.54103765</v>
      </c>
      <c r="E33" s="21">
        <f t="shared" si="1"/>
        <v>-21.068147605452779</v>
      </c>
      <c r="F33" s="21">
        <f t="shared" si="2"/>
        <v>9.063421140507516E-2</v>
      </c>
      <c r="G33" s="21">
        <f>+[17]Total!D21/1000000</f>
        <v>2.6940718299999973</v>
      </c>
      <c r="H33" s="21">
        <f>+[17]Total!E21/1000000</f>
        <v>2.7220276699999988</v>
      </c>
      <c r="I33" s="21">
        <f t="shared" si="3"/>
        <v>1.0376798305337553</v>
      </c>
      <c r="J33" s="21">
        <f t="shared" si="4"/>
        <v>5.267960794994575E-2</v>
      </c>
      <c r="K33" s="16"/>
    </row>
    <row r="34" spans="1:13">
      <c r="A34" s="14"/>
      <c r="B34" s="9" t="str">
        <f>+[17]Total!A22</f>
        <v>Huila</v>
      </c>
      <c r="C34" s="21">
        <f>+[17]Total!B22/1000000</f>
        <v>15.909876580000006</v>
      </c>
      <c r="D34" s="21">
        <f>+[17]Total!C22/1000000</f>
        <v>16.043897630000007</v>
      </c>
      <c r="E34" s="21">
        <f t="shared" si="1"/>
        <v>0.84237642778748345</v>
      </c>
      <c r="F34" s="21">
        <f t="shared" si="2"/>
        <v>8.2898517098776367E-2</v>
      </c>
      <c r="G34" s="21">
        <f>+[17]Total!D22/1000000</f>
        <v>4.3916737799999996</v>
      </c>
      <c r="H34" s="21">
        <f>+[17]Total!E22/1000000</f>
        <v>3.6718057900000014</v>
      </c>
      <c r="I34" s="21">
        <f t="shared" si="3"/>
        <v>-16.391654436591562</v>
      </c>
      <c r="J34" s="21">
        <f t="shared" si="4"/>
        <v>7.106073594231356E-2</v>
      </c>
      <c r="K34" s="16"/>
    </row>
    <row r="35" spans="1:13">
      <c r="A35" s="14"/>
      <c r="B35" s="9" t="str">
        <f>+[17]Total!A23</f>
        <v>Tolima</v>
      </c>
      <c r="C35" s="21">
        <f>+[17]Total!B23/1000000</f>
        <v>26.676456370000007</v>
      </c>
      <c r="D35" s="21">
        <f>+[17]Total!C23/1000000</f>
        <v>11.720401360000004</v>
      </c>
      <c r="E35" s="21">
        <f t="shared" si="1"/>
        <v>-56.064624186064634</v>
      </c>
      <c r="F35" s="21">
        <f t="shared" si="2"/>
        <v>6.0559093242386994E-2</v>
      </c>
      <c r="G35" s="21">
        <f>+[17]Total!D23/1000000</f>
        <v>10.923145630000002</v>
      </c>
      <c r="H35" s="21">
        <f>+[17]Total!E23/1000000</f>
        <v>3.50261164</v>
      </c>
      <c r="I35" s="21">
        <f t="shared" si="3"/>
        <v>-67.934038795745693</v>
      </c>
      <c r="J35" s="21">
        <f t="shared" si="4"/>
        <v>6.7786308724817862E-2</v>
      </c>
      <c r="K35" s="16"/>
    </row>
    <row r="36" spans="1:13">
      <c r="A36" s="14"/>
      <c r="B36" s="9" t="str">
        <f>+[17]Total!A24</f>
        <v>Aráuca</v>
      </c>
      <c r="C36" s="21">
        <f>+[17]Total!B24/1000000</f>
        <v>2.15995143</v>
      </c>
      <c r="D36" s="21">
        <f>+[17]Total!C24/1000000</f>
        <v>3.4913917700000017</v>
      </c>
      <c r="E36" s="21">
        <f t="shared" si="1"/>
        <v>61.642142573548583</v>
      </c>
      <c r="F36" s="21">
        <f t="shared" si="2"/>
        <v>1.803995556557737E-2</v>
      </c>
      <c r="G36" s="21">
        <f>+[17]Total!D24/1000000</f>
        <v>1.2197117200000001</v>
      </c>
      <c r="H36" s="21">
        <f>+[17]Total!E24/1000000</f>
        <v>1.2749633399999998</v>
      </c>
      <c r="I36" s="21">
        <f t="shared" si="3"/>
        <v>4.5298917026065588</v>
      </c>
      <c r="J36" s="21">
        <f t="shared" si="4"/>
        <v>2.4674462218730278E-2</v>
      </c>
      <c r="K36" s="16"/>
    </row>
    <row r="37" spans="1:13">
      <c r="A37" s="14"/>
      <c r="B37" s="9" t="str">
        <f>+[17]Total!A25</f>
        <v>Sucre</v>
      </c>
      <c r="C37" s="21">
        <f>+[17]Total!B25/1000000</f>
        <v>3.27855966</v>
      </c>
      <c r="D37" s="21">
        <f>+[17]Total!C25/1000000</f>
        <v>3.145351610000001</v>
      </c>
      <c r="E37" s="21">
        <f t="shared" si="1"/>
        <v>-4.0630052161380821</v>
      </c>
      <c r="F37" s="21">
        <f t="shared" si="2"/>
        <v>1.6251972571533338E-2</v>
      </c>
      <c r="G37" s="21">
        <f>+[17]Total!D25/1000000</f>
        <v>0.31254442000000004</v>
      </c>
      <c r="H37" s="21">
        <f>+[17]Total!E25/1000000</f>
        <v>0.48972187000000011</v>
      </c>
      <c r="I37" s="21">
        <f t="shared" si="3"/>
        <v>56.688726037726099</v>
      </c>
      <c r="J37" s="21">
        <f t="shared" si="4"/>
        <v>9.4776244931096976E-3</v>
      </c>
      <c r="K37" s="16"/>
    </row>
    <row r="38" spans="1:13">
      <c r="A38" s="14"/>
      <c r="B38" s="9" t="str">
        <f>+[17]Total!A26</f>
        <v>San Andrés</v>
      </c>
      <c r="C38" s="21">
        <f>+[17]Total!B26/1000000</f>
        <v>0.84627638000000027</v>
      </c>
      <c r="D38" s="21">
        <f>+[17]Total!C26/1000000</f>
        <v>1.1612675100000001</v>
      </c>
      <c r="E38" s="21">
        <f t="shared" si="1"/>
        <v>37.220834404004009</v>
      </c>
      <c r="F38" s="21">
        <f t="shared" si="2"/>
        <v>6.0002473684437497E-3</v>
      </c>
      <c r="G38" s="21">
        <f>+[17]Total!D26/1000000</f>
        <v>6.3492790000000007E-2</v>
      </c>
      <c r="H38" s="21">
        <f>+[17]Total!E26/1000000</f>
        <v>0.32331031999999998</v>
      </c>
      <c r="I38" s="21">
        <f t="shared" si="3"/>
        <v>409.20792738829073</v>
      </c>
      <c r="J38" s="21">
        <f t="shared" si="4"/>
        <v>6.2570491444605761E-3</v>
      </c>
      <c r="K38" s="16"/>
    </row>
    <row r="39" spans="1:13">
      <c r="A39" s="14"/>
      <c r="B39" s="9" t="str">
        <f>+[17]Total!A27</f>
        <v>Chocó</v>
      </c>
      <c r="C39" s="21">
        <f>+[17]Total!B27/1000000</f>
        <v>8.3557620000000013E-2</v>
      </c>
      <c r="D39" s="21">
        <f>+[17]Total!C27/1000000</f>
        <v>0.90424217000000018</v>
      </c>
      <c r="E39" s="21">
        <f t="shared" si="1"/>
        <v>982.17798687899437</v>
      </c>
      <c r="F39" s="21">
        <f t="shared" si="2"/>
        <v>4.6722022740293204E-3</v>
      </c>
      <c r="G39" s="21">
        <f>+[17]Total!D27/1000000</f>
        <v>0</v>
      </c>
      <c r="H39" s="21">
        <f>+[17]Total!E27/1000000</f>
        <v>2.4803169999999999E-2</v>
      </c>
      <c r="I39" s="21" t="str">
        <f t="shared" si="3"/>
        <v/>
      </c>
      <c r="J39" s="21">
        <f t="shared" si="4"/>
        <v>4.8001763020868066E-4</v>
      </c>
      <c r="K39" s="16"/>
    </row>
    <row r="40" spans="1:13">
      <c r="A40" s="14"/>
      <c r="B40" s="9" t="str">
        <f>+[17]Total!A28</f>
        <v>Putumayo</v>
      </c>
      <c r="C40" s="21">
        <f>+[17]Total!B28/1000000</f>
        <v>2.4403125000000001</v>
      </c>
      <c r="D40" s="21">
        <f>+[17]Total!C28/1000000</f>
        <v>0.6027864300000001</v>
      </c>
      <c r="E40" s="21">
        <f t="shared" si="1"/>
        <v>-75.29880169035728</v>
      </c>
      <c r="F40" s="21">
        <f t="shared" si="2"/>
        <v>3.1145861390207176E-3</v>
      </c>
      <c r="G40" s="21">
        <f>+[17]Total!D28/1000000</f>
        <v>0.12366019</v>
      </c>
      <c r="H40" s="21">
        <f>+[17]Total!E28/1000000</f>
        <v>0.16330212999999996</v>
      </c>
      <c r="I40" s="21">
        <f t="shared" si="3"/>
        <v>32.057155985285135</v>
      </c>
      <c r="J40" s="21">
        <f t="shared" si="4"/>
        <v>3.1603985075548762E-3</v>
      </c>
      <c r="K40" s="16"/>
    </row>
    <row r="41" spans="1:13">
      <c r="A41" s="14"/>
      <c r="B41" s="9" t="str">
        <f>+[17]Total!A29</f>
        <v>Amazonas</v>
      </c>
      <c r="C41" s="21">
        <f>+[17]Total!B29/1000000</f>
        <v>0.48746442999999995</v>
      </c>
      <c r="D41" s="21">
        <f>+[17]Total!C29/1000000</f>
        <v>0.35575528000000001</v>
      </c>
      <c r="E41" s="21">
        <f t="shared" si="1"/>
        <v>-27.019232972547346</v>
      </c>
      <c r="F41" s="21">
        <f t="shared" si="2"/>
        <v>1.8381808362398508E-3</v>
      </c>
      <c r="G41" s="21">
        <f>+[17]Total!D29/1000000</f>
        <v>0.22865857999999994</v>
      </c>
      <c r="H41" s="21">
        <f>+[17]Total!E29/1000000</f>
        <v>3.489242E-2</v>
      </c>
      <c r="I41" s="21">
        <f t="shared" si="3"/>
        <v>-84.740384550625649</v>
      </c>
      <c r="J41" s="21">
        <f t="shared" si="4"/>
        <v>6.7527565067876296E-4</v>
      </c>
      <c r="K41" s="16"/>
    </row>
    <row r="42" spans="1:13">
      <c r="A42" s="14"/>
      <c r="B42" s="9" t="str">
        <f>+[17]Total!A30</f>
        <v>Guaviare</v>
      </c>
      <c r="C42" s="21">
        <f>+[17]Total!B30/1000000</f>
        <v>0</v>
      </c>
      <c r="D42" s="21">
        <f>+[17]Total!C30/1000000</f>
        <v>0.33533106000000001</v>
      </c>
      <c r="E42" s="21" t="str">
        <f t="shared" si="1"/>
        <v/>
      </c>
      <c r="F42" s="21">
        <f t="shared" si="2"/>
        <v>1.7326492758954852E-3</v>
      </c>
      <c r="G42" s="21">
        <f>+[17]Total!D30/1000000</f>
        <v>0</v>
      </c>
      <c r="H42" s="21">
        <f>+[17]Total!E30/1000000</f>
        <v>0.33533106000000001</v>
      </c>
      <c r="I42" s="21" t="str">
        <f t="shared" si="3"/>
        <v/>
      </c>
      <c r="J42" s="21">
        <f t="shared" si="4"/>
        <v>6.4896874373946926E-3</v>
      </c>
      <c r="K42" s="16"/>
    </row>
    <row r="43" spans="1:13">
      <c r="A43" s="14"/>
      <c r="B43" s="9" t="str">
        <f>+[17]Total!A31</f>
        <v>Vaupés</v>
      </c>
      <c r="C43" s="21">
        <f>+[17]Total!B31/1000000</f>
        <v>0.39838678000000005</v>
      </c>
      <c r="D43" s="21">
        <f>+[17]Total!C31/1000000</f>
        <v>0.29900378000000005</v>
      </c>
      <c r="E43" s="21">
        <f t="shared" ref="E43" si="5">IF(OR(OR(D43=0,C43=0),D43=""),"",(D43/C43-1)*100)</f>
        <v>-24.946359916862704</v>
      </c>
      <c r="F43" s="21">
        <f t="shared" ref="F43" si="6">(D43/D$13)*100</f>
        <v>1.5449469038359078E-3</v>
      </c>
      <c r="G43" s="21">
        <f>+[17]Total!D31/1000000</f>
        <v>5.2567719999999998E-2</v>
      </c>
      <c r="H43" s="21">
        <f>+[17]Total!E31/1000000</f>
        <v>0.29900378000000005</v>
      </c>
      <c r="I43" s="21">
        <f t="shared" ref="I43" si="7">IF(OR(OR(H43=0,G43=0),H43=""),"",(H43/G43-1)*100)</f>
        <v>468.79731515842815</v>
      </c>
      <c r="J43" s="21">
        <f t="shared" ref="J43" si="8">(H43/H$13)*100</f>
        <v>5.7866428323088432E-3</v>
      </c>
      <c r="K43" s="16"/>
    </row>
    <row r="44" spans="1:13">
      <c r="A44" s="14"/>
      <c r="B44" s="9" t="str">
        <f>+[17]Total!A32</f>
        <v>Vichada</v>
      </c>
      <c r="C44" s="21">
        <f>+[17]Total!B32/1000000</f>
        <v>6.6039580000000001E-2</v>
      </c>
      <c r="D44" s="21">
        <f>+[17]Total!C32/1000000</f>
        <v>0.2107306699999999</v>
      </c>
      <c r="E44" s="21">
        <f t="shared" ref="E44" si="9">IF(OR(OR(D44=0,C44=0),D44=""),"",(D44/C44-1)*100)</f>
        <v>219.09753211634583</v>
      </c>
      <c r="F44" s="21">
        <f t="shared" ref="F44" si="10">(D44/D$13)*100</f>
        <v>1.0888414058168969E-3</v>
      </c>
      <c r="G44" s="21">
        <f>+[17]Total!D32/1000000</f>
        <v>2.7722100000000002E-3</v>
      </c>
      <c r="H44" s="21">
        <f>+[17]Total!E32/1000000</f>
        <v>3.4614279999999997E-2</v>
      </c>
      <c r="I44" s="21">
        <f t="shared" ref="I44" si="11">IF(OR(OR(H44=0,G44=0),H44=""),"",(H44/G44-1)*100)</f>
        <v>1148.6168075290109</v>
      </c>
      <c r="J44" s="21">
        <f t="shared" ref="J44" si="12">(H44/H$13)*100</f>
        <v>6.6989278616320935E-4</v>
      </c>
      <c r="K44" s="16"/>
    </row>
    <row r="45" spans="1:13">
      <c r="A45" s="14"/>
      <c r="B45" s="9" t="str">
        <f>+[17]Total!A33</f>
        <v>Caquetá</v>
      </c>
      <c r="C45" s="21">
        <f>+[17]Total!B33/1000000</f>
        <v>0.18813979</v>
      </c>
      <c r="D45" s="21">
        <f>+[17]Total!C33/1000000</f>
        <v>6.1166499999999992E-2</v>
      </c>
      <c r="E45" s="21">
        <f t="shared" ref="E45" si="13">IF(OR(OR(D45=0,C45=0),D45=""),"",(D45/C45-1)*100)</f>
        <v>-67.488801810611136</v>
      </c>
      <c r="F45" s="21">
        <f t="shared" ref="F45" si="14">(D45/D$13)*100</f>
        <v>3.1604615431108941E-4</v>
      </c>
      <c r="G45" s="21">
        <f>+[17]Total!D33/1000000</f>
        <v>0.10296084</v>
      </c>
      <c r="H45" s="21">
        <f>+[17]Total!E33/1000000</f>
        <v>1.4250270000000001E-2</v>
      </c>
      <c r="I45" s="21">
        <f t="shared" ref="I45" si="15">IF(OR(OR(H45=0,G45=0),H45=""),"",(H45/G45-1)*100)</f>
        <v>-86.159524339545015</v>
      </c>
      <c r="J45" s="21">
        <f t="shared" ref="J45" si="16">(H45/H$13)*100</f>
        <v>2.7578655612302201E-4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64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SUM(C14:C39)</f>
        <v>1343.1882810800003</v>
      </c>
      <c r="D13" s="87">
        <f>SUM(D14:D39)</f>
        <v>1456.6705334499984</v>
      </c>
      <c r="E13" s="87">
        <f>IF(OR(OR(D13=0,C13=0),D13=""),"",(D13/C13-1)*100)</f>
        <v>8.4487226376596993</v>
      </c>
      <c r="F13" s="87">
        <f>(D13/D$13)*100</f>
        <v>100</v>
      </c>
      <c r="G13" s="87">
        <f>SUM(G14:G39)</f>
        <v>278.58828450999994</v>
      </c>
      <c r="H13" s="87">
        <f>SUM(H14:H39)</f>
        <v>411.43553079999975</v>
      </c>
      <c r="I13" s="87">
        <f>IF(OR(OR(H13=0,G13=0),H13=""),"",(H13/G13-1)*100)</f>
        <v>47.685869678138324</v>
      </c>
      <c r="J13" s="87">
        <f>(H13/H$13)*100</f>
        <v>100</v>
      </c>
      <c r="K13" s="16"/>
    </row>
    <row r="14" spans="1:14">
      <c r="A14" s="14"/>
      <c r="B14" s="9" t="str">
        <f>+[17]Primarios!A2</f>
        <v>Antioquia</v>
      </c>
      <c r="C14" s="21">
        <f>[17]Primarios!B2/1000000</f>
        <v>298.41879213000027</v>
      </c>
      <c r="D14" s="21">
        <f>[17]Primarios!C2/1000000</f>
        <v>393.6116898499991</v>
      </c>
      <c r="E14" s="21">
        <f>IF(OR(OR(D14=0,C14=0),D14=""),"",(D14/C14-1)*100)</f>
        <v>31.899096246770519</v>
      </c>
      <c r="F14" s="21">
        <f>(D14/D$13)*100</f>
        <v>27.021325743286905</v>
      </c>
      <c r="G14" s="21">
        <f>[17]Primarios!D2/1000000</f>
        <v>65.733473040000007</v>
      </c>
      <c r="H14" s="21">
        <f>[17]Primarios!E2/1000000</f>
        <v>117.80891645999991</v>
      </c>
      <c r="I14" s="21">
        <f>IF(OR(OR(H14=0,G14=0),H14=""),"",(H14/G14-1)*100)</f>
        <v>79.22210863301116</v>
      </c>
      <c r="J14" s="21">
        <f>(H14/H$13)*100</f>
        <v>28.63362729780069</v>
      </c>
      <c r="K14" s="16"/>
    </row>
    <row r="15" spans="1:14">
      <c r="A15" s="14"/>
      <c r="B15" s="10" t="str">
        <f>+[17]Primarios!A3</f>
        <v>Bogotá</v>
      </c>
      <c r="C15" s="24">
        <f>[17]Primarios!B3/1000000</f>
        <v>331.03183367000025</v>
      </c>
      <c r="D15" s="24">
        <f>[17]Primarios!C3/1000000</f>
        <v>361.77718690999939</v>
      </c>
      <c r="E15" s="24">
        <f t="shared" ref="E15:E38" si="0">IF(OR(OR(D15=0,C15=0),D15=""),"",(D15/C15-1)*100)</f>
        <v>9.2877331159179732</v>
      </c>
      <c r="F15" s="24">
        <f t="shared" ref="F15:F38" si="1">(D15/D$13)*100</f>
        <v>24.835896560161846</v>
      </c>
      <c r="G15" s="24">
        <f>[17]Primarios!D3/1000000</f>
        <v>75.211976219999954</v>
      </c>
      <c r="H15" s="24">
        <f>[17]Primarios!E3/1000000</f>
        <v>96.570777480000032</v>
      </c>
      <c r="I15" s="24">
        <f t="shared" ref="I15:I38" si="2">IF(OR(OR(H15=0,G15=0),H15=""),"",(H15/G15-1)*100)</f>
        <v>28.398138612292524</v>
      </c>
      <c r="J15" s="24">
        <f t="shared" ref="J15:J38" si="3">(H15/H$13)*100</f>
        <v>23.471666944327037</v>
      </c>
      <c r="K15" s="16"/>
    </row>
    <row r="16" spans="1:14">
      <c r="A16" s="14"/>
      <c r="B16" s="9" t="str">
        <f>+[17]Primarios!A4</f>
        <v>Valle del Cauca</v>
      </c>
      <c r="C16" s="21">
        <f>[17]Primarios!B4/1000000</f>
        <v>250.79902448999991</v>
      </c>
      <c r="D16" s="21">
        <f>[17]Primarios!C4/1000000</f>
        <v>285.3416849100002</v>
      </c>
      <c r="E16" s="21">
        <f t="shared" si="0"/>
        <v>13.773044169626591</v>
      </c>
      <c r="F16" s="21">
        <f t="shared" si="1"/>
        <v>19.588622022455073</v>
      </c>
      <c r="G16" s="21">
        <f>[17]Primarios!D4/1000000</f>
        <v>40.561839110000008</v>
      </c>
      <c r="H16" s="21">
        <f>[17]Primarios!E4/1000000</f>
        <v>88.607171839999978</v>
      </c>
      <c r="I16" s="21">
        <f t="shared" si="2"/>
        <v>118.44959149831796</v>
      </c>
      <c r="J16" s="21">
        <f t="shared" si="3"/>
        <v>21.536101091636695</v>
      </c>
      <c r="K16" s="16"/>
    </row>
    <row r="17" spans="1:11">
      <c r="A17" s="14"/>
      <c r="B17" s="9" t="str">
        <f>+[17]Primarios!A5</f>
        <v>Santander</v>
      </c>
      <c r="C17" s="21">
        <f>[17]Primarios!B5/1000000</f>
        <v>108.30848485999985</v>
      </c>
      <c r="D17" s="21">
        <f>[17]Primarios!C5/1000000</f>
        <v>111.88047671000001</v>
      </c>
      <c r="E17" s="21">
        <f t="shared" si="0"/>
        <v>3.2979797054841331</v>
      </c>
      <c r="F17" s="21">
        <f t="shared" si="1"/>
        <v>7.680561536795885</v>
      </c>
      <c r="G17" s="21">
        <f>[17]Primarios!D5/1000000</f>
        <v>19.434783529999997</v>
      </c>
      <c r="H17" s="21">
        <f>[17]Primarios!E5/1000000</f>
        <v>34.695527479999996</v>
      </c>
      <c r="I17" s="21">
        <f t="shared" si="2"/>
        <v>78.522839868234968</v>
      </c>
      <c r="J17" s="21">
        <f t="shared" si="3"/>
        <v>8.4327980649939569</v>
      </c>
      <c r="K17" s="16"/>
    </row>
    <row r="18" spans="1:11">
      <c r="A18" s="14"/>
      <c r="B18" s="9" t="str">
        <f>+[17]Primarios!A6</f>
        <v>Cundinamarca</v>
      </c>
      <c r="C18" s="21">
        <f>[17]Primarios!B6/1000000</f>
        <v>111.40297350000002</v>
      </c>
      <c r="D18" s="21">
        <f>[17]Primarios!C6/1000000</f>
        <v>95.959815350000113</v>
      </c>
      <c r="E18" s="21">
        <f t="shared" si="0"/>
        <v>-13.862429040100888</v>
      </c>
      <c r="F18" s="21">
        <f t="shared" si="1"/>
        <v>6.5876128572963975</v>
      </c>
      <c r="G18" s="21">
        <f>[17]Primarios!D6/1000000</f>
        <v>19.102249400000002</v>
      </c>
      <c r="H18" s="21">
        <f>[17]Primarios!E6/1000000</f>
        <v>33.162898510000019</v>
      </c>
      <c r="I18" s="21">
        <f t="shared" si="2"/>
        <v>73.607295222519781</v>
      </c>
      <c r="J18" s="21">
        <f t="shared" si="3"/>
        <v>8.0602903802492971</v>
      </c>
      <c r="K18" s="16"/>
    </row>
    <row r="19" spans="1:11">
      <c r="A19" s="14"/>
      <c r="B19" s="9" t="str">
        <f>+[17]Primarios!A7</f>
        <v>Atlántico</v>
      </c>
      <c r="C19" s="21">
        <f>[17]Primarios!B7/1000000</f>
        <v>72.284991319999961</v>
      </c>
      <c r="D19" s="21">
        <f>[17]Primarios!C7/1000000</f>
        <v>83.923372889999953</v>
      </c>
      <c r="E19" s="21">
        <f t="shared" si="0"/>
        <v>16.100688894708171</v>
      </c>
      <c r="F19" s="21">
        <f t="shared" si="1"/>
        <v>5.7613146530282791</v>
      </c>
      <c r="G19" s="21">
        <f>[17]Primarios!D7/1000000</f>
        <v>14.769472289999994</v>
      </c>
      <c r="H19" s="21">
        <f>[17]Primarios!E7/1000000</f>
        <v>17.346531139999993</v>
      </c>
      <c r="I19" s="21">
        <f t="shared" si="2"/>
        <v>17.448550627938509</v>
      </c>
      <c r="J19" s="21">
        <f t="shared" si="3"/>
        <v>4.2160994472867248</v>
      </c>
      <c r="K19" s="16"/>
    </row>
    <row r="20" spans="1:11">
      <c r="A20" s="14"/>
      <c r="B20" s="9" t="str">
        <f>+[17]Primarios!A8</f>
        <v>Bolívar</v>
      </c>
      <c r="C20" s="21">
        <f>[17]Primarios!B8/1000000</f>
        <v>31.106100710000018</v>
      </c>
      <c r="D20" s="21">
        <f>[17]Primarios!C8/1000000</f>
        <v>45.053071979999991</v>
      </c>
      <c r="E20" s="21">
        <f t="shared" si="0"/>
        <v>44.836771410298581</v>
      </c>
      <c r="F20" s="21">
        <f t="shared" si="1"/>
        <v>3.0928800264323106</v>
      </c>
      <c r="G20" s="21">
        <f>[17]Primarios!D8/1000000</f>
        <v>11.859447660000003</v>
      </c>
      <c r="H20" s="21">
        <f>[17]Primarios!E8/1000000</f>
        <v>5.3384324800000025</v>
      </c>
      <c r="I20" s="21">
        <f t="shared" si="2"/>
        <v>-54.985825368531529</v>
      </c>
      <c r="J20" s="21">
        <f t="shared" si="3"/>
        <v>1.2975137245973618</v>
      </c>
      <c r="K20" s="16"/>
    </row>
    <row r="21" spans="1:11">
      <c r="A21" s="14"/>
      <c r="B21" s="9" t="str">
        <f>+[17]Primarios!A9</f>
        <v>Nariño</v>
      </c>
      <c r="C21" s="21">
        <f>[17]Primarios!B9/1000000</f>
        <v>55.660637849999951</v>
      </c>
      <c r="D21" s="21">
        <f>[17]Primarios!C9/1000000</f>
        <v>35.896120669999995</v>
      </c>
      <c r="E21" s="21">
        <f t="shared" si="0"/>
        <v>-35.508966378113428</v>
      </c>
      <c r="F21" s="21">
        <f t="shared" si="1"/>
        <v>2.4642580354105972</v>
      </c>
      <c r="G21" s="21">
        <f>[17]Primarios!D9/1000000</f>
        <v>12.071741649999998</v>
      </c>
      <c r="H21" s="21">
        <f>[17]Primarios!E9/1000000</f>
        <v>7.2548145599999883</v>
      </c>
      <c r="I21" s="21">
        <f t="shared" si="2"/>
        <v>-39.902503132180691</v>
      </c>
      <c r="J21" s="21">
        <f t="shared" si="3"/>
        <v>1.7632931569846793</v>
      </c>
      <c r="K21" s="16"/>
    </row>
    <row r="22" spans="1:11">
      <c r="A22" s="14"/>
      <c r="B22" s="9" t="str">
        <f>+[17]Primarios!A10</f>
        <v>Quindío</v>
      </c>
      <c r="C22" s="21">
        <f>[17]Primarios!B10/1000000</f>
        <v>13.036655009999992</v>
      </c>
      <c r="D22" s="21">
        <f>[17]Primarios!C10/1000000</f>
        <v>7.5797844599999999</v>
      </c>
      <c r="E22" s="21">
        <f t="shared" si="0"/>
        <v>-41.857904085167583</v>
      </c>
      <c r="F22" s="21">
        <f t="shared" si="1"/>
        <v>0.52034995463579092</v>
      </c>
      <c r="G22" s="21">
        <f>[17]Primarios!D10/1000000</f>
        <v>3.2017146799999998</v>
      </c>
      <c r="H22" s="21">
        <f>[17]Primarios!E10/1000000</f>
        <v>2.0141565400000001</v>
      </c>
      <c r="I22" s="21">
        <f t="shared" si="2"/>
        <v>-37.091316956450335</v>
      </c>
      <c r="J22" s="21">
        <f t="shared" si="3"/>
        <v>0.48954365610662071</v>
      </c>
      <c r="K22" s="16"/>
    </row>
    <row r="23" spans="1:11">
      <c r="A23" s="14"/>
      <c r="B23" s="9" t="str">
        <f>+[17]Primarios!A11</f>
        <v>Córdoba</v>
      </c>
      <c r="C23" s="21">
        <f>[17]Primarios!B11/1000000</f>
        <v>2.99824606</v>
      </c>
      <c r="D23" s="21">
        <f>[17]Primarios!C11/1000000</f>
        <v>6.4483365700000004</v>
      </c>
      <c r="E23" s="21">
        <f t="shared" si="0"/>
        <v>115.07029246292082</v>
      </c>
      <c r="F23" s="21">
        <f t="shared" si="1"/>
        <v>0.44267639263132974</v>
      </c>
      <c r="G23" s="21">
        <f>[17]Primarios!D11/1000000</f>
        <v>0</v>
      </c>
      <c r="H23" s="21">
        <f>[17]Primarios!E11/1000000</f>
        <v>1.6298493300000001</v>
      </c>
      <c r="I23" s="21" t="str">
        <f t="shared" si="2"/>
        <v/>
      </c>
      <c r="J23" s="21">
        <f t="shared" si="3"/>
        <v>0.39613723365867387</v>
      </c>
      <c r="K23" s="16"/>
    </row>
    <row r="24" spans="1:11">
      <c r="A24" s="14"/>
      <c r="B24" s="9" t="str">
        <f>+[17]Primarios!A12</f>
        <v>Risaralda</v>
      </c>
      <c r="C24" s="21">
        <f>[17]Primarios!B12/1000000</f>
        <v>19.652827699999996</v>
      </c>
      <c r="D24" s="21">
        <f>[17]Primarios!C12/1000000</f>
        <v>6.2163059900000004</v>
      </c>
      <c r="E24" s="21">
        <f t="shared" si="0"/>
        <v>-68.369406759720377</v>
      </c>
      <c r="F24" s="21">
        <f t="shared" si="1"/>
        <v>0.42674756214620585</v>
      </c>
      <c r="G24" s="21">
        <f>[17]Primarios!D12/1000000</f>
        <v>5.5934898300000002</v>
      </c>
      <c r="H24" s="21">
        <f>[17]Primarios!E12/1000000</f>
        <v>1.3025245699999999</v>
      </c>
      <c r="I24" s="21">
        <f t="shared" si="2"/>
        <v>-76.7135614868902</v>
      </c>
      <c r="J24" s="21">
        <f t="shared" si="3"/>
        <v>0.31658047798335665</v>
      </c>
      <c r="K24" s="16"/>
    </row>
    <row r="25" spans="1:11">
      <c r="A25" s="14"/>
      <c r="B25" s="9" t="str">
        <f>+[17]Primarios!A13</f>
        <v>Caldas</v>
      </c>
      <c r="C25" s="21">
        <f>[17]Primarios!B13/1000000</f>
        <v>10.751445720000003</v>
      </c>
      <c r="D25" s="21">
        <f>[17]Primarios!C13/1000000</f>
        <v>5.3350130799999995</v>
      </c>
      <c r="E25" s="21">
        <f t="shared" si="0"/>
        <v>-50.378644705653606</v>
      </c>
      <c r="F25" s="21">
        <f t="shared" si="1"/>
        <v>0.36624706531026491</v>
      </c>
      <c r="G25" s="21">
        <f>[17]Primarios!D13/1000000</f>
        <v>1.3406836899999997</v>
      </c>
      <c r="H25" s="21">
        <f>[17]Primarios!E13/1000000</f>
        <v>1.5803455099999997</v>
      </c>
      <c r="I25" s="21">
        <f t="shared" si="2"/>
        <v>17.876089773270841</v>
      </c>
      <c r="J25" s="21">
        <f t="shared" si="3"/>
        <v>0.38410525870897894</v>
      </c>
      <c r="K25" s="16"/>
    </row>
    <row r="26" spans="1:11">
      <c r="A26" s="14"/>
      <c r="B26" s="9" t="str">
        <f>+[17]Primarios!A14</f>
        <v>Tolima</v>
      </c>
      <c r="C26" s="21">
        <f>[17]Primarios!B14/1000000</f>
        <v>4.7627125799999988</v>
      </c>
      <c r="D26" s="21">
        <f>[17]Primarios!C14/1000000</f>
        <v>3.8405542100000005</v>
      </c>
      <c r="E26" s="21">
        <f t="shared" si="0"/>
        <v>-19.362041158486164</v>
      </c>
      <c r="F26" s="21">
        <f t="shared" si="1"/>
        <v>0.26365290721601814</v>
      </c>
      <c r="G26" s="21">
        <f>[17]Primarios!D14/1000000</f>
        <v>1.3593046499999999</v>
      </c>
      <c r="H26" s="21">
        <f>[17]Primarios!E14/1000000</f>
        <v>1.17250177</v>
      </c>
      <c r="I26" s="21">
        <f t="shared" si="2"/>
        <v>-13.742532257209595</v>
      </c>
      <c r="J26" s="21">
        <f t="shared" si="3"/>
        <v>0.28497824865056615</v>
      </c>
      <c r="K26" s="16"/>
    </row>
    <row r="27" spans="1:11">
      <c r="A27" s="14"/>
      <c r="B27" s="9" t="str">
        <f>+[17]Primarios!A15</f>
        <v>Cauca</v>
      </c>
      <c r="C27" s="21">
        <f>[17]Primarios!B15/1000000</f>
        <v>13.65165015</v>
      </c>
      <c r="D27" s="21">
        <f>[17]Primarios!C15/1000000</f>
        <v>3.5322978199999997</v>
      </c>
      <c r="E27" s="21">
        <f t="shared" si="0"/>
        <v>-74.125488265607217</v>
      </c>
      <c r="F27" s="21">
        <f t="shared" si="1"/>
        <v>0.24249119748678225</v>
      </c>
      <c r="G27" s="21">
        <f>[17]Primarios!D15/1000000</f>
        <v>3.1491126999999994</v>
      </c>
      <c r="H27" s="21">
        <f>[17]Primarios!E15/1000000</f>
        <v>4.8888089999999995E-2</v>
      </c>
      <c r="I27" s="21">
        <f t="shared" si="2"/>
        <v>-98.447559847572293</v>
      </c>
      <c r="J27" s="21">
        <f t="shared" si="3"/>
        <v>1.1882320883891932E-2</v>
      </c>
      <c r="K27" s="16"/>
    </row>
    <row r="28" spans="1:11">
      <c r="A28" s="14"/>
      <c r="B28" s="9" t="str">
        <f>+[17]Primarios!A16</f>
        <v>Magdalena</v>
      </c>
      <c r="C28" s="21">
        <f>[17]Primarios!B16/1000000</f>
        <v>10.21563903</v>
      </c>
      <c r="D28" s="21">
        <f>[17]Primarios!C16/1000000</f>
        <v>3.5104712800000004</v>
      </c>
      <c r="E28" s="21">
        <f t="shared" si="0"/>
        <v>-65.636302636664325</v>
      </c>
      <c r="F28" s="21">
        <f t="shared" si="1"/>
        <v>0.2409928119906258</v>
      </c>
      <c r="G28" s="21">
        <f>[17]Primarios!D16/1000000</f>
        <v>3.0043247000000002</v>
      </c>
      <c r="H28" s="21">
        <f>[17]Primarios!E16/1000000</f>
        <v>0.75461811999999995</v>
      </c>
      <c r="I28" s="21">
        <f t="shared" si="2"/>
        <v>-74.882271546747276</v>
      </c>
      <c r="J28" s="21">
        <f t="shared" si="3"/>
        <v>0.18341102396594483</v>
      </c>
      <c r="K28" s="16"/>
    </row>
    <row r="29" spans="1:11">
      <c r="A29" s="14"/>
      <c r="B29" s="9" t="str">
        <f>+[17]Primarios!A17</f>
        <v>Huila</v>
      </c>
      <c r="C29" s="21">
        <f>[17]Primarios!B17/1000000</f>
        <v>1.5455998399999999</v>
      </c>
      <c r="D29" s="21">
        <f>[17]Primarios!C17/1000000</f>
        <v>3.1952805099999999</v>
      </c>
      <c r="E29" s="21">
        <f t="shared" si="0"/>
        <v>106.73400884927626</v>
      </c>
      <c r="F29" s="21">
        <f t="shared" si="1"/>
        <v>0.21935505913147388</v>
      </c>
      <c r="G29" s="21">
        <f>[17]Primarios!D17/1000000</f>
        <v>0.70565511999999997</v>
      </c>
      <c r="H29" s="21">
        <f>[17]Primarios!E17/1000000</f>
        <v>1.4704325900000002</v>
      </c>
      <c r="I29" s="21">
        <f t="shared" si="2"/>
        <v>108.37836335687614</v>
      </c>
      <c r="J29" s="21">
        <f t="shared" si="3"/>
        <v>0.35739076475502124</v>
      </c>
      <c r="K29" s="16"/>
    </row>
    <row r="30" spans="1:11">
      <c r="A30" s="14"/>
      <c r="B30" s="9" t="str">
        <f>+[17]Primarios!A18</f>
        <v>Boyacá</v>
      </c>
      <c r="C30" s="21">
        <f>[17]Primarios!B18/1000000</f>
        <v>1.5075395999999999</v>
      </c>
      <c r="D30" s="21">
        <f>[17]Primarios!C18/1000000</f>
        <v>1.3820952700000004</v>
      </c>
      <c r="E30" s="21">
        <f t="shared" si="0"/>
        <v>-8.3211300054737869</v>
      </c>
      <c r="F30" s="21">
        <f t="shared" si="1"/>
        <v>9.4880430286910997E-2</v>
      </c>
      <c r="G30" s="21">
        <f>[17]Primarios!D18/1000000</f>
        <v>1.0729834599999999</v>
      </c>
      <c r="H30" s="21">
        <f>[17]Primarios!E18/1000000</f>
        <v>0.32485240999999998</v>
      </c>
      <c r="I30" s="21">
        <f t="shared" si="2"/>
        <v>-69.72437860318928</v>
      </c>
      <c r="J30" s="21">
        <f t="shared" si="3"/>
        <v>7.8955847436985666E-2</v>
      </c>
      <c r="K30" s="16"/>
    </row>
    <row r="31" spans="1:11">
      <c r="A31" s="14"/>
      <c r="B31" s="9" t="str">
        <f>+[17]Primarios!A19</f>
        <v>Norte de Santander</v>
      </c>
      <c r="C31" s="21">
        <f>[17]Primarios!B19/1000000</f>
        <v>2.8916397200000001</v>
      </c>
      <c r="D31" s="21">
        <f>[17]Primarios!C19/1000000</f>
        <v>0.89559838000000003</v>
      </c>
      <c r="E31" s="21">
        <f t="shared" si="0"/>
        <v>-69.028009478303886</v>
      </c>
      <c r="F31" s="21">
        <f t="shared" si="1"/>
        <v>6.1482563107722966E-2</v>
      </c>
      <c r="G31" s="21">
        <f>[17]Primarios!D19/1000000</f>
        <v>0.41364810000000007</v>
      </c>
      <c r="H31" s="21">
        <f>[17]Primarios!E19/1000000</f>
        <v>0.1209756</v>
      </c>
      <c r="I31" s="21">
        <f t="shared" si="2"/>
        <v>-70.753981463954503</v>
      </c>
      <c r="J31" s="21">
        <f t="shared" si="3"/>
        <v>2.9403294305859709E-2</v>
      </c>
      <c r="K31" s="16"/>
    </row>
    <row r="32" spans="1:11">
      <c r="A32" s="14"/>
      <c r="B32" s="9" t="str">
        <f>+[17]Primarios!A20</f>
        <v>Sucre</v>
      </c>
      <c r="C32" s="21">
        <f>[17]Primarios!B20/1000000</f>
        <v>1.3930106600000001</v>
      </c>
      <c r="D32" s="21">
        <f>[17]Primarios!C20/1000000</f>
        <v>0.58126484999999994</v>
      </c>
      <c r="E32" s="21">
        <f t="shared" si="0"/>
        <v>-58.272763684378418</v>
      </c>
      <c r="F32" s="21">
        <f t="shared" si="1"/>
        <v>3.9903659520270814E-2</v>
      </c>
      <c r="G32" s="21">
        <f>[17]Primarios!D20/1000000</f>
        <v>0</v>
      </c>
      <c r="H32" s="21">
        <f>[17]Primarios!E20/1000000</f>
        <v>3.3991199999999999E-2</v>
      </c>
      <c r="I32" s="21" t="str">
        <f t="shared" si="2"/>
        <v/>
      </c>
      <c r="J32" s="21">
        <f t="shared" si="3"/>
        <v>8.2616102537151175E-3</v>
      </c>
      <c r="K32" s="16"/>
    </row>
    <row r="33" spans="1:13">
      <c r="A33" s="14"/>
      <c r="B33" s="9" t="str">
        <f>+[17]Primarios!A21</f>
        <v>Guajira</v>
      </c>
      <c r="C33" s="21">
        <f>[17]Primarios!B21/1000000</f>
        <v>0.80927606000000019</v>
      </c>
      <c r="D33" s="21">
        <f>[17]Primarios!C21/1000000</f>
        <v>0.25219533999999999</v>
      </c>
      <c r="E33" s="21">
        <f t="shared" si="0"/>
        <v>-68.836920741236312</v>
      </c>
      <c r="F33" s="21">
        <f t="shared" si="1"/>
        <v>1.731313527724743E-2</v>
      </c>
      <c r="G33" s="21">
        <f>[17]Primarios!D21/1000000</f>
        <v>5.9663000000000001E-4</v>
      </c>
      <c r="H33" s="21">
        <f>[17]Primarios!E21/1000000</f>
        <v>8.5267999999999997E-4</v>
      </c>
      <c r="I33" s="21">
        <f t="shared" si="2"/>
        <v>42.916045120091169</v>
      </c>
      <c r="J33" s="21">
        <f t="shared" si="3"/>
        <v>2.0724510553136712E-4</v>
      </c>
      <c r="K33" s="16"/>
    </row>
    <row r="34" spans="1:13">
      <c r="A34" s="14"/>
      <c r="B34" s="9" t="str">
        <f>+[17]Primarios!A22</f>
        <v>Meta</v>
      </c>
      <c r="C34" s="21">
        <f>[17]Primarios!B22/1000000</f>
        <v>0.1088066</v>
      </c>
      <c r="D34" s="21">
        <f>[17]Primarios!C22/1000000</f>
        <v>0.21220079999999999</v>
      </c>
      <c r="E34" s="21">
        <f t="shared" si="0"/>
        <v>95.02566939873131</v>
      </c>
      <c r="F34" s="21">
        <f t="shared" si="1"/>
        <v>1.4567521970628506E-2</v>
      </c>
      <c r="G34" s="21">
        <f>[17]Primarios!D22/1000000</f>
        <v>0</v>
      </c>
      <c r="H34" s="21">
        <f>[17]Primarios!E22/1000000</f>
        <v>0</v>
      </c>
      <c r="I34" s="21" t="str">
        <f t="shared" si="2"/>
        <v/>
      </c>
      <c r="J34" s="21">
        <f t="shared" si="3"/>
        <v>0</v>
      </c>
      <c r="K34" s="16"/>
    </row>
    <row r="35" spans="1:13">
      <c r="A35" s="14"/>
      <c r="B35" s="9" t="str">
        <f>+[17]Primarios!A23</f>
        <v>Cesar</v>
      </c>
      <c r="C35" s="21">
        <f>[17]Primarios!B23/1000000</f>
        <v>0.14388591999999997</v>
      </c>
      <c r="D35" s="21">
        <f>[17]Primarios!C23/1000000</f>
        <v>0.18023481</v>
      </c>
      <c r="E35" s="21">
        <f t="shared" si="0"/>
        <v>25.262298076142574</v>
      </c>
      <c r="F35" s="21">
        <f t="shared" si="1"/>
        <v>1.2373066239840068E-2</v>
      </c>
      <c r="G35" s="21">
        <f>[17]Primarios!D23/1000000</f>
        <v>5.8138999999999999E-4</v>
      </c>
      <c r="H35" s="21">
        <f>[17]Primarios!E23/1000000</f>
        <v>0.18023481</v>
      </c>
      <c r="I35" s="21">
        <f t="shared" si="2"/>
        <v>30900.672526187242</v>
      </c>
      <c r="J35" s="21">
        <f t="shared" si="3"/>
        <v>4.3806330884828895E-2</v>
      </c>
      <c r="K35" s="16"/>
    </row>
    <row r="36" spans="1:13">
      <c r="A36" s="14"/>
      <c r="B36" s="9" t="str">
        <f>+[17]Primarios!A24</f>
        <v>Casanare</v>
      </c>
      <c r="C36" s="21">
        <f>[17]Primarios!B24/1000000</f>
        <v>1.20666E-3</v>
      </c>
      <c r="D36" s="21">
        <f>[17]Primarios!C24/1000000</f>
        <v>6.2265319999999992E-2</v>
      </c>
      <c r="E36" s="21">
        <f t="shared" si="0"/>
        <v>5060.1379013143714</v>
      </c>
      <c r="F36" s="21">
        <f t="shared" si="1"/>
        <v>4.2744957469915967E-3</v>
      </c>
      <c r="G36" s="21">
        <f>[17]Primarios!D24/1000000</f>
        <v>1.20666E-3</v>
      </c>
      <c r="H36" s="21">
        <f>[17]Primarios!E24/1000000</f>
        <v>1.6237629999999999E-2</v>
      </c>
      <c r="I36" s="21">
        <f t="shared" si="2"/>
        <v>1245.6673793777866</v>
      </c>
      <c r="J36" s="21">
        <f t="shared" si="3"/>
        <v>3.9465794236164713E-3</v>
      </c>
      <c r="K36" s="16"/>
    </row>
    <row r="37" spans="1:13">
      <c r="A37" s="14"/>
      <c r="B37" s="9" t="str">
        <f>+[17]Primarios!A25</f>
        <v>Aráuca</v>
      </c>
      <c r="C37" s="21">
        <f>[17]Primarios!B25/1000000</f>
        <v>0</v>
      </c>
      <c r="D37" s="21">
        <f>[17]Primarios!C25/1000000</f>
        <v>3.2154899999999997E-3</v>
      </c>
      <c r="E37" s="21" t="str">
        <f t="shared" si="0"/>
        <v/>
      </c>
      <c r="F37" s="21">
        <f t="shared" si="1"/>
        <v>2.2074243462482827E-4</v>
      </c>
      <c r="G37" s="21">
        <f>[17]Primarios!D25/1000000</f>
        <v>0</v>
      </c>
      <c r="H37" s="21">
        <f>[17]Primarios!E25/1000000</f>
        <v>0</v>
      </c>
      <c r="I37" s="21" t="str">
        <f t="shared" si="2"/>
        <v/>
      </c>
      <c r="J37" s="21">
        <f t="shared" si="3"/>
        <v>0</v>
      </c>
      <c r="K37" s="16"/>
    </row>
    <row r="38" spans="1:13">
      <c r="A38" s="14"/>
      <c r="B38" s="9" t="str">
        <f>+[17]Primarios!A26</f>
        <v>Putumayo</v>
      </c>
      <c r="C38" s="21">
        <f>[17]Primarios!B26/1000000</f>
        <v>7.5623259999999998E-2</v>
      </c>
      <c r="D38" s="21">
        <f>[17]Primarios!C26/1000000</f>
        <v>0</v>
      </c>
      <c r="E38" s="21" t="str">
        <f t="shared" si="0"/>
        <v/>
      </c>
      <c r="F38" s="21">
        <f t="shared" si="1"/>
        <v>0</v>
      </c>
      <c r="G38" s="21">
        <f>[17]Primarios!D26/1000000</f>
        <v>0</v>
      </c>
      <c r="H38" s="21">
        <f>[17]Primarios!E26/1000000</f>
        <v>0</v>
      </c>
      <c r="I38" s="21" t="str">
        <f t="shared" si="2"/>
        <v/>
      </c>
      <c r="J38" s="21">
        <f t="shared" si="3"/>
        <v>0</v>
      </c>
      <c r="K38" s="16"/>
    </row>
    <row r="39" spans="1:13">
      <c r="A39" s="14"/>
      <c r="B39" s="9" t="str">
        <f>+[17]Primarios!A27</f>
        <v>San Andrés</v>
      </c>
      <c r="C39" s="21">
        <f>[17]Primarios!B27/1000000</f>
        <v>0.62967797999999997</v>
      </c>
      <c r="D39" s="21">
        <f>[17]Primarios!C27/1000000</f>
        <v>0</v>
      </c>
      <c r="E39" s="21" t="str">
        <f t="shared" ref="E39" si="4">IF(OR(OR(D39=0,C39=0),D39=""),"",(D39/C39-1)*100)</f>
        <v/>
      </c>
      <c r="F39" s="21">
        <f t="shared" ref="F39" si="5">(D39/D$13)*100</f>
        <v>0</v>
      </c>
      <c r="G39" s="21">
        <f>[17]Primarios!D27/1000000</f>
        <v>0</v>
      </c>
      <c r="H39" s="21">
        <f>[17]Primarios!E27/1000000</f>
        <v>0</v>
      </c>
      <c r="I39" s="21" t="str">
        <f t="shared" ref="I39" si="6">IF(OR(OR(H39=0,G39=0),H39=""),"",(H39/G39-1)*100)</f>
        <v/>
      </c>
      <c r="J39" s="21">
        <f t="shared" ref="J39" si="7">(H39/H$13)*100</f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tr">
        <f>IF(F40="","",1)</f>
        <v/>
      </c>
    </row>
    <row r="41" spans="1:1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63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SUM(C14:C45)</f>
        <v>17082.538944759919</v>
      </c>
      <c r="D13" s="87">
        <f>SUM(D14:D45)</f>
        <v>17839.421605109976</v>
      </c>
      <c r="E13" s="87">
        <f>IF(OR(OR(D13=0,C13=0),D13=""),"",(D13/C13-1)*100)</f>
        <v>4.4307386788205116</v>
      </c>
      <c r="F13" s="87">
        <f>(D13/D$13)*100</f>
        <v>100</v>
      </c>
      <c r="G13" s="87">
        <f t="shared" ref="G13:H13" si="0">SUM(G14:G45)</f>
        <v>4143.1893459600151</v>
      </c>
      <c r="H13" s="87">
        <f t="shared" si="0"/>
        <v>4739.7548029199988</v>
      </c>
      <c r="I13" s="87">
        <f>IF(OR(OR(H13=0,G13=0),H13=""),"",(H13/G13-1)*100)</f>
        <v>14.398701269631541</v>
      </c>
      <c r="J13" s="87">
        <f>(H13/H$13)*100</f>
        <v>100</v>
      </c>
      <c r="K13" s="16"/>
    </row>
    <row r="14" spans="1:14">
      <c r="A14" s="14"/>
      <c r="B14" s="10" t="str">
        <f>+[17]Manufacrturas!A2</f>
        <v>Bogotá</v>
      </c>
      <c r="C14" s="24">
        <f>[17]Manufacrturas!B2/1000000</f>
        <v>8008.1064143499343</v>
      </c>
      <c r="D14" s="24">
        <f>[17]Manufacrturas!C2/1000000</f>
        <v>9109.3393336199606</v>
      </c>
      <c r="E14" s="24">
        <f>IF(OR(OR(D14=0,C14=0),D14=""),"",(D14/C14-1)*100)</f>
        <v>13.75147709446891</v>
      </c>
      <c r="F14" s="24">
        <f>(D14/D$13)*100</f>
        <v>51.062974659507212</v>
      </c>
      <c r="G14" s="24">
        <f>[17]Manufacrturas!D2/1000000</f>
        <v>1971.7857062100161</v>
      </c>
      <c r="H14" s="24">
        <f>[17]Manufacrturas!E2/1000000</f>
        <v>2446.7643729200036</v>
      </c>
      <c r="I14" s="24">
        <f>IF(OR(OR(H14=0,G14=0),H14=""),"",(H14/G14-1)*100)</f>
        <v>24.088756968572799</v>
      </c>
      <c r="J14" s="24">
        <f>(H14/H$13)*100</f>
        <v>51.622171919370949</v>
      </c>
      <c r="K14" s="16"/>
    </row>
    <row r="15" spans="1:14">
      <c r="A15" s="14"/>
      <c r="B15" s="9" t="str">
        <f>+[17]Manufacrturas!A3</f>
        <v>Antioquia</v>
      </c>
      <c r="C15" s="21">
        <f>[17]Manufacrturas!B3/1000000</f>
        <v>1904.3473218000051</v>
      </c>
      <c r="D15" s="21">
        <f>[17]Manufacrturas!C3/1000000</f>
        <v>2125.6630882100039</v>
      </c>
      <c r="E15" s="21">
        <f t="shared" ref="E15:E41" si="1">IF(OR(OR(D15=0,C15=0),D15=""),"",(D15/C15-1)*100)</f>
        <v>11.621607249711641</v>
      </c>
      <c r="F15" s="21">
        <f t="shared" ref="F15:F41" si="2">(D15/D$13)*100</f>
        <v>11.915538156243377</v>
      </c>
      <c r="G15" s="21">
        <f>[17]Manufacrturas!D3/1000000</f>
        <v>472.2735384599988</v>
      </c>
      <c r="H15" s="21">
        <f>[17]Manufacrturas!E3/1000000</f>
        <v>495.20039976000032</v>
      </c>
      <c r="I15" s="21">
        <f t="shared" ref="I15:I41" si="3">IF(OR(OR(H15=0,G15=0),H15=""),"",(H15/G15-1)*100)</f>
        <v>4.8545724951607472</v>
      </c>
      <c r="J15" s="21">
        <f t="shared" ref="J15:J41" si="4">(H15/H$13)*100</f>
        <v>10.447806275863142</v>
      </c>
      <c r="K15" s="16"/>
    </row>
    <row r="16" spans="1:14">
      <c r="A16" s="14"/>
      <c r="B16" s="9" t="str">
        <f>+[17]Manufacrturas!A4</f>
        <v>Cundinamarca</v>
      </c>
      <c r="C16" s="21">
        <f>[17]Manufacrturas!B4/1000000</f>
        <v>1826.9420075599853</v>
      </c>
      <c r="D16" s="21">
        <f>[17]Manufacrturas!C4/1000000</f>
        <v>1803.523340460009</v>
      </c>
      <c r="E16" s="21">
        <f t="shared" si="1"/>
        <v>-1.2818506007891139</v>
      </c>
      <c r="F16" s="21">
        <f t="shared" si="2"/>
        <v>10.109763535962413</v>
      </c>
      <c r="G16" s="21">
        <f>[17]Manufacrturas!D4/1000000</f>
        <v>510.54506048999895</v>
      </c>
      <c r="H16" s="21">
        <f>[17]Manufacrturas!E4/1000000</f>
        <v>491.71449980999625</v>
      </c>
      <c r="I16" s="21">
        <f t="shared" si="3"/>
        <v>-3.6883249172815269</v>
      </c>
      <c r="J16" s="21">
        <f t="shared" si="4"/>
        <v>10.37426027833904</v>
      </c>
      <c r="K16" s="16"/>
    </row>
    <row r="17" spans="1:11">
      <c r="A17" s="14"/>
      <c r="B17" s="9" t="str">
        <f>+[17]Manufacrturas!A5</f>
        <v>Valle del Cauca</v>
      </c>
      <c r="C17" s="21">
        <f>[17]Manufacrturas!B5/1000000</f>
        <v>1442.7859524499975</v>
      </c>
      <c r="D17" s="21">
        <f>[17]Manufacrturas!C5/1000000</f>
        <v>1302.1277808999973</v>
      </c>
      <c r="E17" s="21">
        <f t="shared" si="1"/>
        <v>-9.7490671648935994</v>
      </c>
      <c r="F17" s="21">
        <f t="shared" si="2"/>
        <v>7.2991591864559782</v>
      </c>
      <c r="G17" s="21">
        <f>[17]Manufacrturas!D5/1000000</f>
        <v>312.78323549999931</v>
      </c>
      <c r="H17" s="21">
        <f>[17]Manufacrturas!E5/1000000</f>
        <v>348.03018001999919</v>
      </c>
      <c r="I17" s="21">
        <f t="shared" si="3"/>
        <v>11.268808721047963</v>
      </c>
      <c r="J17" s="21">
        <f t="shared" si="4"/>
        <v>7.3427886988075812</v>
      </c>
      <c r="K17" s="16"/>
    </row>
    <row r="18" spans="1:11">
      <c r="A18" s="14"/>
      <c r="B18" s="9" t="str">
        <f>+[17]Manufacrturas!A6</f>
        <v>Bolívar</v>
      </c>
      <c r="C18" s="21">
        <f>[17]Manufacrturas!B6/1000000</f>
        <v>1168.2322656200092</v>
      </c>
      <c r="D18" s="21">
        <f>[17]Manufacrturas!C6/1000000</f>
        <v>1139.0570123100015</v>
      </c>
      <c r="E18" s="21">
        <f t="shared" si="1"/>
        <v>-2.4973846527448607</v>
      </c>
      <c r="F18" s="21">
        <f t="shared" si="2"/>
        <v>6.3850557351238706</v>
      </c>
      <c r="G18" s="21">
        <f>[17]Manufacrturas!D6/1000000</f>
        <v>281.49665111000013</v>
      </c>
      <c r="H18" s="21">
        <f>[17]Manufacrturas!E6/1000000</f>
        <v>295.34300434999994</v>
      </c>
      <c r="I18" s="21">
        <f t="shared" si="3"/>
        <v>4.9188340910631512</v>
      </c>
      <c r="J18" s="21">
        <f t="shared" si="4"/>
        <v>6.2311874058980719</v>
      </c>
      <c r="K18" s="16"/>
    </row>
    <row r="19" spans="1:11">
      <c r="A19" s="14"/>
      <c r="B19" s="9" t="str">
        <f>+[17]Manufacrturas!A7</f>
        <v>Atlántico</v>
      </c>
      <c r="C19" s="21">
        <f>[17]Manufacrturas!B7/1000000</f>
        <v>837.66018437998923</v>
      </c>
      <c r="D19" s="21">
        <f>[17]Manufacrturas!C7/1000000</f>
        <v>915.24800557999697</v>
      </c>
      <c r="E19" s="21">
        <f t="shared" si="1"/>
        <v>9.2624458756429782</v>
      </c>
      <c r="F19" s="21">
        <f t="shared" si="2"/>
        <v>5.130480269146342</v>
      </c>
      <c r="G19" s="21">
        <f>[17]Manufacrturas!D7/1000000</f>
        <v>205.30551077999988</v>
      </c>
      <c r="H19" s="21">
        <f>[17]Manufacrturas!E7/1000000</f>
        <v>264.72487183000072</v>
      </c>
      <c r="I19" s="21">
        <f t="shared" si="3"/>
        <v>28.941922125837682</v>
      </c>
      <c r="J19" s="21">
        <f t="shared" si="4"/>
        <v>5.5852018266200796</v>
      </c>
      <c r="K19" s="16"/>
    </row>
    <row r="20" spans="1:11">
      <c r="A20" s="14"/>
      <c r="B20" s="9" t="str">
        <f>+[17]Manufacrturas!A8</f>
        <v>Guajira</v>
      </c>
      <c r="C20" s="21">
        <f>[17]Manufacrturas!B8/1000000</f>
        <v>331.37905178999898</v>
      </c>
      <c r="D20" s="21">
        <f>[17]Manufacrturas!C8/1000000</f>
        <v>367.69754292000135</v>
      </c>
      <c r="E20" s="21">
        <f t="shared" si="1"/>
        <v>10.959802960936127</v>
      </c>
      <c r="F20" s="21">
        <f t="shared" si="2"/>
        <v>2.0611517069290914</v>
      </c>
      <c r="G20" s="21">
        <f>[17]Manufacrturas!D8/1000000</f>
        <v>87.296943129999732</v>
      </c>
      <c r="H20" s="21">
        <f>[17]Manufacrturas!E8/1000000</f>
        <v>118.60760008000008</v>
      </c>
      <c r="I20" s="21">
        <f t="shared" si="3"/>
        <v>35.866842328457651</v>
      </c>
      <c r="J20" s="21">
        <f t="shared" si="4"/>
        <v>2.5023994913603977</v>
      </c>
      <c r="K20" s="16"/>
    </row>
    <row r="21" spans="1:11">
      <c r="A21" s="14"/>
      <c r="B21" s="9" t="str">
        <f>+[17]Manufacrturas!A9</f>
        <v>Santander</v>
      </c>
      <c r="C21" s="21">
        <f>[17]Manufacrturas!B9/1000000</f>
        <v>191.54358383999912</v>
      </c>
      <c r="D21" s="21">
        <f>[17]Manufacrturas!C9/1000000</f>
        <v>160.22103144000002</v>
      </c>
      <c r="E21" s="21">
        <f t="shared" si="1"/>
        <v>-16.352702487890991</v>
      </c>
      <c r="F21" s="21">
        <f t="shared" si="2"/>
        <v>0.89812907047449253</v>
      </c>
      <c r="G21" s="21">
        <f>[17]Manufacrturas!D9/1000000</f>
        <v>50.679400829999985</v>
      </c>
      <c r="H21" s="21">
        <f>[17]Manufacrturas!E9/1000000</f>
        <v>40.20897660999993</v>
      </c>
      <c r="I21" s="21">
        <f t="shared" si="3"/>
        <v>-20.660118408112716</v>
      </c>
      <c r="J21" s="21">
        <f t="shared" si="4"/>
        <v>0.84833452956740651</v>
      </c>
      <c r="K21" s="16"/>
    </row>
    <row r="22" spans="1:11">
      <c r="A22" s="14"/>
      <c r="B22" s="9" t="str">
        <f>+[17]Manufacrturas!A10</f>
        <v>Risaralda</v>
      </c>
      <c r="C22" s="21">
        <f>[17]Manufacrturas!B10/1000000</f>
        <v>140.02098014000023</v>
      </c>
      <c r="D22" s="21">
        <f>[17]Manufacrturas!C10/1000000</f>
        <v>128.97160833000041</v>
      </c>
      <c r="E22" s="21">
        <f t="shared" si="1"/>
        <v>-7.8912258712602101</v>
      </c>
      <c r="F22" s="21">
        <f t="shared" si="2"/>
        <v>0.72295846347987769</v>
      </c>
      <c r="G22" s="21">
        <f>[17]Manufacrturas!D10/1000000</f>
        <v>35.735060100000055</v>
      </c>
      <c r="H22" s="21">
        <f>[17]Manufacrturas!E10/1000000</f>
        <v>34.328276579999951</v>
      </c>
      <c r="I22" s="21">
        <f t="shared" si="3"/>
        <v>-3.9367039430279305</v>
      </c>
      <c r="J22" s="21">
        <f t="shared" si="4"/>
        <v>0.72426270993705177</v>
      </c>
      <c r="K22" s="16"/>
    </row>
    <row r="23" spans="1:11">
      <c r="A23" s="14"/>
      <c r="B23" s="9" t="str">
        <f>+[17]Manufacrturas!A11</f>
        <v>Caldas</v>
      </c>
      <c r="C23" s="21">
        <f>[17]Manufacrturas!B11/1000000</f>
        <v>130.66415112999985</v>
      </c>
      <c r="D23" s="21">
        <f>[17]Manufacrturas!C11/1000000</f>
        <v>121.91652340000019</v>
      </c>
      <c r="E23" s="21">
        <f t="shared" si="1"/>
        <v>-6.6947419428734616</v>
      </c>
      <c r="F23" s="21">
        <f t="shared" si="2"/>
        <v>0.68341074110316491</v>
      </c>
      <c r="G23" s="21">
        <f>[17]Manufacrturas!D11/1000000</f>
        <v>34.689175299999967</v>
      </c>
      <c r="H23" s="21">
        <f>[17]Manufacrturas!E11/1000000</f>
        <v>29.446949039999961</v>
      </c>
      <c r="I23" s="21">
        <f t="shared" si="3"/>
        <v>-15.111994490108305</v>
      </c>
      <c r="J23" s="21">
        <f t="shared" si="4"/>
        <v>0.62127578882052537</v>
      </c>
      <c r="K23" s="16"/>
    </row>
    <row r="24" spans="1:11">
      <c r="A24" s="14"/>
      <c r="B24" s="9" t="str">
        <f>+[17]Manufacrturas!A12</f>
        <v>Meta</v>
      </c>
      <c r="C24" s="21">
        <f>[17]Manufacrturas!B12/1000000</f>
        <v>112.67430921000006</v>
      </c>
      <c r="D24" s="21">
        <f>[17]Manufacrturas!C12/1000000</f>
        <v>121.27950454000005</v>
      </c>
      <c r="E24" s="21">
        <f t="shared" si="1"/>
        <v>7.6372292764287586</v>
      </c>
      <c r="F24" s="21">
        <f t="shared" si="2"/>
        <v>0.67983989181162907</v>
      </c>
      <c r="G24" s="21">
        <f>[17]Manufacrturas!D12/1000000</f>
        <v>23.331330940000001</v>
      </c>
      <c r="H24" s="21">
        <f>[17]Manufacrturas!E12/1000000</f>
        <v>26.164716640000027</v>
      </c>
      <c r="I24" s="21">
        <f t="shared" si="3"/>
        <v>12.144123741960966</v>
      </c>
      <c r="J24" s="21">
        <f t="shared" si="4"/>
        <v>0.55202679733307825</v>
      </c>
      <c r="K24" s="16"/>
    </row>
    <row r="25" spans="1:11">
      <c r="A25" s="14"/>
      <c r="B25" s="9" t="str">
        <f>+[17]Manufacrturas!A13</f>
        <v>Cauca</v>
      </c>
      <c r="C25" s="21">
        <f>[17]Manufacrturas!B13/1000000</f>
        <v>128.99112921999964</v>
      </c>
      <c r="D25" s="21">
        <f>[17]Manufacrturas!C13/1000000</f>
        <v>99.655546569999842</v>
      </c>
      <c r="E25" s="21">
        <f t="shared" si="1"/>
        <v>-22.742325636956593</v>
      </c>
      <c r="F25" s="21">
        <f t="shared" si="2"/>
        <v>0.55862543515118346</v>
      </c>
      <c r="G25" s="21">
        <f>[17]Manufacrturas!D13/1000000</f>
        <v>21.193802829999989</v>
      </c>
      <c r="H25" s="21">
        <f>[17]Manufacrturas!E13/1000000</f>
        <v>24.749601559999984</v>
      </c>
      <c r="I25" s="21">
        <f t="shared" si="3"/>
        <v>16.7775399182573</v>
      </c>
      <c r="J25" s="21">
        <f t="shared" si="4"/>
        <v>0.52217050436348755</v>
      </c>
      <c r="K25" s="16"/>
    </row>
    <row r="26" spans="1:11">
      <c r="A26" s="14"/>
      <c r="B26" s="9" t="str">
        <f>+[17]Manufacrturas!A14</f>
        <v>Cesar</v>
      </c>
      <c r="C26" s="21">
        <f>[17]Manufacrturas!B14/1000000</f>
        <v>107.45046620000049</v>
      </c>
      <c r="D26" s="21">
        <f>[17]Manufacrturas!C14/1000000</f>
        <v>93.969660160000103</v>
      </c>
      <c r="E26" s="21">
        <f t="shared" si="1"/>
        <v>-12.546065658671225</v>
      </c>
      <c r="F26" s="21">
        <f t="shared" si="2"/>
        <v>0.52675284120805332</v>
      </c>
      <c r="G26" s="21">
        <f>[17]Manufacrturas!D14/1000000</f>
        <v>25.70472092999999</v>
      </c>
      <c r="H26" s="21">
        <f>[17]Manufacrturas!E14/1000000</f>
        <v>20.548781149999957</v>
      </c>
      <c r="I26" s="21">
        <f t="shared" si="3"/>
        <v>-20.058337898477376</v>
      </c>
      <c r="J26" s="21">
        <f t="shared" si="4"/>
        <v>0.43354101645385879</v>
      </c>
      <c r="K26" s="16"/>
    </row>
    <row r="27" spans="1:11">
      <c r="A27" s="14"/>
      <c r="B27" s="9" t="str">
        <f>+[17]Manufacrturas!A15</f>
        <v>Norte de Santander</v>
      </c>
      <c r="C27" s="21">
        <f>[17]Manufacrturas!B15/1000000</f>
        <v>57.684561120000012</v>
      </c>
      <c r="D27" s="21">
        <f>[17]Manufacrturas!C15/1000000</f>
        <v>74.317327449999922</v>
      </c>
      <c r="E27" s="21">
        <f t="shared" si="1"/>
        <v>28.833999959537017</v>
      </c>
      <c r="F27" s="21">
        <f t="shared" si="2"/>
        <v>0.41659045396803807</v>
      </c>
      <c r="G27" s="21">
        <f>[17]Manufacrturas!D15/1000000</f>
        <v>16.510824269999997</v>
      </c>
      <c r="H27" s="21">
        <f>[17]Manufacrturas!E15/1000000</f>
        <v>21.654463629999988</v>
      </c>
      <c r="I27" s="21">
        <f t="shared" si="3"/>
        <v>31.153134912506665</v>
      </c>
      <c r="J27" s="21">
        <f t="shared" si="4"/>
        <v>0.45686885778689279</v>
      </c>
      <c r="K27" s="16"/>
    </row>
    <row r="28" spans="1:11">
      <c r="A28" s="14"/>
      <c r="B28" s="9" t="str">
        <f>+[17]Manufacrturas!A16</f>
        <v>Magdalena</v>
      </c>
      <c r="C28" s="21">
        <f>[17]Manufacrturas!B16/1000000</f>
        <v>398.10525442999915</v>
      </c>
      <c r="D28" s="21">
        <f>[17]Manufacrturas!C16/1000000</f>
        <v>69.541865109999904</v>
      </c>
      <c r="E28" s="21">
        <f t="shared" si="1"/>
        <v>-82.531789184855427</v>
      </c>
      <c r="F28" s="21">
        <f t="shared" si="2"/>
        <v>0.38982129941970839</v>
      </c>
      <c r="G28" s="21">
        <f>[17]Manufacrturas!D16/1000000</f>
        <v>16.702198530000018</v>
      </c>
      <c r="H28" s="21">
        <f>[17]Manufacrturas!E16/1000000</f>
        <v>22.802855629999996</v>
      </c>
      <c r="I28" s="21">
        <f t="shared" si="3"/>
        <v>36.526072235593119</v>
      </c>
      <c r="J28" s="21">
        <f t="shared" si="4"/>
        <v>0.48109779045852635</v>
      </c>
      <c r="K28" s="16"/>
    </row>
    <row r="29" spans="1:11">
      <c r="A29" s="14"/>
      <c r="B29" s="9" t="str">
        <f>+[17]Manufacrturas!A17</f>
        <v>Casanare</v>
      </c>
      <c r="C29" s="21">
        <f>[17]Manufacrturas!B17/1000000</f>
        <v>63.598962779999987</v>
      </c>
      <c r="D29" s="21">
        <f>[17]Manufacrturas!C17/1000000</f>
        <v>63.031782769999928</v>
      </c>
      <c r="E29" s="21">
        <f t="shared" si="1"/>
        <v>-0.89180701257980388</v>
      </c>
      <c r="F29" s="21">
        <f t="shared" si="2"/>
        <v>0.35332862334474413</v>
      </c>
      <c r="G29" s="21">
        <f>[17]Manufacrturas!D17/1000000</f>
        <v>24.092028250000023</v>
      </c>
      <c r="H29" s="21">
        <f>[17]Manufacrturas!E17/1000000</f>
        <v>20.952414210000004</v>
      </c>
      <c r="I29" s="21">
        <f t="shared" si="3"/>
        <v>-13.031754767264214</v>
      </c>
      <c r="J29" s="21">
        <f t="shared" si="4"/>
        <v>0.44205692237691169</v>
      </c>
      <c r="K29" s="16"/>
    </row>
    <row r="30" spans="1:11">
      <c r="A30" s="14"/>
      <c r="B30" s="9" t="str">
        <f>+[17]Manufacrturas!A18</f>
        <v>Boyacá</v>
      </c>
      <c r="C30" s="21">
        <f>[17]Manufacrturas!B18/1000000</f>
        <v>77.656574549999917</v>
      </c>
      <c r="D30" s="21">
        <f>[17]Manufacrturas!C18/1000000</f>
        <v>49.523159980000052</v>
      </c>
      <c r="E30" s="21">
        <f t="shared" si="1"/>
        <v>-36.227988078312542</v>
      </c>
      <c r="F30" s="21">
        <f t="shared" si="2"/>
        <v>0.27760518853265115</v>
      </c>
      <c r="G30" s="21">
        <f>[17]Manufacrturas!D18/1000000</f>
        <v>22.840826929999999</v>
      </c>
      <c r="H30" s="21">
        <f>[17]Manufacrturas!E18/1000000</f>
        <v>16.335076839999992</v>
      </c>
      <c r="I30" s="21">
        <f t="shared" si="3"/>
        <v>-28.482988422170962</v>
      </c>
      <c r="J30" s="21">
        <f t="shared" si="4"/>
        <v>0.34463970224654905</v>
      </c>
      <c r="K30" s="16"/>
    </row>
    <row r="31" spans="1:11">
      <c r="A31" s="14"/>
      <c r="B31" s="9" t="str">
        <f>+[17]Manufacrturas!A19</f>
        <v>Nariño</v>
      </c>
      <c r="C31" s="21">
        <f>[17]Manufacrturas!B19/1000000</f>
        <v>70.464107139999925</v>
      </c>
      <c r="D31" s="21">
        <f>[17]Manufacrturas!C19/1000000</f>
        <v>36.652293009999944</v>
      </c>
      <c r="E31" s="21">
        <f t="shared" si="1"/>
        <v>-47.984449817581286</v>
      </c>
      <c r="F31" s="21">
        <f t="shared" si="2"/>
        <v>0.20545673408773049</v>
      </c>
      <c r="G31" s="21">
        <f>[17]Manufacrturas!D19/1000000</f>
        <v>8.5232070200000045</v>
      </c>
      <c r="H31" s="21">
        <f>[17]Manufacrturas!E19/1000000</f>
        <v>10.871990550000005</v>
      </c>
      <c r="I31" s="21">
        <f t="shared" si="3"/>
        <v>27.557508863606127</v>
      </c>
      <c r="J31" s="21">
        <f t="shared" si="4"/>
        <v>0.22937875485251152</v>
      </c>
      <c r="K31" s="16"/>
    </row>
    <row r="32" spans="1:11">
      <c r="A32" s="14"/>
      <c r="B32" s="9" t="str">
        <f>+[17]Manufacrturas!A20</f>
        <v>Quindío</v>
      </c>
      <c r="C32" s="21">
        <f>[17]Manufacrturas!B20/1000000</f>
        <v>20.998365849999999</v>
      </c>
      <c r="D32" s="21">
        <f>[17]Manufacrturas!C20/1000000</f>
        <v>15.896220199999973</v>
      </c>
      <c r="E32" s="21">
        <f t="shared" si="1"/>
        <v>-24.2978224422165</v>
      </c>
      <c r="F32" s="21">
        <f t="shared" si="2"/>
        <v>8.9107262286164113E-2</v>
      </c>
      <c r="G32" s="21">
        <f>[17]Manufacrturas!D20/1000000</f>
        <v>3.6694656899999996</v>
      </c>
      <c r="H32" s="21">
        <f>[17]Manufacrturas!E20/1000000</f>
        <v>2.7226481200000019</v>
      </c>
      <c r="I32" s="21">
        <f t="shared" si="3"/>
        <v>-25.802600432544111</v>
      </c>
      <c r="J32" s="21">
        <f t="shared" si="4"/>
        <v>5.74428052337786E-2</v>
      </c>
      <c r="K32" s="16"/>
    </row>
    <row r="33" spans="1:13">
      <c r="A33" s="14"/>
      <c r="B33" s="9" t="str">
        <f>+[17]Manufacrturas!A21</f>
        <v>Huila</v>
      </c>
      <c r="C33" s="21">
        <f>[17]Manufacrturas!B21/1000000</f>
        <v>14.331054990000007</v>
      </c>
      <c r="D33" s="21">
        <f>[17]Manufacrturas!C21/1000000</f>
        <v>12.848372760000007</v>
      </c>
      <c r="E33" s="21">
        <f t="shared" si="1"/>
        <v>-10.345939158244754</v>
      </c>
      <c r="F33" s="21">
        <f t="shared" si="2"/>
        <v>7.2022361735762111E-2</v>
      </c>
      <c r="G33" s="21">
        <f>[17]Manufacrturas!D21/1000000</f>
        <v>3.6695349899999985</v>
      </c>
      <c r="H33" s="21">
        <f>[17]Manufacrturas!E21/1000000</f>
        <v>2.2012318199999998</v>
      </c>
      <c r="I33" s="21">
        <f t="shared" si="3"/>
        <v>-40.013330680899138</v>
      </c>
      <c r="J33" s="21">
        <f t="shared" si="4"/>
        <v>4.6441892281936126E-2</v>
      </c>
      <c r="K33" s="16"/>
    </row>
    <row r="34" spans="1:13">
      <c r="A34" s="14"/>
      <c r="B34" s="9" t="str">
        <f>+[17]Manufacrturas!A22</f>
        <v>Córdoba</v>
      </c>
      <c r="C34" s="21">
        <f>[17]Manufacrturas!B22/1000000</f>
        <v>19.22000655999997</v>
      </c>
      <c r="D34" s="21">
        <f>[17]Manufacrturas!C22/1000000</f>
        <v>11.09217642999999</v>
      </c>
      <c r="E34" s="21">
        <f t="shared" si="1"/>
        <v>-42.288383745483969</v>
      </c>
      <c r="F34" s="21">
        <f t="shared" si="2"/>
        <v>6.2177892734048695E-2</v>
      </c>
      <c r="G34" s="21">
        <f>[17]Manufacrturas!D22/1000000</f>
        <v>2.6940718299999982</v>
      </c>
      <c r="H34" s="21">
        <f>[17]Manufacrturas!E22/1000000</f>
        <v>1.0916546299999998</v>
      </c>
      <c r="I34" s="21">
        <f t="shared" si="3"/>
        <v>-59.479379211652251</v>
      </c>
      <c r="J34" s="21">
        <f t="shared" si="4"/>
        <v>2.3031879820607368E-2</v>
      </c>
      <c r="K34" s="16"/>
    </row>
    <row r="35" spans="1:13">
      <c r="A35" s="14"/>
      <c r="B35" s="9" t="str">
        <f>+[17]Manufacrturas!A23</f>
        <v>Tolima</v>
      </c>
      <c r="C35" s="21">
        <f>[17]Manufacrturas!B23/1000000</f>
        <v>21.838375429999999</v>
      </c>
      <c r="D35" s="21">
        <f>[17]Manufacrturas!C23/1000000</f>
        <v>7.8688839999999987</v>
      </c>
      <c r="E35" s="21">
        <f t="shared" si="1"/>
        <v>-63.967631084909883</v>
      </c>
      <c r="F35" s="21">
        <f t="shared" si="2"/>
        <v>4.4109524255797693E-2</v>
      </c>
      <c r="G35" s="21">
        <f>[17]Manufacrturas!D23/1000000</f>
        <v>9.5637777599999971</v>
      </c>
      <c r="H35" s="21">
        <f>[17]Manufacrturas!E23/1000000</f>
        <v>2.3301057399999991</v>
      </c>
      <c r="I35" s="21">
        <f t="shared" si="3"/>
        <v>-75.63613669751355</v>
      </c>
      <c r="J35" s="21">
        <f t="shared" si="4"/>
        <v>4.9160892005732065E-2</v>
      </c>
      <c r="K35" s="16"/>
    </row>
    <row r="36" spans="1:13">
      <c r="A36" s="14"/>
      <c r="B36" s="9" t="str">
        <f>+[17]Manufacrturas!A24</f>
        <v>Aráuca</v>
      </c>
      <c r="C36" s="21">
        <f>[17]Manufacrturas!B24/1000000</f>
        <v>2.1568570400000007</v>
      </c>
      <c r="D36" s="21">
        <f>[17]Manufacrturas!C24/1000000</f>
        <v>3.4881762800000011</v>
      </c>
      <c r="E36" s="21">
        <f t="shared" si="1"/>
        <v>61.724964395414908</v>
      </c>
      <c r="F36" s="21">
        <f t="shared" si="2"/>
        <v>1.955319156200018E-2</v>
      </c>
      <c r="G36" s="21">
        <f>[17]Manufacrturas!D24/1000000</f>
        <v>1.2166173300000001</v>
      </c>
      <c r="H36" s="21">
        <f>[17]Manufacrturas!E24/1000000</f>
        <v>1.2749633399999998</v>
      </c>
      <c r="I36" s="21">
        <f t="shared" si="3"/>
        <v>4.7957569369819542</v>
      </c>
      <c r="J36" s="21">
        <f t="shared" si="4"/>
        <v>2.6899352245279416E-2</v>
      </c>
      <c r="K36" s="16"/>
    </row>
    <row r="37" spans="1:13">
      <c r="A37" s="14"/>
      <c r="B37" s="9" t="str">
        <f>+[17]Manufacrturas!A25</f>
        <v>Sucre</v>
      </c>
      <c r="C37" s="21">
        <f>[17]Manufacrturas!B25/1000000</f>
        <v>1.8855489999999997</v>
      </c>
      <c r="D37" s="21">
        <f>[17]Manufacrturas!C25/1000000</f>
        <v>2.5617376600000008</v>
      </c>
      <c r="E37" s="21">
        <f t="shared" si="1"/>
        <v>35.861632871911638</v>
      </c>
      <c r="F37" s="21">
        <f t="shared" si="2"/>
        <v>1.4359981599774564E-2</v>
      </c>
      <c r="G37" s="21">
        <f>[17]Manufacrturas!D25/1000000</f>
        <v>0.31254441999999999</v>
      </c>
      <c r="H37" s="21">
        <f>[17]Manufacrturas!E25/1000000</f>
        <v>0.45566063000000018</v>
      </c>
      <c r="I37" s="21">
        <f t="shared" si="3"/>
        <v>45.790678329819556</v>
      </c>
      <c r="J37" s="21">
        <f t="shared" si="4"/>
        <v>9.613590764637938E-3</v>
      </c>
      <c r="K37" s="16"/>
    </row>
    <row r="38" spans="1:13">
      <c r="A38" s="14"/>
      <c r="B38" s="9" t="str">
        <f>+[17]Manufacrturas!A26</f>
        <v>San Andrés</v>
      </c>
      <c r="C38" s="21">
        <f>[17]Manufacrturas!B26/1000000</f>
        <v>0.21659840000000002</v>
      </c>
      <c r="D38" s="21">
        <f>[17]Manufacrturas!C26/1000000</f>
        <v>1.1606151300000001</v>
      </c>
      <c r="E38" s="21">
        <f t="shared" si="1"/>
        <v>435.8373515224489</v>
      </c>
      <c r="F38" s="21">
        <f t="shared" si="2"/>
        <v>6.5059011199530715E-3</v>
      </c>
      <c r="G38" s="21">
        <f>[17]Manufacrturas!D26/1000000</f>
        <v>6.3492790000000007E-2</v>
      </c>
      <c r="H38" s="21">
        <f>[17]Manufacrturas!E26/1000000</f>
        <v>0.32331031999999998</v>
      </c>
      <c r="I38" s="21">
        <f t="shared" si="3"/>
        <v>409.20792738829073</v>
      </c>
      <c r="J38" s="21">
        <f t="shared" si="4"/>
        <v>6.8212456855536001E-3</v>
      </c>
      <c r="K38" s="16"/>
    </row>
    <row r="39" spans="1:13">
      <c r="A39" s="14"/>
      <c r="B39" s="9" t="str">
        <f>+[17]Manufacrturas!A27</f>
        <v>Chocó</v>
      </c>
      <c r="C39" s="21">
        <f>[17]Manufacrturas!B27/1000000</f>
        <v>8.3496430000000024E-2</v>
      </c>
      <c r="D39" s="21">
        <f>[17]Manufacrturas!C27/1000000</f>
        <v>0.90424217000000018</v>
      </c>
      <c r="E39" s="21">
        <f t="shared" si="1"/>
        <v>982.9710563673201</v>
      </c>
      <c r="F39" s="21">
        <f t="shared" si="2"/>
        <v>5.0687863654782757E-3</v>
      </c>
      <c r="G39" s="21">
        <f>[17]Manufacrturas!D27/1000000</f>
        <v>0</v>
      </c>
      <c r="H39" s="21">
        <f>[17]Manufacrturas!E27/1000000</f>
        <v>2.4803169999999999E-2</v>
      </c>
      <c r="I39" s="21" t="str">
        <f t="shared" si="3"/>
        <v/>
      </c>
      <c r="J39" s="21">
        <f t="shared" si="4"/>
        <v>5.2330069869267553E-4</v>
      </c>
      <c r="K39" s="16"/>
    </row>
    <row r="40" spans="1:13">
      <c r="A40" s="14"/>
      <c r="B40" s="9" t="str">
        <f>+[17]Manufacrturas!A28</f>
        <v>Putumayo</v>
      </c>
      <c r="C40" s="21">
        <f>[17]Manufacrturas!B28/1000000</f>
        <v>2.3646892399999997</v>
      </c>
      <c r="D40" s="21">
        <f>[17]Manufacrturas!C28/1000000</f>
        <v>0.6027864300000001</v>
      </c>
      <c r="E40" s="21">
        <f t="shared" si="1"/>
        <v>-74.508852165284935</v>
      </c>
      <c r="F40" s="21">
        <f t="shared" si="2"/>
        <v>3.3789572517717512E-3</v>
      </c>
      <c r="G40" s="21">
        <f>[17]Manufacrturas!D28/1000000</f>
        <v>0.12366019</v>
      </c>
      <c r="H40" s="21">
        <f>[17]Manufacrturas!E28/1000000</f>
        <v>0.16330213000000002</v>
      </c>
      <c r="I40" s="21">
        <f t="shared" si="3"/>
        <v>32.057155985285178</v>
      </c>
      <c r="J40" s="21">
        <f t="shared" si="4"/>
        <v>3.4453708427996154E-3</v>
      </c>
      <c r="K40" s="16"/>
    </row>
    <row r="41" spans="1:13">
      <c r="A41" s="14"/>
      <c r="B41" s="9" t="str">
        <f>+[17]Manufacrturas!A29</f>
        <v>Amazonas</v>
      </c>
      <c r="C41" s="21">
        <f>[17]Manufacrturas!B29/1000000</f>
        <v>0.48746443</v>
      </c>
      <c r="D41" s="21">
        <f>[17]Manufacrturas!C29/1000000</f>
        <v>0.35575528000000001</v>
      </c>
      <c r="E41" s="21">
        <f t="shared" si="1"/>
        <v>-27.019232972547346</v>
      </c>
      <c r="F41" s="21">
        <f t="shared" si="2"/>
        <v>1.9942086009004712E-3</v>
      </c>
      <c r="G41" s="21">
        <f>[17]Manufacrturas!D29/1000000</f>
        <v>0.22865857999999994</v>
      </c>
      <c r="H41" s="21">
        <f>[17]Manufacrturas!E29/1000000</f>
        <v>3.489242E-2</v>
      </c>
      <c r="I41" s="21">
        <f t="shared" si="3"/>
        <v>-84.740384550625649</v>
      </c>
      <c r="J41" s="21">
        <f t="shared" si="4"/>
        <v>7.3616508555472086E-4</v>
      </c>
      <c r="K41" s="16"/>
    </row>
    <row r="42" spans="1:13">
      <c r="A42" s="14"/>
      <c r="B42" s="9" t="str">
        <f>+[17]Manufacrturas!A30</f>
        <v>Guaviare</v>
      </c>
      <c r="C42" s="21">
        <f>[17]Manufacrturas!B30/1000000</f>
        <v>0</v>
      </c>
      <c r="D42" s="21">
        <f>[17]Manufacrturas!C30/1000000</f>
        <v>0.33533106000000001</v>
      </c>
      <c r="E42" s="21" t="str">
        <f t="shared" ref="E42:E43" si="5">IF(OR(OR(D42=0,C42=0),D42=""),"",(D42/C42-1)*100)</f>
        <v/>
      </c>
      <c r="F42" s="21">
        <f t="shared" ref="F42:F43" si="6">(D42/D$13)*100</f>
        <v>1.8797193509006301E-3</v>
      </c>
      <c r="G42" s="21">
        <f>[17]Manufacrturas!D30/1000000</f>
        <v>0</v>
      </c>
      <c r="H42" s="21">
        <f>[17]Manufacrturas!E30/1000000</f>
        <v>0.33533106000000001</v>
      </c>
      <c r="I42" s="21" t="str">
        <f t="shared" ref="I42:I43" si="7">IF(OR(OR(H42=0,G42=0),H42=""),"",(H42/G42-1)*100)</f>
        <v/>
      </c>
      <c r="J42" s="21">
        <f t="shared" ref="J42:J43" si="8">(H42/H$13)*100</f>
        <v>7.074860914607105E-3</v>
      </c>
      <c r="K42" s="16"/>
    </row>
    <row r="43" spans="1:13">
      <c r="A43" s="14"/>
      <c r="B43" s="9" t="str">
        <f>+[17]Manufacrturas!A31</f>
        <v>Vaupés</v>
      </c>
      <c r="C43" s="21">
        <f>[17]Manufacrturas!B31/1000000</f>
        <v>0.39643456000000005</v>
      </c>
      <c r="D43" s="21">
        <f>[17]Manufacrturas!C31/1000000</f>
        <v>0.29900378000000005</v>
      </c>
      <c r="E43" s="21">
        <f t="shared" si="5"/>
        <v>-24.576762429592414</v>
      </c>
      <c r="F43" s="21">
        <f t="shared" si="6"/>
        <v>1.6760844976854662E-3</v>
      </c>
      <c r="G43" s="21">
        <f>[17]Manufacrturas!D31/1000000</f>
        <v>5.2567719999999998E-2</v>
      </c>
      <c r="H43" s="21">
        <f>[17]Manufacrturas!E31/1000000</f>
        <v>0.29900378000000005</v>
      </c>
      <c r="I43" s="21">
        <f t="shared" si="7"/>
        <v>468.79731515842815</v>
      </c>
      <c r="J43" s="21">
        <f t="shared" si="8"/>
        <v>6.3084229550396612E-3</v>
      </c>
      <c r="K43" s="16"/>
    </row>
    <row r="44" spans="1:13">
      <c r="A44" s="14"/>
      <c r="B44" s="9" t="str">
        <f>+[17]Manufacrturas!A32</f>
        <v>Vichada</v>
      </c>
      <c r="C44" s="21">
        <f>[17]Manufacrturas!B32/1000000</f>
        <v>6.4635330000000005E-2</v>
      </c>
      <c r="D44" s="21">
        <f>[17]Manufacrturas!C32/1000000</f>
        <v>0.21073066999999995</v>
      </c>
      <c r="E44" s="21">
        <f t="shared" ref="E44" si="9">IF(OR(OR(D44=0,C44=0),D44=""),"",(D44/C44-1)*100)</f>
        <v>226.03016028540418</v>
      </c>
      <c r="F44" s="21">
        <f t="shared" ref="F44" si="10">(D44/D$13)*100</f>
        <v>1.181264026741975E-3</v>
      </c>
      <c r="G44" s="21">
        <f>[17]Manufacrturas!D32/1000000</f>
        <v>2.7722100000000002E-3</v>
      </c>
      <c r="H44" s="21">
        <f>[17]Manufacrturas!E32/1000000</f>
        <v>3.4614279999999997E-2</v>
      </c>
      <c r="I44" s="21">
        <f t="shared" ref="I44" si="11">IF(OR(OR(H44=0,G44=0),H44=""),"",(H44/G44-1)*100)</f>
        <v>1148.6168075290109</v>
      </c>
      <c r="J44" s="21">
        <f t="shared" ref="J44" si="12">(H44/H$13)*100</f>
        <v>7.3029684950528108E-4</v>
      </c>
      <c r="K44" s="16"/>
    </row>
    <row r="45" spans="1:13">
      <c r="A45" s="14"/>
      <c r="B45" s="9" t="str">
        <f>+[17]Manufacrturas!A33</f>
        <v>Caquetá</v>
      </c>
      <c r="C45" s="21">
        <f>[17]Manufacrturas!B33/1000000</f>
        <v>0.18813979</v>
      </c>
      <c r="D45" s="21">
        <f>[17]Manufacrturas!C33/1000000</f>
        <v>6.1166500000000013E-2</v>
      </c>
      <c r="E45" s="21">
        <f t="shared" ref="E45" si="13">IF(OR(OR(D45=0,C45=0),D45=""),"",(D45/C45-1)*100)</f>
        <v>-67.488801810611136</v>
      </c>
      <c r="F45" s="21">
        <f t="shared" ref="F45" si="14">(D45/D$13)*100</f>
        <v>3.4287266344150587E-4</v>
      </c>
      <c r="G45" s="21">
        <f>[17]Manufacrturas!D33/1000000</f>
        <v>0.10296084</v>
      </c>
      <c r="H45" s="21">
        <f>[17]Manufacrturas!E33/1000000</f>
        <v>1.4250270000000001E-2</v>
      </c>
      <c r="I45" s="21">
        <f t="shared" ref="I45" si="15">IF(OR(OR(H45=0,G45=0),H45=""),"",(H45/G45-1)*100)</f>
        <v>-86.159524339545015</v>
      </c>
      <c r="J45" s="21">
        <f t="shared" ref="J45" si="16">(H45/H$13)*100</f>
        <v>3.0065416023674691E-4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65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SUM(C14:C43)</f>
        <v>4393.3153978300206</v>
      </c>
      <c r="D13" s="87">
        <f>SUM(D14:D43)</f>
        <v>4586.7557013000051</v>
      </c>
      <c r="E13" s="87">
        <f>IF(OR(OR(D13=0,C13=0),D13=""),"",(D13/C13-1)*100)</f>
        <v>4.4030597840876595</v>
      </c>
      <c r="F13" s="87">
        <f>(D13/D$13)*100</f>
        <v>100</v>
      </c>
      <c r="G13" s="87">
        <f>SUM(G14:G43)</f>
        <v>978.29975394000178</v>
      </c>
      <c r="H13" s="87">
        <f>SUM(H14:H43)</f>
        <v>1164.6376509699996</v>
      </c>
      <c r="I13" s="87">
        <f>IF(OR(OR(H13=0,G13=0),H13=""),"",(H13/G13-1)*100)</f>
        <v>19.047116824832177</v>
      </c>
      <c r="J13" s="87">
        <f>(H13/H$13)*100</f>
        <v>100</v>
      </c>
      <c r="K13" s="16"/>
    </row>
    <row r="14" spans="1:14">
      <c r="A14" s="14"/>
      <c r="B14" s="10" t="str">
        <f>+[17]Rec_naturales!A2</f>
        <v>Bogotá</v>
      </c>
      <c r="C14" s="24">
        <f>[17]Rec_naturales!B2/1000000</f>
        <v>1628.7036878800179</v>
      </c>
      <c r="D14" s="24">
        <f>[17]Rec_naturales!C2/1000000</f>
        <v>2019.4275319500075</v>
      </c>
      <c r="E14" s="24">
        <f>IF(OR(OR(D14=0,C14=0),D14=""),"",(D14/C14-1)*100)</f>
        <v>23.989866725148179</v>
      </c>
      <c r="F14" s="24">
        <f>(D14/D$13)*100</f>
        <v>44.027361897160766</v>
      </c>
      <c r="G14" s="24">
        <f>[17]Rec_naturales!D2/1000000</f>
        <v>364.49232510000155</v>
      </c>
      <c r="H14" s="24">
        <f>[17]Rec_naturales!E2/1000000</f>
        <v>477.62160175999958</v>
      </c>
      <c r="I14" s="24">
        <f>IF(OR(OR(H14=0,G14=0),H14=""),"",(H14/G14-1)*100)</f>
        <v>31.037492114260591</v>
      </c>
      <c r="J14" s="24">
        <f>(H14/H$13)*100</f>
        <v>41.010317789588861</v>
      </c>
      <c r="K14" s="16"/>
    </row>
    <row r="15" spans="1:14">
      <c r="A15" s="14"/>
      <c r="B15" s="9" t="str">
        <f>+[17]Rec_naturales!A3</f>
        <v>Bolívar</v>
      </c>
      <c r="C15" s="21">
        <f>[17]Rec_naturales!B3/1000000</f>
        <v>759.35629100000006</v>
      </c>
      <c r="D15" s="21">
        <f>[17]Rec_naturales!C3/1000000</f>
        <v>753.5216463099988</v>
      </c>
      <c r="E15" s="21">
        <f t="shared" ref="E15:E41" si="0">IF(OR(OR(D15=0,C15=0),D15=""),"",(D15/C15-1)*100)</f>
        <v>-0.76836720247850376</v>
      </c>
      <c r="F15" s="21">
        <f t="shared" ref="F15:F41" si="1">(D15/D$13)*100</f>
        <v>16.428205367389225</v>
      </c>
      <c r="G15" s="21">
        <f>[17]Rec_naturales!D3/1000000</f>
        <v>194.97161423</v>
      </c>
      <c r="H15" s="21">
        <f>[17]Rec_naturales!E3/1000000</f>
        <v>191.48616185999995</v>
      </c>
      <c r="I15" s="21">
        <f t="shared" ref="I15:I41" si="2">IF(OR(OR(H15=0,G15=0),H15=""),"",(H15/G15-1)*100)</f>
        <v>-1.7876716996805486</v>
      </c>
      <c r="J15" s="21">
        <f t="shared" ref="J15:J41" si="3">(H15/H$13)*100</f>
        <v>16.441694264350424</v>
      </c>
      <c r="K15" s="16"/>
    </row>
    <row r="16" spans="1:14">
      <c r="A16" s="14"/>
      <c r="B16" s="9" t="str">
        <f>+[17]Rec_naturales!A4</f>
        <v>Valle del Cauca</v>
      </c>
      <c r="C16" s="21">
        <f>[17]Rec_naturales!B4/1000000</f>
        <v>511.81423481000036</v>
      </c>
      <c r="D16" s="21">
        <f>[17]Rec_naturales!C4/1000000</f>
        <v>466.86641166999851</v>
      </c>
      <c r="E16" s="21">
        <f t="shared" si="0"/>
        <v>-8.7820580364842193</v>
      </c>
      <c r="F16" s="21">
        <f t="shared" si="1"/>
        <v>10.178575927592492</v>
      </c>
      <c r="G16" s="21">
        <f>[17]Rec_naturales!D4/1000000</f>
        <v>113.24006498999999</v>
      </c>
      <c r="H16" s="21">
        <f>[17]Rec_naturales!E4/1000000</f>
        <v>126.38310051999986</v>
      </c>
      <c r="I16" s="21">
        <f t="shared" si="2"/>
        <v>11.606347568910792</v>
      </c>
      <c r="J16" s="21">
        <f t="shared" si="3"/>
        <v>10.851710007377687</v>
      </c>
      <c r="K16" s="16"/>
    </row>
    <row r="17" spans="1:11">
      <c r="A17" s="14"/>
      <c r="B17" s="9" t="str">
        <f>+[17]Rec_naturales!A5</f>
        <v>Antioquia</v>
      </c>
      <c r="C17" s="21">
        <f>[17]Rec_naturales!B5/1000000</f>
        <v>328.1264585400005</v>
      </c>
      <c r="D17" s="21">
        <f>[17]Rec_naturales!C5/1000000</f>
        <v>347.88414572999801</v>
      </c>
      <c r="E17" s="21">
        <f t="shared" si="0"/>
        <v>6.0213636163049422</v>
      </c>
      <c r="F17" s="21">
        <f t="shared" si="1"/>
        <v>7.5845361816719095</v>
      </c>
      <c r="G17" s="21">
        <f>[17]Rec_naturales!D5/1000000</f>
        <v>81.643124340000043</v>
      </c>
      <c r="H17" s="21">
        <f>[17]Rec_naturales!E5/1000000</f>
        <v>96.900628340000097</v>
      </c>
      <c r="I17" s="21">
        <f t="shared" si="2"/>
        <v>18.688045225291351</v>
      </c>
      <c r="J17" s="21">
        <f t="shared" si="3"/>
        <v>8.3202383384474832</v>
      </c>
      <c r="K17" s="16"/>
    </row>
    <row r="18" spans="1:11">
      <c r="A18" s="14"/>
      <c r="B18" s="9" t="str">
        <f>+[17]Rec_naturales!A6</f>
        <v>Atlántico</v>
      </c>
      <c r="C18" s="21">
        <f>[17]Rec_naturales!B6/1000000</f>
        <v>237.4874283500005</v>
      </c>
      <c r="D18" s="21">
        <f>[17]Rec_naturales!C6/1000000</f>
        <v>281.4454443900006</v>
      </c>
      <c r="E18" s="21">
        <f t="shared" si="0"/>
        <v>18.509618107117799</v>
      </c>
      <c r="F18" s="21">
        <f t="shared" si="1"/>
        <v>6.1360461013921386</v>
      </c>
      <c r="G18" s="21">
        <f>[17]Rec_naturales!D6/1000000</f>
        <v>56.077762850000063</v>
      </c>
      <c r="H18" s="21">
        <f>[17]Rec_naturales!E6/1000000</f>
        <v>78.166522820000026</v>
      </c>
      <c r="I18" s="21">
        <f t="shared" si="2"/>
        <v>39.389517069509729</v>
      </c>
      <c r="J18" s="21">
        <f t="shared" si="3"/>
        <v>6.7116602966508037</v>
      </c>
      <c r="K18" s="16"/>
    </row>
    <row r="19" spans="1:11">
      <c r="A19" s="14"/>
      <c r="B19" s="9" t="str">
        <f>+[17]Rec_naturales!A7</f>
        <v>Cundinamarca</v>
      </c>
      <c r="C19" s="21">
        <f>[17]Rec_naturales!B7/1000000</f>
        <v>198.12309397000055</v>
      </c>
      <c r="D19" s="21">
        <f>[17]Rec_naturales!C7/1000000</f>
        <v>230.30967240999999</v>
      </c>
      <c r="E19" s="21">
        <f t="shared" si="0"/>
        <v>16.245747931269982</v>
      </c>
      <c r="F19" s="21">
        <f t="shared" si="1"/>
        <v>5.0211889930114282</v>
      </c>
      <c r="G19" s="21">
        <f>[17]Rec_naturales!D7/1000000</f>
        <v>52.418322839999995</v>
      </c>
      <c r="H19" s="21">
        <f>[17]Rec_naturales!E7/1000000</f>
        <v>66.450942689999906</v>
      </c>
      <c r="I19" s="21">
        <f t="shared" si="2"/>
        <v>26.770447984062052</v>
      </c>
      <c r="J19" s="21">
        <f t="shared" si="3"/>
        <v>5.7057182235740411</v>
      </c>
      <c r="K19" s="16"/>
    </row>
    <row r="20" spans="1:11">
      <c r="A20" s="14"/>
      <c r="B20" s="9" t="str">
        <f>+[17]Rec_naturales!A8</f>
        <v>Guajira</v>
      </c>
      <c r="C20" s="21">
        <f>[17]Rec_naturales!B8/1000000</f>
        <v>157.75276822000029</v>
      </c>
      <c r="D20" s="21">
        <f>[17]Rec_naturales!C8/1000000</f>
        <v>140.10267256999992</v>
      </c>
      <c r="E20" s="21">
        <f t="shared" si="0"/>
        <v>-11.188453837707456</v>
      </c>
      <c r="F20" s="21">
        <f t="shared" si="1"/>
        <v>3.0545047893065509</v>
      </c>
      <c r="G20" s="21">
        <f>[17]Rec_naturales!D8/1000000</f>
        <v>35.145574429999947</v>
      </c>
      <c r="H20" s="21">
        <f>[17]Rec_naturales!E8/1000000</f>
        <v>39.893163220000019</v>
      </c>
      <c r="I20" s="21">
        <f t="shared" si="2"/>
        <v>13.508354514039688</v>
      </c>
      <c r="J20" s="21">
        <f t="shared" si="3"/>
        <v>3.4253712463077193</v>
      </c>
      <c r="K20" s="16"/>
    </row>
    <row r="21" spans="1:11">
      <c r="A21" s="14"/>
      <c r="B21" s="9" t="str">
        <f>+[17]Rec_naturales!A9</f>
        <v>Meta</v>
      </c>
      <c r="C21" s="21">
        <f>[17]Rec_naturales!B9/1000000</f>
        <v>94.028319970000013</v>
      </c>
      <c r="D21" s="21">
        <f>[17]Rec_naturales!C9/1000000</f>
        <v>106.78020981</v>
      </c>
      <c r="E21" s="21">
        <f t="shared" si="0"/>
        <v>13.561754420443229</v>
      </c>
      <c r="F21" s="21">
        <f t="shared" si="1"/>
        <v>2.3280117094471748</v>
      </c>
      <c r="G21" s="21">
        <f>[17]Rec_naturales!D9/1000000</f>
        <v>18.203397650000003</v>
      </c>
      <c r="H21" s="21">
        <f>[17]Rec_naturales!E9/1000000</f>
        <v>21.582322810000001</v>
      </c>
      <c r="I21" s="21">
        <f t="shared" si="2"/>
        <v>18.562057616754846</v>
      </c>
      <c r="J21" s="21">
        <f t="shared" si="3"/>
        <v>1.8531362773670064</v>
      </c>
      <c r="K21" s="16"/>
    </row>
    <row r="22" spans="1:11">
      <c r="A22" s="14"/>
      <c r="B22" s="9" t="str">
        <f>+[17]Rec_naturales!A10</f>
        <v>Santander</v>
      </c>
      <c r="C22" s="21">
        <f>[17]Rec_naturales!B10/1000000</f>
        <v>36.624488810000024</v>
      </c>
      <c r="D22" s="21">
        <f>[17]Rec_naturales!C10/1000000</f>
        <v>44.68871302999996</v>
      </c>
      <c r="E22" s="21">
        <f t="shared" si="0"/>
        <v>22.01866696852861</v>
      </c>
      <c r="F22" s="21">
        <f t="shared" si="1"/>
        <v>0.97429895857182935</v>
      </c>
      <c r="G22" s="21">
        <f>[17]Rec_naturales!D10/1000000</f>
        <v>7.7452628599999995</v>
      </c>
      <c r="H22" s="21">
        <f>[17]Rec_naturales!E10/1000000</f>
        <v>11.643465489999997</v>
      </c>
      <c r="I22" s="21">
        <f t="shared" si="2"/>
        <v>50.330152771600027</v>
      </c>
      <c r="J22" s="21">
        <f t="shared" si="3"/>
        <v>0.99975004932241585</v>
      </c>
      <c r="K22" s="16"/>
    </row>
    <row r="23" spans="1:11">
      <c r="A23" s="14"/>
      <c r="B23" s="9" t="str">
        <f>+[17]Rec_naturales!A11</f>
        <v>Risaralda</v>
      </c>
      <c r="C23" s="21">
        <f>[17]Rec_naturales!B11/1000000</f>
        <v>30.419465099999957</v>
      </c>
      <c r="D23" s="21">
        <f>[17]Rec_naturales!C11/1000000</f>
        <v>37.823209439999943</v>
      </c>
      <c r="E23" s="21">
        <f t="shared" si="0"/>
        <v>24.338838029074992</v>
      </c>
      <c r="F23" s="21">
        <f t="shared" si="1"/>
        <v>0.82461791957395658</v>
      </c>
      <c r="G23" s="21">
        <f>[17]Rec_naturales!D11/1000000</f>
        <v>7.2048671700000018</v>
      </c>
      <c r="H23" s="21">
        <f>[17]Rec_naturales!E11/1000000</f>
        <v>10.211044070000007</v>
      </c>
      <c r="I23" s="21">
        <f t="shared" si="2"/>
        <v>41.724251524265156</v>
      </c>
      <c r="J23" s="21">
        <f t="shared" si="3"/>
        <v>0.87675716661705594</v>
      </c>
      <c r="K23" s="16"/>
    </row>
    <row r="24" spans="1:11">
      <c r="A24" s="14"/>
      <c r="B24" s="9" t="str">
        <f>+[17]Rec_naturales!A12</f>
        <v>Magdalena</v>
      </c>
      <c r="C24" s="21">
        <f>[17]Rec_naturales!B12/1000000</f>
        <v>265.60065587999975</v>
      </c>
      <c r="D24" s="21">
        <f>[17]Rec_naturales!C12/1000000</f>
        <v>37.511408490000015</v>
      </c>
      <c r="E24" s="21">
        <f t="shared" si="0"/>
        <v>-85.876763607485998</v>
      </c>
      <c r="F24" s="21">
        <f t="shared" si="1"/>
        <v>0.81782006570283028</v>
      </c>
      <c r="G24" s="21">
        <f>[17]Rec_naturales!D12/1000000</f>
        <v>1.5288603199999995</v>
      </c>
      <c r="H24" s="21">
        <f>[17]Rec_naturales!E12/1000000</f>
        <v>9.7782143800000014</v>
      </c>
      <c r="I24" s="21">
        <f t="shared" si="2"/>
        <v>539.57539168784263</v>
      </c>
      <c r="J24" s="21">
        <f t="shared" si="3"/>
        <v>0.83959284433711667</v>
      </c>
      <c r="K24" s="16"/>
    </row>
    <row r="25" spans="1:11">
      <c r="A25" s="14"/>
      <c r="B25" s="9" t="str">
        <f>+[17]Rec_naturales!A13</f>
        <v>Norte de Santander</v>
      </c>
      <c r="C25" s="21">
        <f>[17]Rec_naturales!B13/1000000</f>
        <v>13.32153119999999</v>
      </c>
      <c r="D25" s="21">
        <f>[17]Rec_naturales!C13/1000000</f>
        <v>25.162214220000031</v>
      </c>
      <c r="E25" s="21">
        <f t="shared" si="0"/>
        <v>88.883799033552918</v>
      </c>
      <c r="F25" s="21">
        <f t="shared" si="1"/>
        <v>0.54858413786608273</v>
      </c>
      <c r="G25" s="21">
        <f>[17]Rec_naturales!D13/1000000</f>
        <v>6.2822696299999983</v>
      </c>
      <c r="H25" s="21">
        <f>[17]Rec_naturales!E13/1000000</f>
        <v>8.8618662399999941</v>
      </c>
      <c r="I25" s="21">
        <f t="shared" si="2"/>
        <v>41.061539251380339</v>
      </c>
      <c r="J25" s="21">
        <f t="shared" si="3"/>
        <v>0.76091187955491146</v>
      </c>
      <c r="K25" s="16"/>
    </row>
    <row r="26" spans="1:11">
      <c r="A26" s="14"/>
      <c r="B26" s="9" t="str">
        <f>+[17]Rec_naturales!A14</f>
        <v>Nariño</v>
      </c>
      <c r="C26" s="21">
        <f>[17]Rec_naturales!B14/1000000</f>
        <v>31.393242049999959</v>
      </c>
      <c r="D26" s="21">
        <f>[17]Rec_naturales!C14/1000000</f>
        <v>24.326266980000021</v>
      </c>
      <c r="E26" s="21">
        <f t="shared" si="0"/>
        <v>-22.511134908412387</v>
      </c>
      <c r="F26" s="21">
        <f t="shared" si="1"/>
        <v>0.53035889775218092</v>
      </c>
      <c r="G26" s="21">
        <f>[17]Rec_naturales!D14/1000000</f>
        <v>5.0956613699999993</v>
      </c>
      <c r="H26" s="21">
        <f>[17]Rec_naturales!E14/1000000</f>
        <v>6.4933469499999985</v>
      </c>
      <c r="I26" s="21">
        <f t="shared" si="2"/>
        <v>27.428933724455852</v>
      </c>
      <c r="J26" s="21">
        <f t="shared" si="3"/>
        <v>0.55754224883523562</v>
      </c>
      <c r="K26" s="16"/>
    </row>
    <row r="27" spans="1:11">
      <c r="A27" s="14"/>
      <c r="B27" s="9" t="str">
        <f>+[17]Rec_naturales!A15</f>
        <v>Cauca</v>
      </c>
      <c r="C27" s="21">
        <f>[17]Rec_naturales!B15/1000000</f>
        <v>26.89030494</v>
      </c>
      <c r="D27" s="21">
        <f>[17]Rec_naturales!C15/1000000</f>
        <v>23.109661259999964</v>
      </c>
      <c r="E27" s="21">
        <f t="shared" si="0"/>
        <v>-14.059504674401202</v>
      </c>
      <c r="F27" s="21">
        <f t="shared" si="1"/>
        <v>0.50383457862057246</v>
      </c>
      <c r="G27" s="21">
        <f>[17]Rec_naturales!D15/1000000</f>
        <v>4.4287914999999982</v>
      </c>
      <c r="H27" s="21">
        <f>[17]Rec_naturales!E15/1000000</f>
        <v>6.3460163300000012</v>
      </c>
      <c r="I27" s="21">
        <f t="shared" si="2"/>
        <v>43.290022345825129</v>
      </c>
      <c r="J27" s="21">
        <f t="shared" si="3"/>
        <v>0.54489190905983087</v>
      </c>
      <c r="K27" s="16"/>
    </row>
    <row r="28" spans="1:11">
      <c r="A28" s="14"/>
      <c r="B28" s="9" t="str">
        <f>+[17]Rec_naturales!A16</f>
        <v>Caldas</v>
      </c>
      <c r="C28" s="21">
        <f>[17]Rec_naturales!B16/1000000</f>
        <v>21.12510017999999</v>
      </c>
      <c r="D28" s="21">
        <f>[17]Rec_naturales!C16/1000000</f>
        <v>19.029002999999996</v>
      </c>
      <c r="E28" s="21">
        <f t="shared" si="0"/>
        <v>-9.9223064607497413</v>
      </c>
      <c r="F28" s="21">
        <f t="shared" si="1"/>
        <v>0.41486846562607826</v>
      </c>
      <c r="G28" s="21">
        <f>[17]Rec_naturales!D16/1000000</f>
        <v>5.1335308000000008</v>
      </c>
      <c r="H28" s="21">
        <f>[17]Rec_naturales!E16/1000000</f>
        <v>4.8766965999999989</v>
      </c>
      <c r="I28" s="21">
        <f t="shared" si="2"/>
        <v>-5.0030711805605925</v>
      </c>
      <c r="J28" s="21">
        <f t="shared" si="3"/>
        <v>0.41873080403491264</v>
      </c>
      <c r="K28" s="16"/>
    </row>
    <row r="29" spans="1:11">
      <c r="A29" s="14"/>
      <c r="B29" s="9" t="str">
        <f>+[17]Rec_naturales!A17</f>
        <v>Cesar</v>
      </c>
      <c r="C29" s="21">
        <f>[17]Rec_naturales!B17/1000000</f>
        <v>11.141097430000013</v>
      </c>
      <c r="D29" s="21">
        <f>[17]Rec_naturales!C17/1000000</f>
        <v>12.324266439999983</v>
      </c>
      <c r="E29" s="21">
        <f t="shared" si="0"/>
        <v>10.619860542768533</v>
      </c>
      <c r="F29" s="21">
        <f t="shared" si="1"/>
        <v>0.26869245372076317</v>
      </c>
      <c r="G29" s="21">
        <f>[17]Rec_naturales!D17/1000000</f>
        <v>3.7137999300000017</v>
      </c>
      <c r="H29" s="21">
        <f>[17]Rec_naturales!E17/1000000</f>
        <v>3.3929378600000009</v>
      </c>
      <c r="I29" s="21">
        <f t="shared" si="2"/>
        <v>-8.6397241652164229</v>
      </c>
      <c r="J29" s="21">
        <f t="shared" si="3"/>
        <v>0.29132991340045566</v>
      </c>
      <c r="K29" s="16"/>
    </row>
    <row r="30" spans="1:11">
      <c r="A30" s="14"/>
      <c r="B30" s="9" t="str">
        <f>+[17]Rec_naturales!A18</f>
        <v>Quindío</v>
      </c>
      <c r="C30" s="21">
        <f>[17]Rec_naturales!B18/1000000</f>
        <v>9.2858847699999956</v>
      </c>
      <c r="D30" s="21">
        <f>[17]Rec_naturales!C18/1000000</f>
        <v>7.6046583800000001</v>
      </c>
      <c r="E30" s="21">
        <f t="shared" si="0"/>
        <v>-18.105182560864328</v>
      </c>
      <c r="F30" s="21">
        <f t="shared" si="1"/>
        <v>0.16579601956661097</v>
      </c>
      <c r="G30" s="21">
        <f>[17]Rec_naturales!D18/1000000</f>
        <v>1.9232310399999999</v>
      </c>
      <c r="H30" s="21">
        <f>[17]Rec_naturales!E18/1000000</f>
        <v>1.1678219000000001</v>
      </c>
      <c r="I30" s="21">
        <f t="shared" si="2"/>
        <v>-39.278127499439684</v>
      </c>
      <c r="J30" s="21">
        <f t="shared" si="3"/>
        <v>0.10027341113584541</v>
      </c>
      <c r="K30" s="16"/>
    </row>
    <row r="31" spans="1:11">
      <c r="A31" s="14"/>
      <c r="B31" s="9" t="str">
        <f>+[17]Rec_naturales!A19</f>
        <v>Boyacá</v>
      </c>
      <c r="C31" s="21">
        <f>[17]Rec_naturales!B19/1000000</f>
        <v>19.301636860000016</v>
      </c>
      <c r="D31" s="21">
        <f>[17]Rec_naturales!C19/1000000</f>
        <v>3.9194800100000013</v>
      </c>
      <c r="E31" s="21">
        <f t="shared" si="0"/>
        <v>-79.693535639339558</v>
      </c>
      <c r="F31" s="21">
        <f t="shared" si="1"/>
        <v>8.5452120523644176E-2</v>
      </c>
      <c r="G31" s="21">
        <f>[17]Rec_naturales!D19/1000000</f>
        <v>12.679725650000004</v>
      </c>
      <c r="H31" s="21">
        <f>[17]Rec_naturales!E19/1000000</f>
        <v>2.0088788699999998</v>
      </c>
      <c r="I31" s="21">
        <f t="shared" si="2"/>
        <v>-84.15676391231699</v>
      </c>
      <c r="J31" s="21">
        <f t="shared" si="3"/>
        <v>0.1724896038116964</v>
      </c>
      <c r="K31" s="16"/>
    </row>
    <row r="32" spans="1:11">
      <c r="A32" s="14"/>
      <c r="B32" s="9" t="str">
        <f>+[17]Rec_naturales!A20</f>
        <v>Córdoba</v>
      </c>
      <c r="C32" s="21">
        <f>[17]Rec_naturales!B20/1000000</f>
        <v>0.90458329999999942</v>
      </c>
      <c r="D32" s="21">
        <f>[17]Rec_naturales!C20/1000000</f>
        <v>1.2316666899999997</v>
      </c>
      <c r="E32" s="21">
        <f t="shared" si="0"/>
        <v>36.158459922928103</v>
      </c>
      <c r="F32" s="21">
        <f t="shared" si="1"/>
        <v>2.6852676929161792E-2</v>
      </c>
      <c r="G32" s="21">
        <f>[17]Rec_naturales!D20/1000000</f>
        <v>0.3555725400000001</v>
      </c>
      <c r="H32" s="21">
        <f>[17]Rec_naturales!E20/1000000</f>
        <v>0.25903367999999999</v>
      </c>
      <c r="I32" s="21">
        <f t="shared" si="2"/>
        <v>-27.150257441139878</v>
      </c>
      <c r="J32" s="21">
        <f t="shared" si="3"/>
        <v>2.2241568421238731E-2</v>
      </c>
      <c r="K32" s="16"/>
    </row>
    <row r="33" spans="1:13">
      <c r="A33" s="14"/>
      <c r="B33" s="9" t="str">
        <f>+[17]Rec_naturales!A21</f>
        <v>Tolima</v>
      </c>
      <c r="C33" s="21">
        <f>[17]Rec_naturales!B21/1000000</f>
        <v>10.429611200000004</v>
      </c>
      <c r="D33" s="21">
        <f>[17]Rec_naturales!C21/1000000</f>
        <v>1.0723213999999994</v>
      </c>
      <c r="E33" s="21">
        <f t="shared" si="0"/>
        <v>-89.718491136083784</v>
      </c>
      <c r="F33" s="21">
        <f t="shared" si="1"/>
        <v>2.337864647328123E-2</v>
      </c>
      <c r="G33" s="21">
        <f>[17]Rec_naturales!D21/1000000</f>
        <v>5.3344146200000004</v>
      </c>
      <c r="H33" s="21">
        <f>[17]Rec_naturales!E21/1000000</f>
        <v>0.70509455999999981</v>
      </c>
      <c r="I33" s="21">
        <f t="shared" si="2"/>
        <v>-86.782156802052256</v>
      </c>
      <c r="J33" s="21">
        <f t="shared" si="3"/>
        <v>6.0541968518083106E-2</v>
      </c>
      <c r="K33" s="16"/>
    </row>
    <row r="34" spans="1:13">
      <c r="A34" s="14"/>
      <c r="B34" s="9" t="str">
        <f>+[17]Rec_naturales!A22</f>
        <v>Sucre</v>
      </c>
      <c r="C34" s="21">
        <f>[17]Rec_naturales!B22/1000000</f>
        <v>0.42686483000000003</v>
      </c>
      <c r="D34" s="21">
        <f>[17]Rec_naturales!C22/1000000</f>
        <v>1.0049592999999999</v>
      </c>
      <c r="E34" s="21">
        <f t="shared" si="0"/>
        <v>135.42799250994744</v>
      </c>
      <c r="F34" s="21">
        <f t="shared" si="1"/>
        <v>2.1910024545566453E-2</v>
      </c>
      <c r="G34" s="21">
        <f>[17]Rec_naturales!D22/1000000</f>
        <v>0.16584499999999999</v>
      </c>
      <c r="H34" s="21">
        <f>[17]Rec_naturales!E22/1000000</f>
        <v>8.034013000000001E-2</v>
      </c>
      <c r="I34" s="21">
        <f t="shared" si="2"/>
        <v>-51.557098495583212</v>
      </c>
      <c r="J34" s="21">
        <f t="shared" si="3"/>
        <v>6.8982940688107229E-3</v>
      </c>
      <c r="K34" s="16"/>
    </row>
    <row r="35" spans="1:13">
      <c r="A35" s="14"/>
      <c r="B35" s="9" t="str">
        <f>+[17]Rec_naturales!A23</f>
        <v>Putumayo</v>
      </c>
      <c r="C35" s="21">
        <f>[17]Rec_naturales!B23/1000000</f>
        <v>0.16165446000000003</v>
      </c>
      <c r="D35" s="21">
        <f>[17]Rec_naturales!C23/1000000</f>
        <v>0.54184573999999996</v>
      </c>
      <c r="E35" s="21">
        <f t="shared" si="0"/>
        <v>235.18762179527855</v>
      </c>
      <c r="F35" s="21">
        <f t="shared" si="1"/>
        <v>1.1813267923696632E-2</v>
      </c>
      <c r="G35" s="21">
        <f>[17]Rec_naturales!D23/1000000</f>
        <v>2.5881689999999999E-2</v>
      </c>
      <c r="H35" s="21">
        <f>[17]Rec_naturales!E23/1000000</f>
        <v>0.16330212999999996</v>
      </c>
      <c r="I35" s="21">
        <f t="shared" si="2"/>
        <v>530.95620881016646</v>
      </c>
      <c r="J35" s="21">
        <f t="shared" si="3"/>
        <v>1.4021711376408742E-2</v>
      </c>
      <c r="K35" s="16"/>
    </row>
    <row r="36" spans="1:13">
      <c r="A36" s="14"/>
      <c r="B36" s="9" t="str">
        <f>+[17]Rec_naturales!A24</f>
        <v>Huila</v>
      </c>
      <c r="C36" s="21">
        <f>[17]Rec_naturales!B24/1000000</f>
        <v>0.47114821000000007</v>
      </c>
      <c r="D36" s="21">
        <f>[17]Rec_naturales!C24/1000000</f>
        <v>0.48127334000000022</v>
      </c>
      <c r="E36" s="21">
        <f t="shared" si="0"/>
        <v>2.1490328913698287</v>
      </c>
      <c r="F36" s="21">
        <f t="shared" si="1"/>
        <v>1.0492674372511161E-2</v>
      </c>
      <c r="G36" s="21">
        <f>[17]Rec_naturales!D24/1000000</f>
        <v>0.21605706000000002</v>
      </c>
      <c r="H36" s="21">
        <f>[17]Rec_naturales!E24/1000000</f>
        <v>2.6065109999999996E-2</v>
      </c>
      <c r="I36" s="21">
        <f t="shared" si="2"/>
        <v>-87.936006349433811</v>
      </c>
      <c r="J36" s="21">
        <f t="shared" si="3"/>
        <v>2.2380445950971077E-3</v>
      </c>
      <c r="K36" s="16"/>
    </row>
    <row r="37" spans="1:13">
      <c r="A37" s="14"/>
      <c r="B37" s="9" t="str">
        <f>+[17]Rec_naturales!A25</f>
        <v>Casanare</v>
      </c>
      <c r="C37" s="21">
        <f>[17]Rec_naturales!B25/1000000</f>
        <v>0.18078478000000009</v>
      </c>
      <c r="D37" s="21">
        <f>[17]Rec_naturales!C25/1000000</f>
        <v>0.47197246999999992</v>
      </c>
      <c r="E37" s="21">
        <f t="shared" si="0"/>
        <v>161.06869726533378</v>
      </c>
      <c r="F37" s="21">
        <f t="shared" si="1"/>
        <v>1.0289897712804514E-2</v>
      </c>
      <c r="G37" s="21">
        <f>[17]Rec_naturales!D25/1000000</f>
        <v>7.5670920000000017E-2</v>
      </c>
      <c r="H37" s="21">
        <f>[17]Rec_naturales!E25/1000000</f>
        <v>0.13908265000000003</v>
      </c>
      <c r="I37" s="21">
        <f t="shared" si="2"/>
        <v>83.799337975539359</v>
      </c>
      <c r="J37" s="21">
        <f t="shared" si="3"/>
        <v>1.1942139246843113E-2</v>
      </c>
      <c r="K37" s="16"/>
    </row>
    <row r="38" spans="1:13">
      <c r="A38" s="14"/>
      <c r="B38" s="9" t="str">
        <f>+[17]Rec_naturales!A26</f>
        <v>Amazonas</v>
      </c>
      <c r="C38" s="21">
        <f>[17]Rec_naturales!B26/1000000</f>
        <v>0.1285896</v>
      </c>
      <c r="D38" s="21">
        <f>[17]Rec_naturales!C26/1000000</f>
        <v>8.0168279999999995E-2</v>
      </c>
      <c r="E38" s="21">
        <f t="shared" si="0"/>
        <v>-37.655704660407999</v>
      </c>
      <c r="F38" s="21">
        <f t="shared" si="1"/>
        <v>1.747821013821997E-3</v>
      </c>
      <c r="G38" s="21">
        <f>[17]Rec_naturales!D26/1000000</f>
        <v>0.10934011</v>
      </c>
      <c r="H38" s="21">
        <f>[17]Rec_naturales!E26/1000000</f>
        <v>0</v>
      </c>
      <c r="I38" s="21" t="str">
        <f t="shared" si="2"/>
        <v/>
      </c>
      <c r="J38" s="21">
        <f t="shared" si="3"/>
        <v>0</v>
      </c>
      <c r="K38" s="16"/>
    </row>
    <row r="39" spans="1:13">
      <c r="A39" s="14"/>
      <c r="B39" s="9" t="str">
        <f>+[17]Rec_naturales!A27</f>
        <v>Caquetá</v>
      </c>
      <c r="C39" s="21">
        <f>[17]Rec_naturales!B27/1000000</f>
        <v>4.9636039999999999E-2</v>
      </c>
      <c r="D39" s="21">
        <f>[17]Rec_naturales!C27/1000000</f>
        <v>3.1089739999999998E-2</v>
      </c>
      <c r="E39" s="21">
        <f t="shared" si="0"/>
        <v>-37.364584281904847</v>
      </c>
      <c r="F39" s="21">
        <f t="shared" si="1"/>
        <v>6.7781547622404144E-4</v>
      </c>
      <c r="G39" s="21">
        <f>[17]Rec_naturales!D27/1000000</f>
        <v>4.9636039999999999E-2</v>
      </c>
      <c r="H39" s="21">
        <f>[17]Rec_naturales!E27/1000000</f>
        <v>0</v>
      </c>
      <c r="I39" s="21" t="str">
        <f t="shared" si="2"/>
        <v/>
      </c>
      <c r="J39" s="21">
        <f t="shared" si="3"/>
        <v>0</v>
      </c>
      <c r="K39" s="16"/>
    </row>
    <row r="40" spans="1:13">
      <c r="A40" s="14"/>
      <c r="B40" s="9" t="str">
        <f>+[17]Rec_naturales!A28</f>
        <v>San Andrés</v>
      </c>
      <c r="C40" s="21">
        <f>[17]Rec_naturales!B28/1000000</f>
        <v>0</v>
      </c>
      <c r="D40" s="21">
        <f>[17]Rec_naturales!C28/1000000</f>
        <v>2.78291E-3</v>
      </c>
      <c r="E40" s="21" t="str">
        <f t="shared" si="0"/>
        <v/>
      </c>
      <c r="F40" s="21">
        <f t="shared" si="1"/>
        <v>6.0672732127661635E-5</v>
      </c>
      <c r="G40" s="21">
        <f>[17]Rec_naturales!D28/1000000</f>
        <v>0</v>
      </c>
      <c r="H40" s="21">
        <f>[17]Rec_naturales!E28/1000000</f>
        <v>0</v>
      </c>
      <c r="I40" s="21" t="str">
        <f t="shared" si="2"/>
        <v/>
      </c>
      <c r="J40" s="21">
        <f t="shared" si="3"/>
        <v>0</v>
      </c>
      <c r="K40" s="16"/>
    </row>
    <row r="41" spans="1:13">
      <c r="A41" s="14"/>
      <c r="B41" s="9" t="str">
        <f>+[17]Rec_naturales!A29</f>
        <v>Vichada</v>
      </c>
      <c r="C41" s="21">
        <f>[17]Rec_naturales!B29/1000000</f>
        <v>2.6540400000000002E-2</v>
      </c>
      <c r="D41" s="21">
        <f>[17]Rec_naturales!C29/1000000</f>
        <v>9.4860000000000007E-4</v>
      </c>
      <c r="E41" s="21">
        <f t="shared" si="0"/>
        <v>-96.425826287471168</v>
      </c>
      <c r="F41" s="21">
        <f t="shared" si="1"/>
        <v>2.0681284589260822E-5</v>
      </c>
      <c r="G41" s="21">
        <f>[17]Rec_naturales!D29/1000000</f>
        <v>2.7722100000000002E-3</v>
      </c>
      <c r="H41" s="21">
        <f>[17]Rec_naturales!E29/1000000</f>
        <v>0</v>
      </c>
      <c r="I41" s="21" t="str">
        <f t="shared" si="2"/>
        <v/>
      </c>
      <c r="J41" s="21">
        <f t="shared" si="3"/>
        <v>0</v>
      </c>
      <c r="K41" s="16"/>
    </row>
    <row r="42" spans="1:13">
      <c r="A42" s="14"/>
      <c r="B42" s="9" t="str">
        <f>+[17]Rec_naturales!A30</f>
        <v>Chocó</v>
      </c>
      <c r="C42" s="21">
        <f>[17]Rec_naturales!B30/1000000</f>
        <v>0</v>
      </c>
      <c r="D42" s="21">
        <f>[17]Rec_naturales!C30/1000000</f>
        <v>5.6740000000000002E-5</v>
      </c>
      <c r="E42" s="21" t="str">
        <f t="shared" ref="E42:E43" si="4">IF(OR(OR(D42=0,C42=0),D42=""),"",(D42/C42-1)*100)</f>
        <v/>
      </c>
      <c r="F42" s="21">
        <f t="shared" ref="F42:F43" si="5">(D42/D$13)*100</f>
        <v>1.237039940538329E-6</v>
      </c>
      <c r="G42" s="21">
        <f>[17]Rec_naturales!D30/1000000</f>
        <v>0</v>
      </c>
      <c r="H42" s="21">
        <f>[17]Rec_naturales!E30/1000000</f>
        <v>0</v>
      </c>
      <c r="I42" s="21" t="str">
        <f t="shared" ref="I42:I43" si="6">IF(OR(OR(H42=0,G42=0),H42=""),"",(H42/G42-1)*100)</f>
        <v/>
      </c>
      <c r="J42" s="21">
        <f t="shared" ref="J42:J43" si="7">(H42/H$13)*100</f>
        <v>0</v>
      </c>
      <c r="K42" s="16"/>
    </row>
    <row r="43" spans="1:13">
      <c r="A43" s="14"/>
      <c r="B43" s="9" t="str">
        <f>+[17]Rec_naturales!A31</f>
        <v>Aráuca</v>
      </c>
      <c r="C43" s="21">
        <f>[17]Rec_naturales!B31/1000000</f>
        <v>4.0295050000000006E-2</v>
      </c>
      <c r="D43" s="21">
        <f>[17]Rec_naturales!C31/1000000</f>
        <v>0</v>
      </c>
      <c r="E43" s="21" t="str">
        <f t="shared" si="4"/>
        <v/>
      </c>
      <c r="F43" s="21">
        <f t="shared" si="5"/>
        <v>0</v>
      </c>
      <c r="G43" s="21">
        <f>[17]Rec_naturales!D31/1000000</f>
        <v>3.6377050000000001E-2</v>
      </c>
      <c r="H43" s="21">
        <f>[17]Rec_naturales!E31/1000000</f>
        <v>0</v>
      </c>
      <c r="I43" s="21" t="str">
        <f t="shared" si="6"/>
        <v/>
      </c>
      <c r="J43" s="21">
        <f t="shared" si="7"/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tr">
        <f>IF(F44="","",1)</f>
        <v/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66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SUM(C14:C45)</f>
        <v>2606.73201015001</v>
      </c>
      <c r="D13" s="87">
        <f>SUM(D14:D45)</f>
        <v>2599.2284093900157</v>
      </c>
      <c r="E13" s="87">
        <f>IF(OR(OR(D13=0,C13=0),D13=""),"",(D13/C13-1)*100)</f>
        <v>-0.28785470584535844</v>
      </c>
      <c r="F13" s="87">
        <f>(D13/D$13)*100</f>
        <v>100</v>
      </c>
      <c r="G13" s="87">
        <f t="shared" ref="G13:H13" si="0">SUM(G14:G45)</f>
        <v>637.72488134999924</v>
      </c>
      <c r="H13" s="87">
        <f t="shared" si="0"/>
        <v>662.61002178999945</v>
      </c>
      <c r="I13" s="87">
        <f>IF(OR(OR(H13=0,G13=0),H13=""),"",(H13/G13-1)*100)</f>
        <v>3.9021749296218378</v>
      </c>
      <c r="J13" s="87">
        <f>(H13/H$13)*100</f>
        <v>100</v>
      </c>
      <c r="K13" s="16"/>
    </row>
    <row r="14" spans="1:14">
      <c r="A14" s="14"/>
      <c r="B14" s="10" t="str">
        <f>+[17]Baja_tek!A2</f>
        <v>Bogotá</v>
      </c>
      <c r="C14" s="24">
        <f>[17]Baja_tek!B2/1000000</f>
        <v>1117.6799256000061</v>
      </c>
      <c r="D14" s="24">
        <f>[17]Baja_tek!C2/1000000</f>
        <v>1086.5652897400144</v>
      </c>
      <c r="E14" s="24">
        <f>IF(OR(OR(D14=0,C14=0),D14=""),"",(D14/C14-1)*100)</f>
        <v>-2.7838592379914484</v>
      </c>
      <c r="F14" s="24">
        <f>(D14/D$13)*100</f>
        <v>41.803378487810868</v>
      </c>
      <c r="G14" s="24">
        <f>[17]Baja_tek!D2/1000000</f>
        <v>276.48818440999878</v>
      </c>
      <c r="H14" s="24">
        <f>[17]Baja_tek!E2/1000000</f>
        <v>296.02373254000082</v>
      </c>
      <c r="I14" s="24">
        <f>IF(OR(OR(H14=0,G14=0),H14=""),"",(H14/G14-1)*100)</f>
        <v>7.0655996283129241</v>
      </c>
      <c r="J14" s="24">
        <f>(H14/H$13)*100</f>
        <v>44.675408280169272</v>
      </c>
      <c r="K14" s="16"/>
    </row>
    <row r="15" spans="1:14">
      <c r="A15" s="14"/>
      <c r="B15" s="9" t="str">
        <f>+[17]Baja_tek!A3</f>
        <v>Antioquia</v>
      </c>
      <c r="C15" s="21">
        <f>[17]Baja_tek!B3/1000000</f>
        <v>481.18526070000354</v>
      </c>
      <c r="D15" s="21">
        <f>[17]Baja_tek!C3/1000000</f>
        <v>493.74949752999919</v>
      </c>
      <c r="E15" s="21">
        <f t="shared" ref="E15:E41" si="1">IF(OR(OR(D15=0,C15=0),D15=""),"",(D15/C15-1)*100)</f>
        <v>2.6111017639480094</v>
      </c>
      <c r="F15" s="21">
        <f t="shared" ref="F15:F41" si="2">(D15/D$13)*100</f>
        <v>18.996002650104607</v>
      </c>
      <c r="G15" s="21">
        <f>[17]Baja_tek!D3/1000000</f>
        <v>125.77381100000019</v>
      </c>
      <c r="H15" s="21">
        <f>[17]Baja_tek!E3/1000000</f>
        <v>116.99718437999896</v>
      </c>
      <c r="I15" s="21">
        <f t="shared" ref="I15:I41" si="3">IF(OR(OR(H15=0,G15=0),H15=""),"",(H15/G15-1)*100)</f>
        <v>-6.9781034304520091</v>
      </c>
      <c r="J15" s="21">
        <f t="shared" ref="J15:J41" si="4">(H15/H$13)*100</f>
        <v>17.65702004686533</v>
      </c>
      <c r="K15" s="16"/>
    </row>
    <row r="16" spans="1:14">
      <c r="A16" s="14"/>
      <c r="B16" s="9" t="str">
        <f>+[17]Baja_tek!A4</f>
        <v>Cundinamarca</v>
      </c>
      <c r="C16" s="21">
        <f>[17]Baja_tek!B4/1000000</f>
        <v>221.31811843000014</v>
      </c>
      <c r="D16" s="21">
        <f>[17]Baja_tek!C4/1000000</f>
        <v>258.24114666000037</v>
      </c>
      <c r="E16" s="21">
        <f t="shared" si="1"/>
        <v>16.683237907464175</v>
      </c>
      <c r="F16" s="21">
        <f t="shared" si="2"/>
        <v>9.9353002501463177</v>
      </c>
      <c r="G16" s="21">
        <f>[17]Baja_tek!D4/1000000</f>
        <v>57.642624519999892</v>
      </c>
      <c r="H16" s="21">
        <f>[17]Baja_tek!E4/1000000</f>
        <v>64.570739150000037</v>
      </c>
      <c r="I16" s="21">
        <f t="shared" si="3"/>
        <v>12.019082558595763</v>
      </c>
      <c r="J16" s="21">
        <f t="shared" si="4"/>
        <v>9.7449083211217111</v>
      </c>
      <c r="K16" s="16"/>
    </row>
    <row r="17" spans="1:11">
      <c r="A17" s="14"/>
      <c r="B17" s="9" t="str">
        <f>+[17]Baja_tek!A5</f>
        <v>Atlántico</v>
      </c>
      <c r="C17" s="21">
        <f>[17]Baja_tek!B5/1000000</f>
        <v>233.05578965999871</v>
      </c>
      <c r="D17" s="21">
        <f>[17]Baja_tek!C5/1000000</f>
        <v>257.8957088600007</v>
      </c>
      <c r="E17" s="21">
        <f t="shared" si="1"/>
        <v>10.658357484377689</v>
      </c>
      <c r="F17" s="21">
        <f t="shared" si="2"/>
        <v>9.9220102368965488</v>
      </c>
      <c r="G17" s="21">
        <f>[17]Baja_tek!D5/1000000</f>
        <v>52.72165368000018</v>
      </c>
      <c r="H17" s="21">
        <f>[17]Baja_tek!E5/1000000</f>
        <v>67.101085689999579</v>
      </c>
      <c r="I17" s="21">
        <f t="shared" si="3"/>
        <v>27.274243135992894</v>
      </c>
      <c r="J17" s="21">
        <f t="shared" si="4"/>
        <v>10.126784003165271</v>
      </c>
      <c r="K17" s="16"/>
    </row>
    <row r="18" spans="1:11">
      <c r="A18" s="14"/>
      <c r="B18" s="9" t="str">
        <f>+[17]Baja_tek!A6</f>
        <v>Valle del Cauca</v>
      </c>
      <c r="C18" s="21">
        <f>[17]Baja_tek!B6/1000000</f>
        <v>183.51895990000165</v>
      </c>
      <c r="D18" s="21">
        <f>[17]Baja_tek!C6/1000000</f>
        <v>179.32529023000089</v>
      </c>
      <c r="E18" s="21">
        <f t="shared" si="1"/>
        <v>-2.2851424573710921</v>
      </c>
      <c r="F18" s="21">
        <f t="shared" si="2"/>
        <v>6.8991739849475087</v>
      </c>
      <c r="G18" s="21">
        <f>[17]Baja_tek!D6/1000000</f>
        <v>40.609830919999993</v>
      </c>
      <c r="H18" s="21">
        <f>[17]Baja_tek!E6/1000000</f>
        <v>43.804019139999966</v>
      </c>
      <c r="I18" s="21">
        <f t="shared" si="3"/>
        <v>7.8655540977070615</v>
      </c>
      <c r="J18" s="21">
        <f t="shared" si="4"/>
        <v>6.6108295527535414</v>
      </c>
      <c r="K18" s="16"/>
    </row>
    <row r="19" spans="1:11">
      <c r="A19" s="14"/>
      <c r="B19" s="9" t="str">
        <f>+[17]Baja_tek!A7</f>
        <v>Bolívar</v>
      </c>
      <c r="C19" s="21">
        <f>[17]Baja_tek!B7/1000000</f>
        <v>110.70786211000053</v>
      </c>
      <c r="D19" s="21">
        <f>[17]Baja_tek!C7/1000000</f>
        <v>103.52041721000001</v>
      </c>
      <c r="E19" s="21">
        <f t="shared" si="1"/>
        <v>-6.4922623949318137</v>
      </c>
      <c r="F19" s="21">
        <f t="shared" si="2"/>
        <v>3.9827364473249229</v>
      </c>
      <c r="G19" s="21">
        <f>[17]Baja_tek!D7/1000000</f>
        <v>25.657299619999968</v>
      </c>
      <c r="H19" s="21">
        <f>[17]Baja_tek!E7/1000000</f>
        <v>23.699659050000058</v>
      </c>
      <c r="I19" s="21">
        <f t="shared" si="3"/>
        <v>-7.6299556032542126</v>
      </c>
      <c r="J19" s="21">
        <f t="shared" si="4"/>
        <v>3.5767130394401394</v>
      </c>
      <c r="K19" s="16"/>
    </row>
    <row r="20" spans="1:11">
      <c r="A20" s="14"/>
      <c r="B20" s="9" t="str">
        <f>+[17]Baja_tek!A8</f>
        <v>Caldas</v>
      </c>
      <c r="C20" s="21">
        <f>[17]Baja_tek!B8/1000000</f>
        <v>46.173580110000017</v>
      </c>
      <c r="D20" s="21">
        <f>[17]Baja_tek!C8/1000000</f>
        <v>42.913851120000018</v>
      </c>
      <c r="E20" s="21">
        <f t="shared" si="1"/>
        <v>-7.0597276239665607</v>
      </c>
      <c r="F20" s="21">
        <f t="shared" si="2"/>
        <v>1.6510227021591766</v>
      </c>
      <c r="G20" s="21">
        <f>[17]Baja_tek!D8/1000000</f>
        <v>10.558709540000001</v>
      </c>
      <c r="H20" s="21">
        <f>[17]Baja_tek!E8/1000000</f>
        <v>8.2374961500000055</v>
      </c>
      <c r="I20" s="21">
        <f t="shared" si="3"/>
        <v>-21.983873892983286</v>
      </c>
      <c r="J20" s="21">
        <f t="shared" si="4"/>
        <v>1.2431891880758046</v>
      </c>
      <c r="K20" s="16"/>
    </row>
    <row r="21" spans="1:11">
      <c r="A21" s="14"/>
      <c r="B21" s="9" t="str">
        <f>+[17]Baja_tek!A9</f>
        <v>Cauca</v>
      </c>
      <c r="C21" s="21">
        <f>[17]Baja_tek!B9/1000000</f>
        <v>57.620490359999984</v>
      </c>
      <c r="D21" s="21">
        <f>[17]Baja_tek!C9/1000000</f>
        <v>39.535910710000081</v>
      </c>
      <c r="E21" s="21">
        <f t="shared" si="1"/>
        <v>-31.385674674081177</v>
      </c>
      <c r="F21" s="21">
        <f t="shared" si="2"/>
        <v>1.5210633496914698</v>
      </c>
      <c r="G21" s="21">
        <f>[17]Baja_tek!D9/1000000</f>
        <v>8.4959081700000052</v>
      </c>
      <c r="H21" s="21">
        <f>[17]Baja_tek!E9/1000000</f>
        <v>9.7193641699999969</v>
      </c>
      <c r="I21" s="21">
        <f t="shared" si="3"/>
        <v>14.400532297655367</v>
      </c>
      <c r="J21" s="21">
        <f t="shared" si="4"/>
        <v>1.4668302395644037</v>
      </c>
      <c r="K21" s="16"/>
    </row>
    <row r="22" spans="1:11">
      <c r="A22" s="14"/>
      <c r="B22" s="9" t="str">
        <f>+[17]Baja_tek!A10</f>
        <v>Santander</v>
      </c>
      <c r="C22" s="21">
        <f>[17]Baja_tek!B10/1000000</f>
        <v>28.823470289999982</v>
      </c>
      <c r="D22" s="21">
        <f>[17]Baja_tek!C10/1000000</f>
        <v>24.910655119999976</v>
      </c>
      <c r="E22" s="21">
        <f t="shared" si="1"/>
        <v>-13.575100883523794</v>
      </c>
      <c r="F22" s="21">
        <f t="shared" si="2"/>
        <v>0.95838653617386338</v>
      </c>
      <c r="G22" s="21">
        <f>[17]Baja_tek!D10/1000000</f>
        <v>10.241196679999995</v>
      </c>
      <c r="H22" s="21">
        <f>[17]Baja_tek!E10/1000000</f>
        <v>6.4606060299999983</v>
      </c>
      <c r="I22" s="21">
        <f t="shared" si="3"/>
        <v>-36.915516498019244</v>
      </c>
      <c r="J22" s="21">
        <f t="shared" si="4"/>
        <v>0.97502389302037362</v>
      </c>
      <c r="K22" s="16"/>
    </row>
    <row r="23" spans="1:11">
      <c r="A23" s="14"/>
      <c r="B23" s="9" t="str">
        <f>+[17]Baja_tek!A11</f>
        <v>Risaralda</v>
      </c>
      <c r="C23" s="21">
        <f>[17]Baja_tek!B11/1000000</f>
        <v>24.240761710000005</v>
      </c>
      <c r="D23" s="21">
        <f>[17]Baja_tek!C11/1000000</f>
        <v>21.143376780000033</v>
      </c>
      <c r="E23" s="21">
        <f t="shared" si="1"/>
        <v>-12.777589116443533</v>
      </c>
      <c r="F23" s="21">
        <f t="shared" si="2"/>
        <v>0.81344820269034912</v>
      </c>
      <c r="G23" s="21">
        <f>[17]Baja_tek!D11/1000000</f>
        <v>4.5141685300000001</v>
      </c>
      <c r="H23" s="21">
        <f>[17]Baja_tek!E11/1000000</f>
        <v>4.6799943800000081</v>
      </c>
      <c r="I23" s="21">
        <f t="shared" si="3"/>
        <v>3.6734527941961526</v>
      </c>
      <c r="J23" s="21">
        <f t="shared" si="4"/>
        <v>0.70629695086067323</v>
      </c>
      <c r="K23" s="16"/>
    </row>
    <row r="24" spans="1:11">
      <c r="A24" s="14"/>
      <c r="B24" s="9" t="str">
        <f>+[17]Baja_tek!A12</f>
        <v>Boyacá</v>
      </c>
      <c r="C24" s="21">
        <f>[17]Baja_tek!B12/1000000</f>
        <v>10.238888049999995</v>
      </c>
      <c r="D24" s="21">
        <f>[17]Baja_tek!C12/1000000</f>
        <v>19.069968009999993</v>
      </c>
      <c r="E24" s="21">
        <f t="shared" si="1"/>
        <v>86.250381065549433</v>
      </c>
      <c r="F24" s="21">
        <f t="shared" si="2"/>
        <v>0.73367803849432811</v>
      </c>
      <c r="G24" s="21">
        <f>[17]Baja_tek!D12/1000000</f>
        <v>2.6679425300000004</v>
      </c>
      <c r="H24" s="21">
        <f>[17]Baja_tek!E12/1000000</f>
        <v>2.8687882999999998</v>
      </c>
      <c r="I24" s="21">
        <f t="shared" si="3"/>
        <v>7.5281145579998432</v>
      </c>
      <c r="J24" s="21">
        <f t="shared" si="4"/>
        <v>0.43295274832248209</v>
      </c>
      <c r="K24" s="16"/>
    </row>
    <row r="25" spans="1:11">
      <c r="A25" s="14"/>
      <c r="B25" s="9" t="str">
        <f>+[17]Baja_tek!A13</f>
        <v>Guajira</v>
      </c>
      <c r="C25" s="21">
        <f>[17]Baja_tek!B13/1000000</f>
        <v>17.67487227999996</v>
      </c>
      <c r="D25" s="21">
        <f>[17]Baja_tek!C13/1000000</f>
        <v>19.05789913000002</v>
      </c>
      <c r="E25" s="21">
        <f t="shared" si="1"/>
        <v>7.8248194843536512</v>
      </c>
      <c r="F25" s="21">
        <f t="shared" si="2"/>
        <v>0.73321371300618055</v>
      </c>
      <c r="G25" s="21">
        <f>[17]Baja_tek!D13/1000000</f>
        <v>3.3120947099999993</v>
      </c>
      <c r="H25" s="21">
        <f>[17]Baja_tek!E13/1000000</f>
        <v>5.7080945799999974</v>
      </c>
      <c r="I25" s="21">
        <f t="shared" si="3"/>
        <v>72.340922581890737</v>
      </c>
      <c r="J25" s="21">
        <f t="shared" si="4"/>
        <v>0.86145611932942656</v>
      </c>
      <c r="K25" s="16"/>
    </row>
    <row r="26" spans="1:11">
      <c r="A26" s="14"/>
      <c r="B26" s="9" t="str">
        <f>+[17]Baja_tek!A14</f>
        <v>Norte de Santander</v>
      </c>
      <c r="C26" s="21">
        <f>[17]Baja_tek!B14/1000000</f>
        <v>10.787820380000001</v>
      </c>
      <c r="D26" s="21">
        <f>[17]Baja_tek!C14/1000000</f>
        <v>18.545024219999984</v>
      </c>
      <c r="E26" s="21">
        <f t="shared" si="1"/>
        <v>71.907054129130586</v>
      </c>
      <c r="F26" s="21">
        <f t="shared" si="2"/>
        <v>0.71348189920531502</v>
      </c>
      <c r="G26" s="21">
        <f>[17]Baja_tek!D14/1000000</f>
        <v>2.6837012500000008</v>
      </c>
      <c r="H26" s="21">
        <f>[17]Baja_tek!E14/1000000</f>
        <v>5.8128749999999973</v>
      </c>
      <c r="I26" s="21">
        <f t="shared" si="3"/>
        <v>116.59918368335505</v>
      </c>
      <c r="J26" s="21">
        <f t="shared" si="4"/>
        <v>0.8772694056598902</v>
      </c>
      <c r="K26" s="16"/>
    </row>
    <row r="27" spans="1:11">
      <c r="A27" s="14"/>
      <c r="B27" s="9" t="str">
        <f>+[17]Baja_tek!A15</f>
        <v>Casanare</v>
      </c>
      <c r="C27" s="21">
        <f>[17]Baja_tek!B15/1000000</f>
        <v>12.957099020000014</v>
      </c>
      <c r="D27" s="21">
        <f>[17]Baja_tek!C15/1000000</f>
        <v>8.813179449999998</v>
      </c>
      <c r="E27" s="21">
        <f t="shared" si="1"/>
        <v>-31.981846890292665</v>
      </c>
      <c r="F27" s="21">
        <f t="shared" si="2"/>
        <v>0.33906906442547952</v>
      </c>
      <c r="G27" s="21">
        <f>[17]Baja_tek!D15/1000000</f>
        <v>4.4616214299999983</v>
      </c>
      <c r="H27" s="21">
        <f>[17]Baja_tek!E15/1000000</f>
        <v>1.8453878200000002</v>
      </c>
      <c r="I27" s="21">
        <f t="shared" si="3"/>
        <v>-58.638628378651994</v>
      </c>
      <c r="J27" s="21">
        <f t="shared" si="4"/>
        <v>0.27850285376227796</v>
      </c>
      <c r="K27" s="16"/>
    </row>
    <row r="28" spans="1:11">
      <c r="A28" s="14"/>
      <c r="B28" s="9" t="str">
        <f>+[17]Baja_tek!A16</f>
        <v>Nariño</v>
      </c>
      <c r="C28" s="21">
        <f>[17]Baja_tek!B16/1000000</f>
        <v>10.091598640000004</v>
      </c>
      <c r="D28" s="21">
        <f>[17]Baja_tek!C16/1000000</f>
        <v>5.6385676100000035</v>
      </c>
      <c r="E28" s="21">
        <f t="shared" si="1"/>
        <v>-44.126121032494801</v>
      </c>
      <c r="F28" s="21">
        <f t="shared" si="2"/>
        <v>0.2169323630670556</v>
      </c>
      <c r="G28" s="21">
        <f>[17]Baja_tek!D16/1000000</f>
        <v>1.3564714800000002</v>
      </c>
      <c r="H28" s="21">
        <f>[17]Baja_tek!E16/1000000</f>
        <v>1.2832569299999992</v>
      </c>
      <c r="I28" s="21">
        <f t="shared" si="3"/>
        <v>-5.3974264169565078</v>
      </c>
      <c r="J28" s="21">
        <f t="shared" si="4"/>
        <v>0.19366699684580094</v>
      </c>
      <c r="K28" s="16"/>
    </row>
    <row r="29" spans="1:11">
      <c r="A29" s="14"/>
      <c r="B29" s="9" t="str">
        <f>+[17]Baja_tek!A17</f>
        <v>Magdalena</v>
      </c>
      <c r="C29" s="21">
        <f>[17]Baja_tek!B17/1000000</f>
        <v>25.649431150000016</v>
      </c>
      <c r="D29" s="21">
        <f>[17]Baja_tek!C17/1000000</f>
        <v>5.3948616999999972</v>
      </c>
      <c r="E29" s="21">
        <f t="shared" si="1"/>
        <v>-78.966934321270529</v>
      </c>
      <c r="F29" s="21">
        <f t="shared" si="2"/>
        <v>0.20755627633610155</v>
      </c>
      <c r="G29" s="21">
        <f>[17]Baja_tek!D17/1000000</f>
        <v>7.065435490000004</v>
      </c>
      <c r="H29" s="21">
        <f>[17]Baja_tek!E17/1000000</f>
        <v>0.64910695000000052</v>
      </c>
      <c r="I29" s="21">
        <f t="shared" si="3"/>
        <v>-90.812923691417069</v>
      </c>
      <c r="J29" s="21">
        <f t="shared" si="4"/>
        <v>9.7962138913395655E-2</v>
      </c>
      <c r="K29" s="16"/>
    </row>
    <row r="30" spans="1:11">
      <c r="A30" s="14"/>
      <c r="B30" s="9" t="str">
        <f>+[17]Baja_tek!A18</f>
        <v>Cesar</v>
      </c>
      <c r="C30" s="21">
        <f>[17]Baja_tek!B18/1000000</f>
        <v>4.1327023999999959</v>
      </c>
      <c r="D30" s="21">
        <f>[17]Baja_tek!C18/1000000</f>
        <v>4.0841179399999987</v>
      </c>
      <c r="E30" s="21">
        <f t="shared" si="1"/>
        <v>-1.1756099350390459</v>
      </c>
      <c r="F30" s="21">
        <f t="shared" si="2"/>
        <v>0.15712808944553108</v>
      </c>
      <c r="G30" s="21">
        <f>[17]Baja_tek!D18/1000000</f>
        <v>0.97376455999999956</v>
      </c>
      <c r="H30" s="21">
        <f>[17]Baja_tek!E18/1000000</f>
        <v>0.96779251000000044</v>
      </c>
      <c r="I30" s="21">
        <f t="shared" si="3"/>
        <v>-0.61329506590372951</v>
      </c>
      <c r="J30" s="21">
        <f t="shared" si="4"/>
        <v>0.14605763241937839</v>
      </c>
      <c r="K30" s="16"/>
    </row>
    <row r="31" spans="1:11">
      <c r="A31" s="14"/>
      <c r="B31" s="9" t="str">
        <f>+[17]Baja_tek!A19</f>
        <v>Meta</v>
      </c>
      <c r="C31" s="21">
        <f>[17]Baja_tek!B19/1000000</f>
        <v>2.2028676500000008</v>
      </c>
      <c r="D31" s="21">
        <f>[17]Baja_tek!C19/1000000</f>
        <v>2.8568382000000008</v>
      </c>
      <c r="E31" s="21">
        <f t="shared" si="1"/>
        <v>29.687237451600868</v>
      </c>
      <c r="F31" s="21">
        <f t="shared" si="2"/>
        <v>0.10991101011666923</v>
      </c>
      <c r="G31" s="21">
        <f>[17]Baja_tek!D19/1000000</f>
        <v>0.42601732999999997</v>
      </c>
      <c r="H31" s="21">
        <f>[17]Baja_tek!E19/1000000</f>
        <v>0.81874559999999996</v>
      </c>
      <c r="I31" s="21">
        <f t="shared" si="3"/>
        <v>92.185984546684978</v>
      </c>
      <c r="J31" s="21">
        <f t="shared" si="4"/>
        <v>0.12356372120485139</v>
      </c>
      <c r="K31" s="16"/>
    </row>
    <row r="32" spans="1:11">
      <c r="A32" s="14"/>
      <c r="B32" s="9" t="str">
        <f>+[17]Baja_tek!A20</f>
        <v>Córdoba</v>
      </c>
      <c r="C32" s="21">
        <f>[17]Baja_tek!B20/1000000</f>
        <v>1.5452336</v>
      </c>
      <c r="D32" s="21">
        <f>[17]Baja_tek!C20/1000000</f>
        <v>2.4443788300000007</v>
      </c>
      <c r="E32" s="21">
        <f t="shared" si="1"/>
        <v>58.188304344404671</v>
      </c>
      <c r="F32" s="21">
        <f t="shared" si="2"/>
        <v>9.4042478959117146E-2</v>
      </c>
      <c r="G32" s="21">
        <f>[17]Baja_tek!D20/1000000</f>
        <v>0.38688670999999997</v>
      </c>
      <c r="H32" s="21">
        <f>[17]Baja_tek!E20/1000000</f>
        <v>0.27655485000000002</v>
      </c>
      <c r="I32" s="21">
        <f t="shared" si="3"/>
        <v>-28.517872841897297</v>
      </c>
      <c r="J32" s="21">
        <f t="shared" si="4"/>
        <v>4.1737196979439645E-2</v>
      </c>
      <c r="K32" s="16"/>
    </row>
    <row r="33" spans="1:13">
      <c r="A33" s="14"/>
      <c r="B33" s="9" t="str">
        <f>+[17]Baja_tek!A21</f>
        <v>Tolima</v>
      </c>
      <c r="C33" s="21">
        <f>[17]Baja_tek!B21/1000000</f>
        <v>1.9153785100000007</v>
      </c>
      <c r="D33" s="21">
        <f>[17]Baja_tek!C21/1000000</f>
        <v>2.0312787900000004</v>
      </c>
      <c r="E33" s="21">
        <f t="shared" si="1"/>
        <v>6.0510379225252819</v>
      </c>
      <c r="F33" s="21">
        <f t="shared" si="2"/>
        <v>7.8149299332900823E-2</v>
      </c>
      <c r="G33" s="21">
        <f>[17]Baja_tek!D21/1000000</f>
        <v>0.6138097400000001</v>
      </c>
      <c r="H33" s="21">
        <f>[17]Baja_tek!E21/1000000</f>
        <v>0.67243294000000009</v>
      </c>
      <c r="I33" s="21">
        <f t="shared" si="3"/>
        <v>9.5507119192992818</v>
      </c>
      <c r="J33" s="21">
        <f t="shared" si="4"/>
        <v>0.10148245844266959</v>
      </c>
      <c r="K33" s="16"/>
    </row>
    <row r="34" spans="1:13">
      <c r="A34" s="14"/>
      <c r="B34" s="9" t="str">
        <f>+[17]Baja_tek!A22</f>
        <v>Quindío</v>
      </c>
      <c r="C34" s="21">
        <f>[17]Baja_tek!B22/1000000</f>
        <v>2.9329502900000017</v>
      </c>
      <c r="D34" s="21">
        <f>[17]Baja_tek!C22/1000000</f>
        <v>1.162687309999999</v>
      </c>
      <c r="E34" s="21">
        <f t="shared" si="1"/>
        <v>-60.357756012291695</v>
      </c>
      <c r="F34" s="21">
        <f t="shared" si="2"/>
        <v>4.4732017617215E-2</v>
      </c>
      <c r="G34" s="21">
        <f>[17]Baja_tek!D22/1000000</f>
        <v>0.86184575999999957</v>
      </c>
      <c r="H34" s="21">
        <f>[17]Baja_tek!E22/1000000</f>
        <v>0.23414993999999995</v>
      </c>
      <c r="I34" s="21">
        <f t="shared" si="3"/>
        <v>-72.831572554235223</v>
      </c>
      <c r="J34" s="21">
        <f t="shared" si="4"/>
        <v>3.5337518645953851E-2</v>
      </c>
      <c r="K34" s="16"/>
    </row>
    <row r="35" spans="1:13">
      <c r="A35" s="14"/>
      <c r="B35" s="9" t="str">
        <f>+[17]Baja_tek!A23</f>
        <v>Huila</v>
      </c>
      <c r="C35" s="21">
        <f>[17]Baja_tek!B23/1000000</f>
        <v>1.5278269500000001</v>
      </c>
      <c r="D35" s="21">
        <f>[17]Baja_tek!C23/1000000</f>
        <v>0.75885088000000023</v>
      </c>
      <c r="E35" s="21">
        <f t="shared" si="1"/>
        <v>-50.331359189599297</v>
      </c>
      <c r="F35" s="21">
        <f t="shared" si="2"/>
        <v>2.9195236450115847E-2</v>
      </c>
      <c r="G35" s="21">
        <f>[17]Baja_tek!D23/1000000</f>
        <v>0.10607654000000001</v>
      </c>
      <c r="H35" s="21">
        <f>[17]Baja_tek!E23/1000000</f>
        <v>0.10397135</v>
      </c>
      <c r="I35" s="21">
        <f t="shared" si="3"/>
        <v>-1.9845952743179684</v>
      </c>
      <c r="J35" s="21">
        <f t="shared" si="4"/>
        <v>1.5691182834682748E-2</v>
      </c>
      <c r="K35" s="16"/>
    </row>
    <row r="36" spans="1:13">
      <c r="A36" s="14"/>
      <c r="B36" s="9" t="str">
        <f>+[17]Baja_tek!A24</f>
        <v>San Andrés</v>
      </c>
      <c r="C36" s="21">
        <f>[17]Baja_tek!B24/1000000</f>
        <v>8.0306399999999986E-3</v>
      </c>
      <c r="D36" s="21">
        <f>[17]Baja_tek!C24/1000000</f>
        <v>0.71920201000000017</v>
      </c>
      <c r="E36" s="21">
        <f t="shared" si="1"/>
        <v>8855.7246994012967</v>
      </c>
      <c r="F36" s="21">
        <f t="shared" si="2"/>
        <v>2.7669827222640345E-2</v>
      </c>
      <c r="G36" s="21">
        <f>[17]Baja_tek!D24/1000000</f>
        <v>0</v>
      </c>
      <c r="H36" s="21">
        <f>[17]Baja_tek!E24/1000000</f>
        <v>0</v>
      </c>
      <c r="I36" s="21" t="str">
        <f t="shared" si="3"/>
        <v/>
      </c>
      <c r="J36" s="21">
        <f t="shared" si="4"/>
        <v>0</v>
      </c>
      <c r="K36" s="16"/>
    </row>
    <row r="37" spans="1:13">
      <c r="A37" s="14"/>
      <c r="B37" s="9" t="str">
        <f>+[17]Baja_tek!A25</f>
        <v>Sucre</v>
      </c>
      <c r="C37" s="21">
        <f>[17]Baja_tek!B25/1000000</f>
        <v>9.8259940000000004E-2</v>
      </c>
      <c r="D37" s="21">
        <f>[17]Baja_tek!C25/1000000</f>
        <v>0.37282286000000003</v>
      </c>
      <c r="E37" s="21">
        <f t="shared" si="1"/>
        <v>279.42508411871614</v>
      </c>
      <c r="F37" s="21">
        <f t="shared" si="2"/>
        <v>1.4343597455811655E-2</v>
      </c>
      <c r="G37" s="21">
        <f>[17]Baja_tek!D25/1000000</f>
        <v>2.1993690000000003E-2</v>
      </c>
      <c r="H37" s="21">
        <f>[17]Baja_tek!E25/1000000</f>
        <v>4.1455589999999994E-2</v>
      </c>
      <c r="I37" s="21">
        <f t="shared" si="3"/>
        <v>88.488561946630995</v>
      </c>
      <c r="J37" s="21">
        <f t="shared" si="4"/>
        <v>6.2564085414842227E-3</v>
      </c>
      <c r="K37" s="16"/>
    </row>
    <row r="38" spans="1:13">
      <c r="A38" s="14"/>
      <c r="B38" s="9" t="str">
        <f>+[17]Baja_tek!A26</f>
        <v>Aráuca</v>
      </c>
      <c r="C38" s="21">
        <f>[17]Baja_tek!B26/1000000</f>
        <v>5.6620419999999998E-2</v>
      </c>
      <c r="D38" s="21">
        <f>[17]Baja_tek!C26/1000000</f>
        <v>0.27181938</v>
      </c>
      <c r="E38" s="21">
        <f t="shared" si="1"/>
        <v>380.07305491552341</v>
      </c>
      <c r="F38" s="21">
        <f t="shared" si="2"/>
        <v>1.0457695022800645E-2</v>
      </c>
      <c r="G38" s="21">
        <f>[17]Baja_tek!D26/1000000</f>
        <v>5.6620419999999998E-2</v>
      </c>
      <c r="H38" s="21">
        <f>[17]Baja_tek!E26/1000000</f>
        <v>5.8461700000000004E-3</v>
      </c>
      <c r="I38" s="21">
        <f t="shared" si="3"/>
        <v>-89.674802836149922</v>
      </c>
      <c r="J38" s="21">
        <f t="shared" si="4"/>
        <v>8.8229423156126413E-4</v>
      </c>
      <c r="K38" s="16"/>
    </row>
    <row r="39" spans="1:13">
      <c r="A39" s="14"/>
      <c r="B39" s="9" t="str">
        <f>+[17]Baja_tek!A27</f>
        <v>Amazonas</v>
      </c>
      <c r="C39" s="21">
        <f>[17]Baja_tek!B27/1000000</f>
        <v>6.985783999999999E-2</v>
      </c>
      <c r="D39" s="21">
        <f>[17]Baja_tek!C27/1000000</f>
        <v>0.12723865999999998</v>
      </c>
      <c r="E39" s="21">
        <f t="shared" si="1"/>
        <v>82.139413414442799</v>
      </c>
      <c r="F39" s="21">
        <f t="shared" si="2"/>
        <v>4.8952473564976232E-3</v>
      </c>
      <c r="G39" s="21">
        <f>[17]Baja_tek!D27/1000000</f>
        <v>8.3567999999999999E-4</v>
      </c>
      <c r="H39" s="21">
        <f>[17]Baja_tek!E27/1000000</f>
        <v>2.6774099999999999E-3</v>
      </c>
      <c r="I39" s="21">
        <f t="shared" si="3"/>
        <v>220.38699023549682</v>
      </c>
      <c r="J39" s="21">
        <f t="shared" si="4"/>
        <v>4.0407025429032065E-4</v>
      </c>
      <c r="K39" s="16"/>
    </row>
    <row r="40" spans="1:13">
      <c r="A40" s="14"/>
      <c r="B40" s="9" t="str">
        <f>+[17]Baja_tek!A28</f>
        <v>Putumayo</v>
      </c>
      <c r="C40" s="21">
        <f>[17]Baja_tek!B28/1000000</f>
        <v>0.11068889</v>
      </c>
      <c r="D40" s="21">
        <f>[17]Baja_tek!C28/1000000</f>
        <v>3.9189949999999994E-2</v>
      </c>
      <c r="E40" s="21">
        <f t="shared" si="1"/>
        <v>-64.594504471044928</v>
      </c>
      <c r="F40" s="21">
        <f t="shared" si="2"/>
        <v>1.5077532185483096E-3</v>
      </c>
      <c r="G40" s="21">
        <f>[17]Baja_tek!D28/1000000</f>
        <v>1.073701E-2</v>
      </c>
      <c r="H40" s="21">
        <f>[17]Baja_tek!E28/1000000</f>
        <v>0</v>
      </c>
      <c r="I40" s="21" t="str">
        <f t="shared" si="3"/>
        <v/>
      </c>
      <c r="J40" s="21">
        <f t="shared" si="4"/>
        <v>0</v>
      </c>
      <c r="K40" s="16"/>
    </row>
    <row r="41" spans="1:13">
      <c r="A41" s="14"/>
      <c r="B41" s="9" t="str">
        <f>+[17]Baja_tek!A29</f>
        <v>Chocó</v>
      </c>
      <c r="C41" s="21">
        <f>[17]Baja_tek!B29/1000000</f>
        <v>3.1726789999999998E-2</v>
      </c>
      <c r="D41" s="21">
        <f>[17]Baja_tek!C29/1000000</f>
        <v>2.5330410000000001E-2</v>
      </c>
      <c r="E41" s="21">
        <f t="shared" si="1"/>
        <v>-20.160816773458635</v>
      </c>
      <c r="F41" s="21">
        <f t="shared" si="2"/>
        <v>9.7453574716600279E-4</v>
      </c>
      <c r="G41" s="21">
        <f>[17]Baja_tek!D29/1000000</f>
        <v>0</v>
      </c>
      <c r="H41" s="21">
        <f>[17]Baja_tek!E29/1000000</f>
        <v>2.4803170000000003E-2</v>
      </c>
      <c r="I41" s="21" t="str">
        <f t="shared" si="3"/>
        <v/>
      </c>
      <c r="J41" s="21">
        <f t="shared" si="4"/>
        <v>3.7432530725985385E-3</v>
      </c>
      <c r="K41" s="16"/>
    </row>
    <row r="42" spans="1:13">
      <c r="A42" s="14"/>
      <c r="B42" s="9" t="str">
        <f>+[17]Baja_tek!A30</f>
        <v>Caquetá</v>
      </c>
      <c r="C42" s="21">
        <f>[17]Baja_tek!B30/1000000</f>
        <v>1.6431049999999999E-2</v>
      </c>
      <c r="D42" s="21">
        <f>[17]Baja_tek!C30/1000000</f>
        <v>1.1607419999999999E-2</v>
      </c>
      <c r="E42" s="21">
        <f t="shared" ref="E42:E43" si="5">IF(OR(OR(D42=0,C42=0),D42=""),"",(D42/C42-1)*100)</f>
        <v>-29.356797039750958</v>
      </c>
      <c r="F42" s="21">
        <f t="shared" ref="F42:F43" si="6">(D42/D$13)*100</f>
        <v>4.4657175791349617E-4</v>
      </c>
      <c r="G42" s="21">
        <f>[17]Baja_tek!D30/1000000</f>
        <v>0</v>
      </c>
      <c r="H42" s="21">
        <f>[17]Baja_tek!E30/1000000</f>
        <v>0</v>
      </c>
      <c r="I42" s="21" t="str">
        <f t="shared" ref="I42:I43" si="7">IF(OR(OR(H42=0,G42=0),H42=""),"",(H42/G42-1)*100)</f>
        <v/>
      </c>
      <c r="J42" s="21">
        <f t="shared" ref="J42:J43" si="8">(H42/H$13)*100</f>
        <v>0</v>
      </c>
      <c r="K42" s="16"/>
    </row>
    <row r="43" spans="1:13">
      <c r="A43" s="14"/>
      <c r="B43" s="9" t="str">
        <f>+[17]Baja_tek!A31</f>
        <v>Vichada</v>
      </c>
      <c r="C43" s="21">
        <f>[17]Baja_tek!B31/1000000</f>
        <v>0</v>
      </c>
      <c r="D43" s="21">
        <f>[17]Baja_tek!C31/1000000</f>
        <v>2.2006700000000001E-3</v>
      </c>
      <c r="E43" s="21" t="str">
        <f t="shared" si="5"/>
        <v/>
      </c>
      <c r="F43" s="21">
        <f t="shared" si="6"/>
        <v>8.4666279887132004E-5</v>
      </c>
      <c r="G43" s="21">
        <f>[17]Baja_tek!D31/1000000</f>
        <v>0</v>
      </c>
      <c r="H43" s="21">
        <f>[17]Baja_tek!E31/1000000</f>
        <v>0</v>
      </c>
      <c r="I43" s="21" t="str">
        <f t="shared" si="7"/>
        <v/>
      </c>
      <c r="J43" s="21">
        <f t="shared" si="8"/>
        <v>0</v>
      </c>
      <c r="K43" s="16"/>
    </row>
    <row r="44" spans="1:13">
      <c r="A44" s="14"/>
      <c r="B44" s="9" t="str">
        <f>+[17]Baja_tek!A32</f>
        <v>Guaviare</v>
      </c>
      <c r="C44" s="21">
        <f>[17]Baja_tek!B32/1000000</f>
        <v>0</v>
      </c>
      <c r="D44" s="21">
        <f>[17]Baja_tek!C32/1000000</f>
        <v>2.02E-4</v>
      </c>
      <c r="E44" s="21" t="str">
        <f t="shared" ref="E44" si="9">IF(OR(OR(D44=0,C44=0),D44=""),"",(D44/C44-1)*100)</f>
        <v/>
      </c>
      <c r="F44" s="21">
        <f t="shared" ref="F44" si="10">(D44/D$13)*100</f>
        <v>7.7715370942488728E-6</v>
      </c>
      <c r="G44" s="21">
        <f>[17]Baja_tek!D32/1000000</f>
        <v>0</v>
      </c>
      <c r="H44" s="21">
        <f>[17]Baja_tek!E32/1000000</f>
        <v>2.02E-4</v>
      </c>
      <c r="I44" s="21" t="str">
        <f t="shared" ref="I44" si="11">IF(OR(OR(H44=0,G44=0),H44=""),"",(H44/G44-1)*100)</f>
        <v/>
      </c>
      <c r="J44" s="21">
        <f t="shared" ref="J44" si="12">(H44/H$13)*100</f>
        <v>3.0485503291107741E-5</v>
      </c>
      <c r="K44" s="16"/>
    </row>
    <row r="45" spans="1:13">
      <c r="A45" s="14"/>
      <c r="B45" s="9" t="str">
        <f>+[17]Baja_tek!A33</f>
        <v>Vaupés</v>
      </c>
      <c r="C45" s="21">
        <f>[17]Baja_tek!B33/1000000</f>
        <v>0.35950679000000002</v>
      </c>
      <c r="D45" s="21">
        <f>[17]Baja_tek!C33/1000000</f>
        <v>0</v>
      </c>
      <c r="E45" s="21" t="str">
        <f t="shared" ref="E45" si="13">IF(OR(OR(D45=0,C45=0),D45=""),"",(D45/C45-1)*100)</f>
        <v/>
      </c>
      <c r="F45" s="21">
        <f t="shared" ref="F45" si="14">(D45/D$13)*100</f>
        <v>0</v>
      </c>
      <c r="G45" s="21">
        <f>[17]Baja_tek!D33/1000000</f>
        <v>1.563995E-2</v>
      </c>
      <c r="H45" s="21">
        <f>[17]Baja_tek!E33/1000000</f>
        <v>0</v>
      </c>
      <c r="I45" s="21" t="str">
        <f t="shared" ref="I45" si="15">IF(OR(OR(H45=0,G45=0),H45=""),"",(H45/G45-1)*100)</f>
        <v/>
      </c>
      <c r="J45" s="21">
        <f t="shared" ref="J45" si="16">(H45/H$13)*100</f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67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SUM(C14:C45)</f>
        <v>6914.8202875299858</v>
      </c>
      <c r="D13" s="87">
        <f>SUM(D14:D45)</f>
        <v>6244.729851390046</v>
      </c>
      <c r="E13" s="87">
        <f>IF(OR(OR(D13=0,C13=0),D13=""),"",(D13/C13-1)*100)</f>
        <v>-9.6906413800567535</v>
      </c>
      <c r="F13" s="87">
        <f>(D13/D$13)*100</f>
        <v>100</v>
      </c>
      <c r="G13" s="87">
        <f t="shared" ref="G13:H13" si="0">SUM(G14:G45)</f>
        <v>1680.5825609999988</v>
      </c>
      <c r="H13" s="87">
        <f t="shared" si="0"/>
        <v>1788.5029023200002</v>
      </c>
      <c r="I13" s="87">
        <f>IF(OR(OR(H13=0,G13=0),H13=""),"",(H13/G13-1)*100)</f>
        <v>6.4216030693419413</v>
      </c>
      <c r="J13" s="87">
        <f>(H13/H$13)*100</f>
        <v>100</v>
      </c>
      <c r="K13" s="16"/>
    </row>
    <row r="14" spans="1:14">
      <c r="A14" s="14"/>
      <c r="B14" s="10" t="str">
        <f>+[17]Tek_media!A2</f>
        <v>Bogotá</v>
      </c>
      <c r="C14" s="24">
        <f>[17]Tek_media!B2/1000000</f>
        <v>2918.3510972699864</v>
      </c>
      <c r="D14" s="24">
        <f>[17]Tek_media!C2/1000000</f>
        <v>2696.7597739900348</v>
      </c>
      <c r="E14" s="24">
        <f>IF(OR(OR(D14=0,C14=0),D14=""),"",(D14/C14-1)*100)</f>
        <v>-7.5930316776224194</v>
      </c>
      <c r="F14" s="24">
        <f>(D14/D$13)*100</f>
        <v>43.184570640629865</v>
      </c>
      <c r="G14" s="24">
        <f>[17]Tek_media!D2/1000000</f>
        <v>724.82486958999891</v>
      </c>
      <c r="H14" s="24">
        <f>[17]Tek_media!E2/1000000</f>
        <v>809.20029578999959</v>
      </c>
      <c r="I14" s="24">
        <f>IF(OR(OR(H14=0,G14=0),H14=""),"",(H14/G14-1)*100)</f>
        <v>11.640801763290497</v>
      </c>
      <c r="J14" s="24">
        <f>(H14/H$13)*100</f>
        <v>45.244561512331103</v>
      </c>
      <c r="K14" s="16"/>
    </row>
    <row r="15" spans="1:14">
      <c r="A15" s="14"/>
      <c r="B15" s="9" t="str">
        <f>+[17]Tek_media!A3</f>
        <v>Antioquia</v>
      </c>
      <c r="C15" s="21">
        <f>[17]Tek_media!B3/1000000</f>
        <v>926.35071893999975</v>
      </c>
      <c r="D15" s="21">
        <f>[17]Tek_media!C3/1000000</f>
        <v>888.51452286000881</v>
      </c>
      <c r="E15" s="21">
        <f t="shared" ref="E15:E43" si="1">IF(OR(OR(D15=0,C15=0),D15=""),"",(D15/C15-1)*100)</f>
        <v>-4.0844353338750583</v>
      </c>
      <c r="F15" s="21">
        <f t="shared" ref="F15:F43" si="2">(D15/D$13)*100</f>
        <v>14.228229947564982</v>
      </c>
      <c r="G15" s="21">
        <f>[17]Tek_media!D3/1000000</f>
        <v>232.14585323000014</v>
      </c>
      <c r="H15" s="21">
        <f>[17]Tek_media!E3/1000000</f>
        <v>230.86618190999957</v>
      </c>
      <c r="I15" s="21">
        <f t="shared" ref="I15:I43" si="3">IF(OR(OR(H15=0,G15=0),H15=""),"",(H15/G15-1)*100)</f>
        <v>-0.5512359157812452</v>
      </c>
      <c r="J15" s="21">
        <f t="shared" ref="J15:J43" si="4">(H15/H$13)*100</f>
        <v>12.908348183865167</v>
      </c>
      <c r="K15" s="16"/>
    </row>
    <row r="16" spans="1:14">
      <c r="A16" s="14"/>
      <c r="B16" s="9" t="str">
        <f>+[17]Tek_media!A4</f>
        <v>Cundinamarca</v>
      </c>
      <c r="C16" s="21">
        <f>[17]Tek_media!B4/1000000</f>
        <v>1082.800348099998</v>
      </c>
      <c r="D16" s="21">
        <f>[17]Tek_media!C4/1000000</f>
        <v>886.02864550000834</v>
      </c>
      <c r="E16" s="21">
        <f t="shared" si="1"/>
        <v>-18.172482392092615</v>
      </c>
      <c r="F16" s="21">
        <f t="shared" si="2"/>
        <v>14.188422343086351</v>
      </c>
      <c r="G16" s="21">
        <f>[17]Tek_media!D4/1000000</f>
        <v>279.84743203999955</v>
      </c>
      <c r="H16" s="21">
        <f>[17]Tek_media!E4/1000000</f>
        <v>231.23163624000071</v>
      </c>
      <c r="I16" s="21">
        <f t="shared" si="3"/>
        <v>-17.37225010270954</v>
      </c>
      <c r="J16" s="21">
        <f t="shared" si="4"/>
        <v>12.928781716823213</v>
      </c>
      <c r="K16" s="16"/>
    </row>
    <row r="17" spans="1:11">
      <c r="A17" s="14"/>
      <c r="B17" s="9" t="str">
        <f>+[17]Tek_media!A5</f>
        <v>Valle del Cauca</v>
      </c>
      <c r="C17" s="21">
        <f>[17]Tek_media!B5/1000000</f>
        <v>608.1791147800003</v>
      </c>
      <c r="D17" s="21">
        <f>[17]Tek_media!C5/1000000</f>
        <v>545.42792973999826</v>
      </c>
      <c r="E17" s="21">
        <f t="shared" si="1"/>
        <v>-10.317878979238104</v>
      </c>
      <c r="F17" s="21">
        <f t="shared" si="2"/>
        <v>8.7342117708837108</v>
      </c>
      <c r="G17" s="21">
        <f>[17]Tek_media!D5/1000000</f>
        <v>132.46011978000004</v>
      </c>
      <c r="H17" s="21">
        <f>[17]Tek_media!E5/1000000</f>
        <v>145.02300965999999</v>
      </c>
      <c r="I17" s="21">
        <f t="shared" si="3"/>
        <v>9.4842809298869355</v>
      </c>
      <c r="J17" s="21">
        <f t="shared" si="4"/>
        <v>8.1086259056040575</v>
      </c>
      <c r="K17" s="16"/>
    </row>
    <row r="18" spans="1:11">
      <c r="A18" s="14"/>
      <c r="B18" s="9" t="str">
        <f>+[17]Tek_media!A6</f>
        <v>Atlántico</v>
      </c>
      <c r="C18" s="21">
        <f>[17]Tek_media!B6/1000000</f>
        <v>318.57258156000142</v>
      </c>
      <c r="D18" s="21">
        <f>[17]Tek_media!C6/1000000</f>
        <v>327.96032115999816</v>
      </c>
      <c r="E18" s="21">
        <f t="shared" si="1"/>
        <v>2.9468134244404753</v>
      </c>
      <c r="F18" s="21">
        <f t="shared" si="2"/>
        <v>5.2517935757780752</v>
      </c>
      <c r="G18" s="21">
        <f>[17]Tek_media!D6/1000000</f>
        <v>82.630158439999974</v>
      </c>
      <c r="H18" s="21">
        <f>[17]Tek_media!E6/1000000</f>
        <v>106.35656956000005</v>
      </c>
      <c r="I18" s="21">
        <f t="shared" si="3"/>
        <v>28.713984782237191</v>
      </c>
      <c r="J18" s="21">
        <f t="shared" si="4"/>
        <v>5.9466814072281924</v>
      </c>
      <c r="K18" s="16"/>
    </row>
    <row r="19" spans="1:11">
      <c r="A19" s="14"/>
      <c r="B19" s="9" t="str">
        <f>+[17]Tek_media!A7</f>
        <v>Bolívar</v>
      </c>
      <c r="C19" s="21">
        <f>[17]Tek_media!B7/1000000</f>
        <v>280.85509583000089</v>
      </c>
      <c r="D19" s="21">
        <f>[17]Tek_media!C7/1000000</f>
        <v>267.40712151999975</v>
      </c>
      <c r="E19" s="21">
        <f t="shared" si="1"/>
        <v>-4.7882251416015205</v>
      </c>
      <c r="F19" s="21">
        <f t="shared" si="2"/>
        <v>4.2821247337140811</v>
      </c>
      <c r="G19" s="21">
        <f>[17]Tek_media!D7/1000000</f>
        <v>54.955588450000093</v>
      </c>
      <c r="H19" s="21">
        <f>[17]Tek_media!E7/1000000</f>
        <v>76.111556960000087</v>
      </c>
      <c r="I19" s="21">
        <f t="shared" si="3"/>
        <v>38.496482535617282</v>
      </c>
      <c r="J19" s="21">
        <f t="shared" si="4"/>
        <v>4.2556015347400402</v>
      </c>
      <c r="K19" s="16"/>
    </row>
    <row r="20" spans="1:11">
      <c r="A20" s="14"/>
      <c r="B20" s="9" t="str">
        <f>+[17]Tek_media!A8</f>
        <v>Guajira</v>
      </c>
      <c r="C20" s="21">
        <f>[17]Tek_media!B8/1000000</f>
        <v>143.55674359999995</v>
      </c>
      <c r="D20" s="21">
        <f>[17]Tek_media!C8/1000000</f>
        <v>193.78615294999958</v>
      </c>
      <c r="E20" s="21">
        <f t="shared" si="1"/>
        <v>34.989237071270281</v>
      </c>
      <c r="F20" s="21">
        <f t="shared" si="2"/>
        <v>3.10319513512444</v>
      </c>
      <c r="G20" s="21">
        <f>[17]Tek_media!D8/1000000</f>
        <v>44.779039290000043</v>
      </c>
      <c r="H20" s="21">
        <f>[17]Tek_media!E8/1000000</f>
        <v>69.287893179999941</v>
      </c>
      <c r="I20" s="21">
        <f t="shared" si="3"/>
        <v>54.732871179469811</v>
      </c>
      <c r="J20" s="21">
        <f t="shared" si="4"/>
        <v>3.8740721689700059</v>
      </c>
      <c r="K20" s="16"/>
    </row>
    <row r="21" spans="1:11">
      <c r="A21" s="14"/>
      <c r="B21" s="9" t="str">
        <f>+[17]Tek_media!A9</f>
        <v>Santander</v>
      </c>
      <c r="C21" s="21">
        <f>[17]Tek_media!B9/1000000</f>
        <v>84.527256919999843</v>
      </c>
      <c r="D21" s="21">
        <f>[17]Tek_media!C9/1000000</f>
        <v>66.367653279999985</v>
      </c>
      <c r="E21" s="21">
        <f t="shared" si="1"/>
        <v>-21.4837252523016</v>
      </c>
      <c r="F21" s="21">
        <f t="shared" si="2"/>
        <v>1.0627786126765255</v>
      </c>
      <c r="G21" s="21">
        <f>[17]Tek_media!D9/1000000</f>
        <v>19.73114338000001</v>
      </c>
      <c r="H21" s="21">
        <f>[17]Tek_media!E9/1000000</f>
        <v>14.474070149999985</v>
      </c>
      <c r="I21" s="21">
        <f t="shared" si="3"/>
        <v>-26.64353062949575</v>
      </c>
      <c r="J21" s="21">
        <f t="shared" si="4"/>
        <v>0.80928412982861775</v>
      </c>
      <c r="K21" s="16"/>
    </row>
    <row r="22" spans="1:11">
      <c r="A22" s="14"/>
      <c r="B22" s="9" t="str">
        <f>+[17]Tek_media!A10</f>
        <v>Cesar</v>
      </c>
      <c r="C22" s="21">
        <f>[17]Tek_media!B10/1000000</f>
        <v>86.875345289999871</v>
      </c>
      <c r="D22" s="21">
        <f>[17]Tek_media!C10/1000000</f>
        <v>60.218241580000075</v>
      </c>
      <c r="E22" s="21">
        <f t="shared" si="1"/>
        <v>-30.684313968497424</v>
      </c>
      <c r="F22" s="21">
        <f t="shared" si="2"/>
        <v>0.96430499017656945</v>
      </c>
      <c r="G22" s="21">
        <f>[17]Tek_media!D10/1000000</f>
        <v>19.717905630000033</v>
      </c>
      <c r="H22" s="21">
        <f>[17]Tek_media!E10/1000000</f>
        <v>14.384248170000001</v>
      </c>
      <c r="I22" s="21">
        <f t="shared" si="3"/>
        <v>-27.049817359329875</v>
      </c>
      <c r="J22" s="21">
        <f t="shared" si="4"/>
        <v>0.80426194172461918</v>
      </c>
      <c r="K22" s="16"/>
    </row>
    <row r="23" spans="1:11">
      <c r="A23" s="14"/>
      <c r="B23" s="9" t="str">
        <f>+[17]Tek_media!A11</f>
        <v>Risaralda</v>
      </c>
      <c r="C23" s="21">
        <f>[17]Tek_media!B11/1000000</f>
        <v>63.531345739999914</v>
      </c>
      <c r="D23" s="21">
        <f>[17]Tek_media!C11/1000000</f>
        <v>56.771775429999778</v>
      </c>
      <c r="E23" s="21">
        <f t="shared" si="1"/>
        <v>-10.63974047970504</v>
      </c>
      <c r="F23" s="21">
        <f t="shared" si="2"/>
        <v>0.9091149942597222</v>
      </c>
      <c r="G23" s="21">
        <f>[17]Tek_media!D11/1000000</f>
        <v>15.382580230000006</v>
      </c>
      <c r="H23" s="21">
        <f>[17]Tek_media!E11/1000000</f>
        <v>15.362050899999984</v>
      </c>
      <c r="I23" s="21">
        <f t="shared" si="3"/>
        <v>-0.13345829953796962</v>
      </c>
      <c r="J23" s="21">
        <f t="shared" si="4"/>
        <v>0.85893351808782226</v>
      </c>
      <c r="K23" s="16"/>
    </row>
    <row r="24" spans="1:11">
      <c r="A24" s="14"/>
      <c r="B24" s="9" t="str">
        <f>+[17]Tek_media!A12</f>
        <v>Caldas</v>
      </c>
      <c r="C24" s="21">
        <f>[17]Tek_media!B12/1000000</f>
        <v>59.596103729999889</v>
      </c>
      <c r="D24" s="21">
        <f>[17]Tek_media!C12/1000000</f>
        <v>56.379483780000079</v>
      </c>
      <c r="E24" s="21">
        <f t="shared" si="1"/>
        <v>-5.3973661844953895</v>
      </c>
      <c r="F24" s="21">
        <f t="shared" si="2"/>
        <v>0.902833030758733</v>
      </c>
      <c r="G24" s="21">
        <f>[17]Tek_media!D12/1000000</f>
        <v>17.967266049999999</v>
      </c>
      <c r="H24" s="21">
        <f>[17]Tek_media!E12/1000000</f>
        <v>15.229441170000014</v>
      </c>
      <c r="I24" s="21">
        <f t="shared" si="3"/>
        <v>-15.237849054948382</v>
      </c>
      <c r="J24" s="21">
        <f t="shared" si="4"/>
        <v>0.85151895198183758</v>
      </c>
      <c r="K24" s="16"/>
    </row>
    <row r="25" spans="1:11">
      <c r="A25" s="14"/>
      <c r="B25" s="9" t="str">
        <f>+[17]Tek_media!A13</f>
        <v>Casanare</v>
      </c>
      <c r="C25" s="21">
        <f>[17]Tek_media!B13/1000000</f>
        <v>33.394065050000002</v>
      </c>
      <c r="D25" s="21">
        <f>[17]Tek_media!C13/1000000</f>
        <v>50.322765629999907</v>
      </c>
      <c r="E25" s="21">
        <f t="shared" si="1"/>
        <v>50.693740203994444</v>
      </c>
      <c r="F25" s="21">
        <f t="shared" si="2"/>
        <v>0.80584375669666974</v>
      </c>
      <c r="G25" s="21">
        <f>[17]Tek_media!D13/1000000</f>
        <v>9.6974915400000032</v>
      </c>
      <c r="H25" s="21">
        <f>[17]Tek_media!E13/1000000</f>
        <v>17.77862223</v>
      </c>
      <c r="I25" s="21">
        <f t="shared" si="3"/>
        <v>83.332175714380611</v>
      </c>
      <c r="J25" s="21">
        <f t="shared" si="4"/>
        <v>0.9940505104541919</v>
      </c>
      <c r="K25" s="16"/>
    </row>
    <row r="26" spans="1:11">
      <c r="A26" s="14"/>
      <c r="B26" s="9" t="str">
        <f>+[17]Tek_media!A14</f>
        <v>Cauca</v>
      </c>
      <c r="C26" s="21">
        <f>[17]Tek_media!B14/1000000</f>
        <v>33.368852249999989</v>
      </c>
      <c r="D26" s="21">
        <f>[17]Tek_media!C14/1000000</f>
        <v>31.06775952000001</v>
      </c>
      <c r="E26" s="21">
        <f t="shared" si="1"/>
        <v>-6.8959301109913991</v>
      </c>
      <c r="F26" s="21">
        <f t="shared" si="2"/>
        <v>0.49750365923490636</v>
      </c>
      <c r="G26" s="21">
        <f>[17]Tek_media!D14/1000000</f>
        <v>7.5837376699999979</v>
      </c>
      <c r="H26" s="21">
        <f>[17]Tek_media!E14/1000000</f>
        <v>7.4212209299999996</v>
      </c>
      <c r="I26" s="21">
        <f t="shared" si="3"/>
        <v>-2.1429636291730891</v>
      </c>
      <c r="J26" s="21">
        <f t="shared" si="4"/>
        <v>0.41494039066827237</v>
      </c>
      <c r="K26" s="16"/>
    </row>
    <row r="27" spans="1:11">
      <c r="A27" s="14"/>
      <c r="B27" s="9" t="str">
        <f>+[17]Tek_media!A15</f>
        <v>Norte de Santander</v>
      </c>
      <c r="C27" s="21">
        <f>[17]Tek_media!B15/1000000</f>
        <v>31.662278440000001</v>
      </c>
      <c r="D27" s="21">
        <f>[17]Tek_media!C15/1000000</f>
        <v>29.807923969999997</v>
      </c>
      <c r="E27" s="21">
        <f t="shared" si="1"/>
        <v>-5.8566678121854228</v>
      </c>
      <c r="F27" s="21">
        <f t="shared" si="2"/>
        <v>0.47732927891772453</v>
      </c>
      <c r="G27" s="21">
        <f>[17]Tek_media!D15/1000000</f>
        <v>7.0115642299999967</v>
      </c>
      <c r="H27" s="21">
        <f>[17]Tek_media!E15/1000000</f>
        <v>6.8135772099999992</v>
      </c>
      <c r="I27" s="21">
        <f t="shared" si="3"/>
        <v>-2.8237211199304335</v>
      </c>
      <c r="J27" s="21">
        <f t="shared" si="4"/>
        <v>0.38096539855549583</v>
      </c>
      <c r="K27" s="16"/>
    </row>
    <row r="28" spans="1:11">
      <c r="A28" s="14"/>
      <c r="B28" s="9" t="str">
        <f>+[17]Tek_media!A16</f>
        <v>Magdalena</v>
      </c>
      <c r="C28" s="21">
        <f>[17]Tek_media!B16/1000000</f>
        <v>105.13672883999998</v>
      </c>
      <c r="D28" s="21">
        <f>[17]Tek_media!C16/1000000</f>
        <v>24.919183469999965</v>
      </c>
      <c r="E28" s="21">
        <f t="shared" si="1"/>
        <v>-76.29830816980936</v>
      </c>
      <c r="F28" s="21">
        <f t="shared" si="2"/>
        <v>0.39904341841870189</v>
      </c>
      <c r="G28" s="21">
        <f>[17]Tek_media!D16/1000000</f>
        <v>7.8611708599999979</v>
      </c>
      <c r="H28" s="21">
        <f>[17]Tek_media!E16/1000000</f>
        <v>11.497991960000002</v>
      </c>
      <c r="I28" s="21">
        <f t="shared" si="3"/>
        <v>46.263096996215204</v>
      </c>
      <c r="J28" s="21">
        <f t="shared" si="4"/>
        <v>0.64288360645571785</v>
      </c>
      <c r="K28" s="16"/>
    </row>
    <row r="29" spans="1:11">
      <c r="A29" s="14"/>
      <c r="B29" s="9" t="str">
        <f>+[17]Tek_media!A17</f>
        <v>Boyacá</v>
      </c>
      <c r="C29" s="21">
        <f>[17]Tek_media!B17/1000000</f>
        <v>45.417403499999999</v>
      </c>
      <c r="D29" s="21">
        <f>[17]Tek_media!C17/1000000</f>
        <v>19.871786690000011</v>
      </c>
      <c r="E29" s="21">
        <f t="shared" si="1"/>
        <v>-56.246317141401512</v>
      </c>
      <c r="F29" s="21">
        <f t="shared" si="2"/>
        <v>0.31821691510925249</v>
      </c>
      <c r="G29" s="21">
        <f>[17]Tek_media!D17/1000000</f>
        <v>7.1263533999999984</v>
      </c>
      <c r="H29" s="21">
        <f>[17]Tek_media!E17/1000000</f>
        <v>6.8854910999999976</v>
      </c>
      <c r="I29" s="21">
        <f t="shared" si="3"/>
        <v>-3.3798814973167168</v>
      </c>
      <c r="J29" s="21">
        <f t="shared" si="4"/>
        <v>0.38498629725835581</v>
      </c>
      <c r="K29" s="16"/>
    </row>
    <row r="30" spans="1:11">
      <c r="A30" s="14"/>
      <c r="B30" s="9" t="str">
        <f>+[17]Tek_media!A18</f>
        <v>Meta</v>
      </c>
      <c r="C30" s="21">
        <f>[17]Tek_media!B18/1000000</f>
        <v>14.306285770000001</v>
      </c>
      <c r="D30" s="21">
        <f>[17]Tek_media!C18/1000000</f>
        <v>8.7797448699999912</v>
      </c>
      <c r="E30" s="21">
        <f t="shared" si="1"/>
        <v>-38.630158720784515</v>
      </c>
      <c r="F30" s="21">
        <f t="shared" si="2"/>
        <v>0.14059447052054083</v>
      </c>
      <c r="G30" s="21">
        <f>[17]Tek_media!D18/1000000</f>
        <v>4.5448696900000005</v>
      </c>
      <c r="H30" s="21">
        <f>[17]Tek_media!E18/1000000</f>
        <v>2.0539972400000002</v>
      </c>
      <c r="I30" s="21">
        <f t="shared" si="3"/>
        <v>-54.806245720985679</v>
      </c>
      <c r="J30" s="21">
        <f t="shared" si="4"/>
        <v>0.11484450136120034</v>
      </c>
      <c r="K30" s="16"/>
    </row>
    <row r="31" spans="1:11">
      <c r="A31" s="14"/>
      <c r="B31" s="9" t="str">
        <f>+[17]Tek_media!A19</f>
        <v>Córdoba</v>
      </c>
      <c r="C31" s="21">
        <f>[17]Tek_media!B19/1000000</f>
        <v>15.868038129999995</v>
      </c>
      <c r="D31" s="21">
        <f>[17]Tek_media!C19/1000000</f>
        <v>6.5824728800000001</v>
      </c>
      <c r="E31" s="21">
        <f t="shared" si="1"/>
        <v>-58.517412007252332</v>
      </c>
      <c r="F31" s="21">
        <f t="shared" si="2"/>
        <v>0.10540844899054799</v>
      </c>
      <c r="G31" s="21">
        <f>[17]Tek_media!D19/1000000</f>
        <v>1.7431020199999994</v>
      </c>
      <c r="H31" s="21">
        <f>[17]Tek_media!E19/1000000</f>
        <v>0.33850757000000009</v>
      </c>
      <c r="I31" s="21">
        <f t="shared" si="3"/>
        <v>-80.580163058958519</v>
      </c>
      <c r="J31" s="21">
        <f t="shared" si="4"/>
        <v>1.8926867245275182E-2</v>
      </c>
      <c r="K31" s="16"/>
    </row>
    <row r="32" spans="1:11">
      <c r="A32" s="14"/>
      <c r="B32" s="9" t="str">
        <f>+[17]Tek_media!A20</f>
        <v>Quindío</v>
      </c>
      <c r="C32" s="21">
        <f>[17]Tek_media!B20/1000000</f>
        <v>7.8897373299999876</v>
      </c>
      <c r="D32" s="21">
        <f>[17]Tek_media!C20/1000000</f>
        <v>6.2461432400000021</v>
      </c>
      <c r="E32" s="21">
        <f t="shared" si="1"/>
        <v>-20.832050818097237</v>
      </c>
      <c r="F32" s="21">
        <f t="shared" si="2"/>
        <v>0.10002263330269831</v>
      </c>
      <c r="G32" s="21">
        <f>[17]Tek_media!D20/1000000</f>
        <v>0.57909901999999991</v>
      </c>
      <c r="H32" s="21">
        <f>[17]Tek_media!E20/1000000</f>
        <v>1.2761177500000001</v>
      </c>
      <c r="I32" s="21">
        <f t="shared" si="3"/>
        <v>120.36261605139656</v>
      </c>
      <c r="J32" s="21">
        <f t="shared" si="4"/>
        <v>7.1351170207476472E-2</v>
      </c>
      <c r="K32" s="16"/>
    </row>
    <row r="33" spans="1:13">
      <c r="A33" s="14"/>
      <c r="B33" s="9" t="str">
        <f>+[17]Tek_media!A21</f>
        <v>Nariño</v>
      </c>
      <c r="C33" s="21">
        <f>[17]Tek_media!B21/1000000</f>
        <v>28.139315430000003</v>
      </c>
      <c r="D33" s="21">
        <f>[17]Tek_media!C21/1000000</f>
        <v>5.9650408000000015</v>
      </c>
      <c r="E33" s="21">
        <f t="shared" si="1"/>
        <v>-78.801755803765829</v>
      </c>
      <c r="F33" s="21">
        <f t="shared" si="2"/>
        <v>9.5521198545878053E-2</v>
      </c>
      <c r="G33" s="21">
        <f>[17]Tek_media!D21/1000000</f>
        <v>1.9096030299999998</v>
      </c>
      <c r="H33" s="21">
        <f>[17]Tek_media!E21/1000000</f>
        <v>3.0033655500000003</v>
      </c>
      <c r="I33" s="21">
        <f t="shared" si="3"/>
        <v>57.276957714085761</v>
      </c>
      <c r="J33" s="21">
        <f t="shared" si="4"/>
        <v>0.1679262329462318</v>
      </c>
      <c r="K33" s="16"/>
    </row>
    <row r="34" spans="1:13">
      <c r="A34" s="14"/>
      <c r="B34" s="9" t="str">
        <f>+[17]Tek_media!A22</f>
        <v>Huila</v>
      </c>
      <c r="C34" s="21">
        <f>[17]Tek_media!B22/1000000</f>
        <v>11.816794069999998</v>
      </c>
      <c r="D34" s="21">
        <f>[17]Tek_media!C22/1000000</f>
        <v>5.3703361500000009</v>
      </c>
      <c r="E34" s="21">
        <f t="shared" si="1"/>
        <v>-54.55335755038675</v>
      </c>
      <c r="F34" s="21">
        <f t="shared" si="2"/>
        <v>8.5997893868933181E-2</v>
      </c>
      <c r="G34" s="21">
        <f>[17]Tek_media!D22/1000000</f>
        <v>3.2987229400000024</v>
      </c>
      <c r="H34" s="21">
        <f>[17]Tek_media!E22/1000000</f>
        <v>0.81246232999999979</v>
      </c>
      <c r="I34" s="21">
        <f t="shared" si="3"/>
        <v>-75.370398036520186</v>
      </c>
      <c r="J34" s="21">
        <f t="shared" si="4"/>
        <v>4.5426950604670217E-2</v>
      </c>
      <c r="K34" s="16"/>
    </row>
    <row r="35" spans="1:13">
      <c r="A35" s="14"/>
      <c r="B35" s="9" t="str">
        <f>+[17]Tek_media!A23</f>
        <v>Tolima</v>
      </c>
      <c r="C35" s="21">
        <f>[17]Tek_media!B23/1000000</f>
        <v>8.8508207200000033</v>
      </c>
      <c r="D35" s="21">
        <f>[17]Tek_media!C23/1000000</f>
        <v>4.1732715700000007</v>
      </c>
      <c r="E35" s="21">
        <f t="shared" si="1"/>
        <v>-52.848761690881929</v>
      </c>
      <c r="F35" s="21">
        <f t="shared" si="2"/>
        <v>6.6828696666054357E-2</v>
      </c>
      <c r="G35" s="21">
        <f>[17]Tek_media!D23/1000000</f>
        <v>3.4284903500000006</v>
      </c>
      <c r="H35" s="21">
        <f>[17]Tek_media!E23/1000000</f>
        <v>0.85396161999999975</v>
      </c>
      <c r="I35" s="21">
        <f t="shared" si="3"/>
        <v>-75.092197065685212</v>
      </c>
      <c r="J35" s="21">
        <f t="shared" si="4"/>
        <v>4.7747287348108999E-2</v>
      </c>
      <c r="K35" s="16"/>
    </row>
    <row r="36" spans="1:13">
      <c r="A36" s="14"/>
      <c r="B36" s="9" t="str">
        <f>+[17]Tek_media!A24</f>
        <v>Aráuca</v>
      </c>
      <c r="C36" s="21">
        <f>[17]Tek_media!B24/1000000</f>
        <v>1.9578985099999997</v>
      </c>
      <c r="D36" s="21">
        <f>[17]Tek_media!C24/1000000</f>
        <v>2.9555470100000005</v>
      </c>
      <c r="E36" s="21">
        <f t="shared" si="1"/>
        <v>50.955067124495692</v>
      </c>
      <c r="F36" s="21">
        <f t="shared" si="2"/>
        <v>4.7328660812158439E-2</v>
      </c>
      <c r="G36" s="21">
        <f>[17]Tek_media!D24/1000000</f>
        <v>1.04557586</v>
      </c>
      <c r="H36" s="21">
        <f>[17]Tek_media!E24/1000000</f>
        <v>1.1878103699999998</v>
      </c>
      <c r="I36" s="21">
        <f t="shared" si="3"/>
        <v>13.603461541279248</v>
      </c>
      <c r="J36" s="21">
        <f t="shared" si="4"/>
        <v>6.6413667456686962E-2</v>
      </c>
      <c r="K36" s="16"/>
    </row>
    <row r="37" spans="1:13">
      <c r="A37" s="14"/>
      <c r="B37" s="9" t="str">
        <f>+[17]Tek_media!A25</f>
        <v>Sucre</v>
      </c>
      <c r="C37" s="21">
        <f>[17]Tek_media!B25/1000000</f>
        <v>1.2365834899999999</v>
      </c>
      <c r="D37" s="21">
        <f>[17]Tek_media!C25/1000000</f>
        <v>1.1231536799999997</v>
      </c>
      <c r="E37" s="21">
        <f t="shared" si="1"/>
        <v>-9.1728387866475742</v>
      </c>
      <c r="F37" s="21">
        <f t="shared" si="2"/>
        <v>1.7985624786474811E-2</v>
      </c>
      <c r="G37" s="21">
        <f>[17]Tek_media!D25/1000000</f>
        <v>8.4054000000000004E-2</v>
      </c>
      <c r="H37" s="21">
        <f>[17]Tek_media!E25/1000000</f>
        <v>0.31330382999999995</v>
      </c>
      <c r="I37" s="21">
        <f t="shared" si="3"/>
        <v>272.7411307016917</v>
      </c>
      <c r="J37" s="21">
        <f t="shared" si="4"/>
        <v>1.7517658461363984E-2</v>
      </c>
      <c r="K37" s="16"/>
    </row>
    <row r="38" spans="1:13">
      <c r="A38" s="14"/>
      <c r="B38" s="9" t="str">
        <f>+[17]Tek_media!A26</f>
        <v>Chocó</v>
      </c>
      <c r="C38" s="21">
        <f>[17]Tek_media!B26/1000000</f>
        <v>5.1394869999999995E-2</v>
      </c>
      <c r="D38" s="21">
        <f>[17]Tek_media!C26/1000000</f>
        <v>0.87851072000000008</v>
      </c>
      <c r="E38" s="21">
        <f t="shared" si="1"/>
        <v>1609.3354258897825</v>
      </c>
      <c r="F38" s="21">
        <f t="shared" si="2"/>
        <v>1.4068034020790316E-2</v>
      </c>
      <c r="G38" s="21">
        <f>[17]Tek_media!D26/1000000</f>
        <v>0</v>
      </c>
      <c r="H38" s="21">
        <f>[17]Tek_media!E26/1000000</f>
        <v>0</v>
      </c>
      <c r="I38" s="21" t="str">
        <f t="shared" si="3"/>
        <v/>
      </c>
      <c r="J38" s="21">
        <f t="shared" si="4"/>
        <v>0</v>
      </c>
      <c r="K38" s="16"/>
    </row>
    <row r="39" spans="1:13">
      <c r="A39" s="14"/>
      <c r="B39" s="9" t="str">
        <f>+[17]Tek_media!A27</f>
        <v>Guaviare</v>
      </c>
      <c r="C39" s="21">
        <f>[17]Tek_media!B27/1000000</f>
        <v>0</v>
      </c>
      <c r="D39" s="21">
        <f>[17]Tek_media!C27/1000000</f>
        <v>0.33512905999999998</v>
      </c>
      <c r="E39" s="21" t="str">
        <f t="shared" si="1"/>
        <v/>
      </c>
      <c r="F39" s="21">
        <f t="shared" si="2"/>
        <v>5.3665901964582482E-3</v>
      </c>
      <c r="G39" s="21">
        <f>[17]Tek_media!D27/1000000</f>
        <v>0</v>
      </c>
      <c r="H39" s="21">
        <f>[17]Tek_media!E27/1000000</f>
        <v>0.33512905999999998</v>
      </c>
      <c r="I39" s="21" t="str">
        <f t="shared" si="3"/>
        <v/>
      </c>
      <c r="J39" s="21">
        <f t="shared" si="4"/>
        <v>1.8737965678740531E-2</v>
      </c>
      <c r="K39" s="16"/>
    </row>
    <row r="40" spans="1:13">
      <c r="A40" s="14"/>
      <c r="B40" s="9" t="str">
        <f>+[17]Tek_media!A28</f>
        <v>San Andrés</v>
      </c>
      <c r="C40" s="21">
        <f>[17]Tek_media!B28/1000000</f>
        <v>0.12985134000000001</v>
      </c>
      <c r="D40" s="21">
        <f>[17]Tek_media!C28/1000000</f>
        <v>0.32873300999999999</v>
      </c>
      <c r="E40" s="21">
        <f t="shared" si="1"/>
        <v>153.16104554639173</v>
      </c>
      <c r="F40" s="21">
        <f t="shared" si="2"/>
        <v>5.2641670308095972E-3</v>
      </c>
      <c r="G40" s="21">
        <f>[17]Tek_media!D28/1000000</f>
        <v>0</v>
      </c>
      <c r="H40" s="21">
        <f>[17]Tek_media!E28/1000000</f>
        <v>0.32331031999999998</v>
      </c>
      <c r="I40" s="21" t="str">
        <f t="shared" si="3"/>
        <v/>
      </c>
      <c r="J40" s="21">
        <f t="shared" si="4"/>
        <v>1.8077148188052148E-2</v>
      </c>
      <c r="K40" s="16"/>
    </row>
    <row r="41" spans="1:13">
      <c r="A41" s="14"/>
      <c r="B41" s="9" t="str">
        <f>+[17]Tek_media!A29</f>
        <v>Vichada</v>
      </c>
      <c r="C41" s="21">
        <f>[17]Tek_media!B29/1000000</f>
        <v>3.7614519999999999E-2</v>
      </c>
      <c r="D41" s="21">
        <f>[17]Tek_media!C29/1000000</f>
        <v>0.20537726999999995</v>
      </c>
      <c r="E41" s="21">
        <f t="shared" si="1"/>
        <v>446.00529263699224</v>
      </c>
      <c r="F41" s="21">
        <f t="shared" si="2"/>
        <v>3.2888095223892505E-3</v>
      </c>
      <c r="G41" s="21">
        <f>[17]Tek_media!D29/1000000</f>
        <v>0</v>
      </c>
      <c r="H41" s="21">
        <f>[17]Tek_media!E29/1000000</f>
        <v>3.4614279999999997E-2</v>
      </c>
      <c r="I41" s="21" t="str">
        <f t="shared" si="3"/>
        <v/>
      </c>
      <c r="J41" s="21">
        <f t="shared" si="4"/>
        <v>1.9353773457733414E-3</v>
      </c>
      <c r="K41" s="16"/>
    </row>
    <row r="42" spans="1:13">
      <c r="A42" s="14"/>
      <c r="B42" s="9" t="str">
        <f>+[17]Tek_media!A30</f>
        <v>Amazonas</v>
      </c>
      <c r="C42" s="21">
        <f>[17]Tek_media!B30/1000000</f>
        <v>0.24149424</v>
      </c>
      <c r="D42" s="21">
        <f>[17]Tek_media!C30/1000000</f>
        <v>0.14151135999999995</v>
      </c>
      <c r="E42" s="21">
        <f t="shared" si="1"/>
        <v>-41.401765938599631</v>
      </c>
      <c r="F42" s="21">
        <f t="shared" si="2"/>
        <v>2.266092583148336E-3</v>
      </c>
      <c r="G42" s="21">
        <f>[17]Tek_media!D30/1000000</f>
        <v>0.11848279000000002</v>
      </c>
      <c r="H42" s="21">
        <f>[17]Tek_media!E30/1000000</f>
        <v>3.2215010000000002E-2</v>
      </c>
      <c r="I42" s="21">
        <f t="shared" si="3"/>
        <v>-72.810388749285863</v>
      </c>
      <c r="J42" s="21">
        <f t="shared" si="4"/>
        <v>1.8012277172271577E-3</v>
      </c>
      <c r="K42" s="16"/>
    </row>
    <row r="43" spans="1:13">
      <c r="A43" s="14"/>
      <c r="B43" s="9" t="str">
        <f>+[17]Tek_media!A31</f>
        <v>Caquetá</v>
      </c>
      <c r="C43" s="21">
        <f>[17]Tek_media!B31/1000000</f>
        <v>7.6077299999999992E-3</v>
      </c>
      <c r="D43" s="21">
        <f>[17]Tek_media!C31/1000000</f>
        <v>1.8469340000000001E-2</v>
      </c>
      <c r="E43" s="21">
        <f t="shared" si="1"/>
        <v>142.7707082138825</v>
      </c>
      <c r="F43" s="21">
        <f t="shared" si="2"/>
        <v>2.9575883087862986E-4</v>
      </c>
      <c r="G43" s="21">
        <f>[17]Tek_media!D31/1000000</f>
        <v>0</v>
      </c>
      <c r="H43" s="21">
        <f>[17]Tek_media!E31/1000000</f>
        <v>1.4250270000000001E-2</v>
      </c>
      <c r="I43" s="21" t="str">
        <f t="shared" si="3"/>
        <v/>
      </c>
      <c r="J43" s="21">
        <f t="shared" si="4"/>
        <v>7.9677086246351145E-4</v>
      </c>
      <c r="K43" s="16"/>
    </row>
    <row r="44" spans="1:13">
      <c r="A44" s="14"/>
      <c r="B44" s="9" t="str">
        <f>+[17]Tek_media!A32</f>
        <v>Putumayo</v>
      </c>
      <c r="C44" s="21">
        <f>[17]Tek_media!B32/1000000</f>
        <v>2.0748437700000002</v>
      </c>
      <c r="D44" s="21">
        <f>[17]Tek_media!C32/1000000</f>
        <v>1.536936E-2</v>
      </c>
      <c r="E44" s="21">
        <f t="shared" ref="E44:E45" si="5">IF(OR(OR(D44=0,C44=0),D44=""),"",(D44/C44-1)*100)</f>
        <v>-99.259252179743626</v>
      </c>
      <c r="F44" s="21">
        <f t="shared" ref="F44:F45" si="6">(D44/D$13)*100</f>
        <v>2.461172919526512E-4</v>
      </c>
      <c r="G44" s="21">
        <f>[17]Tek_media!D32/1000000</f>
        <v>7.1359720000000001E-2</v>
      </c>
      <c r="H44" s="21">
        <f>[17]Tek_media!E32/1000000</f>
        <v>0</v>
      </c>
      <c r="I44" s="21" t="str">
        <f t="shared" ref="I44:I45" si="7">IF(OR(OR(H44=0,G44=0),H44=""),"",(H44/G44-1)*100)</f>
        <v/>
      </c>
      <c r="J44" s="21">
        <f t="shared" ref="J44:J45" si="8">(H44/H$13)*100</f>
        <v>0</v>
      </c>
      <c r="K44" s="16"/>
    </row>
    <row r="45" spans="1:13">
      <c r="A45" s="14"/>
      <c r="B45" s="9" t="str">
        <f>+[17]Tek_media!A33</f>
        <v>Vaupés</v>
      </c>
      <c r="C45" s="21">
        <f>[17]Tek_media!B33/1000000</f>
        <v>3.6927769999999999E-2</v>
      </c>
      <c r="D45" s="21">
        <f>[17]Tek_media!C33/1000000</f>
        <v>0</v>
      </c>
      <c r="E45" s="21" t="str">
        <f t="shared" si="5"/>
        <v/>
      </c>
      <c r="F45" s="21">
        <f t="shared" si="6"/>
        <v>0</v>
      </c>
      <c r="G45" s="21">
        <f>[17]Tek_media!D33/1000000</f>
        <v>3.6927769999999999E-2</v>
      </c>
      <c r="H45" s="21">
        <f>[17]Tek_media!E33/1000000</f>
        <v>0</v>
      </c>
      <c r="I45" s="21" t="str">
        <f t="shared" si="7"/>
        <v/>
      </c>
      <c r="J45" s="21">
        <f t="shared" si="8"/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tr">
        <f>IF(F46="","",1)</f>
        <v/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1" t="s">
        <v>68</v>
      </c>
      <c r="D7" s="121"/>
      <c r="E7" s="121"/>
      <c r="F7" s="121"/>
      <c r="G7" s="121"/>
      <c r="H7" s="121"/>
      <c r="I7" s="121"/>
      <c r="J7" s="121"/>
      <c r="K7" s="16"/>
    </row>
    <row r="8" spans="1:14">
      <c r="A8" s="14"/>
      <c r="B8" s="8"/>
      <c r="C8" s="121" t="s">
        <v>69</v>
      </c>
      <c r="D8" s="121"/>
      <c r="E8" s="121"/>
      <c r="F8" s="121"/>
      <c r="G8" s="121"/>
      <c r="H8" s="121"/>
      <c r="I8" s="121"/>
      <c r="J8" s="121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4" t="str">
        <f>+'Resumen importaciones totales'!$C$10:$D$10</f>
        <v>Año corrido a abril</v>
      </c>
      <c r="D10" s="124"/>
      <c r="E10" s="125" t="str">
        <f>+'Resumen importaciones totales'!E10:E11</f>
        <v>% Cambio   '13/'12</v>
      </c>
      <c r="F10" s="125" t="str">
        <f>+'Resumen importaciones totales'!F10:F11</f>
        <v>% del total '13</v>
      </c>
      <c r="G10" s="126" t="str">
        <f>+'Resumen importaciones totales'!G10:$H$10</f>
        <v>Abril</v>
      </c>
      <c r="H10" s="126"/>
      <c r="I10" s="125" t="str">
        <f>+E10</f>
        <v>% Cambio   '13/'12</v>
      </c>
      <c r="J10" s="125" t="str">
        <f>+F10</f>
        <v>% del total '13</v>
      </c>
      <c r="K10" s="16"/>
    </row>
    <row r="11" spans="1:14">
      <c r="A11" s="14"/>
      <c r="B11" s="9"/>
      <c r="C11" s="115">
        <f>+'Resumen importaciones totales'!C11</f>
        <v>2012</v>
      </c>
      <c r="D11" s="115">
        <f>+'Resumen importaciones totales'!D11</f>
        <v>2013</v>
      </c>
      <c r="E11" s="125"/>
      <c r="F11" s="125"/>
      <c r="G11" s="118">
        <f>+C11</f>
        <v>2012</v>
      </c>
      <c r="H11" s="118">
        <f>+D11</f>
        <v>2013</v>
      </c>
      <c r="I11" s="125"/>
      <c r="J11" s="125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f>SUM(C14:C44)</f>
        <v>3167.6712492499873</v>
      </c>
      <c r="D13" s="87">
        <f>SUM(D14:D44)</f>
        <v>4408.7076430299676</v>
      </c>
      <c r="E13" s="87">
        <f>IF(OR(OR(D13=0,C13=0),D13=""),"",(D13/C13-1)*100)</f>
        <v>39.178194204143544</v>
      </c>
      <c r="F13" s="87">
        <f>(D13/D$13)*100</f>
        <v>100</v>
      </c>
      <c r="G13" s="87">
        <f t="shared" ref="G13:H13" si="0">SUM(G14:G44)</f>
        <v>846.58214966999685</v>
      </c>
      <c r="H13" s="87">
        <f t="shared" si="0"/>
        <v>1124.0042278399944</v>
      </c>
      <c r="I13" s="87">
        <f>IF(OR(OR(H13=0,G13=0),H13=""),"",(H13/G13-1)*100)</f>
        <v>32.769658358393031</v>
      </c>
      <c r="J13" s="87">
        <f>(H13/H$13)*100</f>
        <v>100</v>
      </c>
      <c r="K13" s="16"/>
    </row>
    <row r="14" spans="1:14">
      <c r="A14" s="14"/>
      <c r="B14" s="10" t="str">
        <f>+[17]Alta_tek!A2</f>
        <v>Bogotá</v>
      </c>
      <c r="C14" s="24">
        <f>[17]Alta_tek!B2/1000000</f>
        <v>2343.3717035999853</v>
      </c>
      <c r="D14" s="24">
        <f>[17]Alta_tek!C2/1000000</f>
        <v>3306.586737939966</v>
      </c>
      <c r="E14" s="24">
        <f>IF(OR(OR(D14=0,C14=0),D14=""),"",(D14/C14-1)*100)</f>
        <v>41.103809219009065</v>
      </c>
      <c r="F14" s="24">
        <f>(D14/D$13)*100</f>
        <v>75.001270342059968</v>
      </c>
      <c r="G14" s="24">
        <f>[17]Alta_tek!D2/1000000</f>
        <v>605.98032710999678</v>
      </c>
      <c r="H14" s="24">
        <f>[17]Alta_tek!E2/1000000</f>
        <v>863.91874282999504</v>
      </c>
      <c r="I14" s="24">
        <f>IF(OR(OR(H14=0,G14=0),H14=""),"",(H14/G14-1)*100)</f>
        <v>42.565476828289441</v>
      </c>
      <c r="J14" s="24">
        <f>(H14/H$13)*100</f>
        <v>76.8608090104957</v>
      </c>
      <c r="K14" s="16"/>
    </row>
    <row r="15" spans="1:14">
      <c r="A15" s="14"/>
      <c r="B15" s="9" t="str">
        <f>+[17]Alta_tek!A3</f>
        <v>Cundinamarca</v>
      </c>
      <c r="C15" s="21">
        <f>[17]Alta_tek!B3/1000000</f>
        <v>324.70044706000039</v>
      </c>
      <c r="D15" s="21">
        <f>[17]Alta_tek!C3/1000000</f>
        <v>428.94387589000036</v>
      </c>
      <c r="E15" s="21">
        <f t="shared" ref="E15:E42" si="1">IF(OR(OR(D15=0,C15=0),D15=""),"",(D15/C15-1)*100)</f>
        <v>32.104491932139887</v>
      </c>
      <c r="F15" s="21">
        <f t="shared" ref="F15:F42" si="2">(D15/D$13)*100</f>
        <v>9.7294697362876299</v>
      </c>
      <c r="G15" s="21">
        <f>[17]Alta_tek!D3/1000000</f>
        <v>120.63668108999991</v>
      </c>
      <c r="H15" s="21">
        <f>[17]Alta_tek!E3/1000000</f>
        <v>129.46118172999988</v>
      </c>
      <c r="I15" s="21">
        <f t="shared" ref="I15:I42" si="3">IF(OR(OR(H15=0,G15=0),H15=""),"",(H15/G15-1)*100)</f>
        <v>7.3149398344410033</v>
      </c>
      <c r="J15" s="21">
        <f t="shared" ref="J15:J42" si="4">(H15/H$13)*100</f>
        <v>11.517855406895238</v>
      </c>
      <c r="K15" s="16"/>
    </row>
    <row r="16" spans="1:14">
      <c r="A16" s="14"/>
      <c r="B16" s="9" t="str">
        <f>+[17]Alta_tek!A4</f>
        <v>Antioquia</v>
      </c>
      <c r="C16" s="21">
        <f>[17]Alta_tek!B4/1000000</f>
        <v>168.68488362000039</v>
      </c>
      <c r="D16" s="21">
        <f>[17]Alta_tek!C4/1000000</f>
        <v>395.51492209000145</v>
      </c>
      <c r="E16" s="21">
        <f t="shared" si="1"/>
        <v>134.46968904515791</v>
      </c>
      <c r="F16" s="21">
        <f t="shared" si="2"/>
        <v>8.9712213672253469</v>
      </c>
      <c r="G16" s="21">
        <f>[17]Alta_tek!D4/1000000</f>
        <v>32.710749889999995</v>
      </c>
      <c r="H16" s="21">
        <f>[17]Alta_tek!E4/1000000</f>
        <v>50.436405129999898</v>
      </c>
      <c r="I16" s="21">
        <f t="shared" si="3"/>
        <v>54.189082486974137</v>
      </c>
      <c r="J16" s="21">
        <f t="shared" si="4"/>
        <v>4.4872077774052359</v>
      </c>
      <c r="K16" s="16"/>
    </row>
    <row r="17" spans="1:11">
      <c r="A17" s="14"/>
      <c r="B17" s="9" t="str">
        <f>+[17]Alta_tek!A5</f>
        <v>Valle del Cauca</v>
      </c>
      <c r="C17" s="21">
        <f>[17]Alta_tek!B5/1000000</f>
        <v>139.2736429600001</v>
      </c>
      <c r="D17" s="21">
        <f>[17]Alta_tek!C5/1000000</f>
        <v>110.5081492599998</v>
      </c>
      <c r="E17" s="21">
        <f t="shared" si="1"/>
        <v>-20.653939315899027</v>
      </c>
      <c r="F17" s="21">
        <f t="shared" si="2"/>
        <v>2.5065882840906863</v>
      </c>
      <c r="G17" s="21">
        <f>[17]Alta_tek!D5/1000000</f>
        <v>26.473219810000021</v>
      </c>
      <c r="H17" s="21">
        <f>[17]Alta_tek!E5/1000000</f>
        <v>32.820050699999996</v>
      </c>
      <c r="I17" s="21">
        <f t="shared" si="3"/>
        <v>23.97453326626524</v>
      </c>
      <c r="J17" s="21">
        <f t="shared" si="4"/>
        <v>2.9199223532344254</v>
      </c>
      <c r="K17" s="16"/>
    </row>
    <row r="18" spans="1:11">
      <c r="A18" s="14"/>
      <c r="B18" s="9" t="str">
        <f>+[17]Alta_tek!A6</f>
        <v>Atlántico</v>
      </c>
      <c r="C18" s="21">
        <f>[17]Alta_tek!B6/1000000</f>
        <v>48.54438481000016</v>
      </c>
      <c r="D18" s="21">
        <f>[17]Alta_tek!C6/1000000</f>
        <v>47.946531169999858</v>
      </c>
      <c r="E18" s="21">
        <f t="shared" si="1"/>
        <v>-1.2315608537223577</v>
      </c>
      <c r="F18" s="21">
        <f t="shared" si="2"/>
        <v>1.0875416346965503</v>
      </c>
      <c r="G18" s="21">
        <f>[17]Alta_tek!D6/1000000</f>
        <v>13.875935810000017</v>
      </c>
      <c r="H18" s="21">
        <f>[17]Alta_tek!E6/1000000</f>
        <v>13.100693760000009</v>
      </c>
      <c r="I18" s="21">
        <f t="shared" si="3"/>
        <v>-5.5869532737482963</v>
      </c>
      <c r="J18" s="21">
        <f t="shared" si="4"/>
        <v>1.1655377653850725</v>
      </c>
      <c r="K18" s="16"/>
    </row>
    <row r="19" spans="1:11">
      <c r="A19" s="14"/>
      <c r="B19" s="9" t="str">
        <f>+[17]Alta_tek!A7</f>
        <v>Santander</v>
      </c>
      <c r="C19" s="21">
        <f>[17]Alta_tek!B7/1000000</f>
        <v>41.568367819999942</v>
      </c>
      <c r="D19" s="21">
        <f>[17]Alta_tek!C7/1000000</f>
        <v>24.254010010000027</v>
      </c>
      <c r="E19" s="21">
        <f t="shared" si="1"/>
        <v>-41.652724699162704</v>
      </c>
      <c r="F19" s="21">
        <f t="shared" si="2"/>
        <v>0.55013877022090318</v>
      </c>
      <c r="G19" s="21">
        <f>[17]Alta_tek!D7/1000000</f>
        <v>12.961797909999996</v>
      </c>
      <c r="H19" s="21">
        <f>[17]Alta_tek!E7/1000000</f>
        <v>7.630834939999998</v>
      </c>
      <c r="I19" s="21">
        <f t="shared" si="3"/>
        <v>-41.128267907086965</v>
      </c>
      <c r="J19" s="21">
        <f t="shared" si="4"/>
        <v>0.67889735207350765</v>
      </c>
      <c r="K19" s="16"/>
    </row>
    <row r="20" spans="1:11">
      <c r="A20" s="14"/>
      <c r="B20" s="9" t="str">
        <f>+[17]Alta_tek!A8</f>
        <v>Cesar</v>
      </c>
      <c r="C20" s="21">
        <f>[17]Alta_tek!B8/1000000</f>
        <v>5.3013210799999975</v>
      </c>
      <c r="D20" s="21">
        <f>[17]Alta_tek!C8/1000000</f>
        <v>17.343034200000005</v>
      </c>
      <c r="E20" s="21">
        <f t="shared" si="1"/>
        <v>227.14551596259875</v>
      </c>
      <c r="F20" s="21">
        <f t="shared" si="2"/>
        <v>0.39338136261810902</v>
      </c>
      <c r="G20" s="21">
        <f>[17]Alta_tek!D8/1000000</f>
        <v>1.2992508099999991</v>
      </c>
      <c r="H20" s="21">
        <f>[17]Alta_tek!E8/1000000</f>
        <v>1.80380261</v>
      </c>
      <c r="I20" s="21">
        <f t="shared" si="3"/>
        <v>38.834056990120416</v>
      </c>
      <c r="J20" s="21">
        <f t="shared" si="4"/>
        <v>0.16048005561921935</v>
      </c>
      <c r="K20" s="16"/>
    </row>
    <row r="21" spans="1:11">
      <c r="A21" s="14"/>
      <c r="B21" s="9" t="str">
        <f>+[17]Alta_tek!A9</f>
        <v>Guajira</v>
      </c>
      <c r="C21" s="21">
        <f>[17]Alta_tek!B9/1000000</f>
        <v>12.394667690000004</v>
      </c>
      <c r="D21" s="21">
        <f>[17]Alta_tek!C9/1000000</f>
        <v>14.750818270000009</v>
      </c>
      <c r="E21" s="21">
        <f t="shared" si="1"/>
        <v>19.009388867286404</v>
      </c>
      <c r="F21" s="21">
        <f t="shared" si="2"/>
        <v>0.33458372530826813</v>
      </c>
      <c r="G21" s="21">
        <f>[17]Alta_tek!D9/1000000</f>
        <v>4.0602346999999996</v>
      </c>
      <c r="H21" s="21">
        <f>[17]Alta_tek!E9/1000000</f>
        <v>3.7184490999999982</v>
      </c>
      <c r="I21" s="21">
        <f t="shared" si="3"/>
        <v>-8.4178779123285974</v>
      </c>
      <c r="J21" s="21">
        <f t="shared" si="4"/>
        <v>0.33082162930523523</v>
      </c>
      <c r="K21" s="16"/>
    </row>
    <row r="22" spans="1:11">
      <c r="A22" s="14"/>
      <c r="B22" s="9" t="str">
        <f>+[17]Alta_tek!A10</f>
        <v>Bolívar</v>
      </c>
      <c r="C22" s="21">
        <f>[17]Alta_tek!B10/1000000</f>
        <v>17.313016680000029</v>
      </c>
      <c r="D22" s="21">
        <f>[17]Alta_tek!C10/1000000</f>
        <v>14.607827270000023</v>
      </c>
      <c r="E22" s="21">
        <f t="shared" si="1"/>
        <v>-15.625176478487635</v>
      </c>
      <c r="F22" s="21">
        <f t="shared" si="2"/>
        <v>0.33134034852808969</v>
      </c>
      <c r="G22" s="21">
        <f>[17]Alta_tek!D10/1000000</f>
        <v>5.9121488100000024</v>
      </c>
      <c r="H22" s="21">
        <f>[17]Alta_tek!E10/1000000</f>
        <v>4.0456264799999992</v>
      </c>
      <c r="I22" s="21">
        <f t="shared" si="3"/>
        <v>-31.570963282299424</v>
      </c>
      <c r="J22" s="21">
        <f t="shared" si="4"/>
        <v>0.35992982764615605</v>
      </c>
      <c r="K22" s="16"/>
    </row>
    <row r="23" spans="1:11">
      <c r="A23" s="14"/>
      <c r="B23" s="9" t="str">
        <f>+[17]Alta_tek!A11</f>
        <v>Risaralda</v>
      </c>
      <c r="C23" s="21">
        <f>[17]Alta_tek!B11/1000000</f>
        <v>21.829407590000031</v>
      </c>
      <c r="D23" s="21">
        <f>[17]Alta_tek!C11/1000000</f>
        <v>13.233246679999967</v>
      </c>
      <c r="E23" s="21">
        <f t="shared" si="1"/>
        <v>-39.378809867190043</v>
      </c>
      <c r="F23" s="21">
        <f t="shared" si="2"/>
        <v>0.30016158365414242</v>
      </c>
      <c r="G23" s="21">
        <f>[17]Alta_tek!D11/1000000</f>
        <v>8.6334441699999935</v>
      </c>
      <c r="H23" s="21">
        <f>[17]Alta_tek!E11/1000000</f>
        <v>4.0751872299999992</v>
      </c>
      <c r="I23" s="21">
        <f t="shared" si="3"/>
        <v>-52.797665106114856</v>
      </c>
      <c r="J23" s="21">
        <f t="shared" si="4"/>
        <v>0.36255977771821291</v>
      </c>
      <c r="K23" s="16"/>
    </row>
    <row r="24" spans="1:11">
      <c r="A24" s="14"/>
      <c r="B24" s="9" t="str">
        <f>+[17]Alta_tek!A12</f>
        <v>Boyacá</v>
      </c>
      <c r="C24" s="21">
        <f>[17]Alta_tek!B12/1000000</f>
        <v>2.6986461400000001</v>
      </c>
      <c r="D24" s="21">
        <f>[17]Alta_tek!C12/1000000</f>
        <v>6.6619252700000002</v>
      </c>
      <c r="E24" s="21">
        <f t="shared" si="1"/>
        <v>146.86175676222595</v>
      </c>
      <c r="F24" s="21">
        <f t="shared" si="2"/>
        <v>0.15110834760232517</v>
      </c>
      <c r="G24" s="21">
        <f>[17]Alta_tek!D12/1000000</f>
        <v>0.36680535000000014</v>
      </c>
      <c r="H24" s="21">
        <f>[17]Alta_tek!E12/1000000</f>
        <v>4.5719185699999993</v>
      </c>
      <c r="I24" s="21">
        <f t="shared" si="3"/>
        <v>1146.4154544092657</v>
      </c>
      <c r="J24" s="21">
        <f t="shared" si="4"/>
        <v>0.40675279120487667</v>
      </c>
      <c r="K24" s="16"/>
    </row>
    <row r="25" spans="1:11">
      <c r="A25" s="14"/>
      <c r="B25" s="9" t="str">
        <f>+[17]Alta_tek!A13</f>
        <v>Huila</v>
      </c>
      <c r="C25" s="21">
        <f>[17]Alta_tek!B13/1000000</f>
        <v>0.51528575999999993</v>
      </c>
      <c r="D25" s="21">
        <f>[17]Alta_tek!C13/1000000</f>
        <v>6.2379123899999991</v>
      </c>
      <c r="E25" s="21">
        <f t="shared" si="1"/>
        <v>1110.5734088207678</v>
      </c>
      <c r="F25" s="21">
        <f t="shared" si="2"/>
        <v>0.14149072460864917</v>
      </c>
      <c r="G25" s="21">
        <f>[17]Alta_tek!D13/1000000</f>
        <v>4.8678449999999998E-2</v>
      </c>
      <c r="H25" s="21">
        <f>[17]Alta_tek!E13/1000000</f>
        <v>1.2587330299999999</v>
      </c>
      <c r="I25" s="21">
        <f t="shared" si="3"/>
        <v>2485.8116476592822</v>
      </c>
      <c r="J25" s="21">
        <f t="shared" si="4"/>
        <v>0.11198650314856151</v>
      </c>
      <c r="K25" s="16"/>
    </row>
    <row r="26" spans="1:11">
      <c r="A26" s="14"/>
      <c r="B26" s="9" t="str">
        <f>+[17]Alta_tek!A14</f>
        <v>Cauca</v>
      </c>
      <c r="C26" s="21">
        <f>[17]Alta_tek!B14/1000000</f>
        <v>11.111481670000003</v>
      </c>
      <c r="D26" s="21">
        <f>[17]Alta_tek!C14/1000000</f>
        <v>5.942215079999996</v>
      </c>
      <c r="E26" s="21">
        <f t="shared" si="1"/>
        <v>-46.521847792419621</v>
      </c>
      <c r="F26" s="21">
        <f t="shared" si="2"/>
        <v>0.13478360465553793</v>
      </c>
      <c r="G26" s="21">
        <f>[17]Alta_tek!D14/1000000</f>
        <v>0.68536549000000002</v>
      </c>
      <c r="H26" s="21">
        <f>[17]Alta_tek!E14/1000000</f>
        <v>1.2630001299999993</v>
      </c>
      <c r="I26" s="21">
        <f t="shared" si="3"/>
        <v>84.281255538559336</v>
      </c>
      <c r="J26" s="21">
        <f t="shared" si="4"/>
        <v>0.11236613695191468</v>
      </c>
      <c r="K26" s="16"/>
    </row>
    <row r="27" spans="1:11">
      <c r="A27" s="14"/>
      <c r="B27" s="9" t="str">
        <f>+[17]Alta_tek!A15</f>
        <v>Caldas</v>
      </c>
      <c r="C27" s="21">
        <f>[17]Alta_tek!B15/1000000</f>
        <v>3.769367109999997</v>
      </c>
      <c r="D27" s="21">
        <f>[17]Alta_tek!C15/1000000</f>
        <v>3.5941854999999996</v>
      </c>
      <c r="E27" s="21">
        <f t="shared" si="1"/>
        <v>-4.6475072575246639</v>
      </c>
      <c r="F27" s="21">
        <f t="shared" si="2"/>
        <v>8.1524695920408716E-2</v>
      </c>
      <c r="G27" s="21">
        <f>[17]Alta_tek!D15/1000000</f>
        <v>1.0296689099999996</v>
      </c>
      <c r="H27" s="21">
        <f>[17]Alta_tek!E15/1000000</f>
        <v>1.1033151200000006</v>
      </c>
      <c r="I27" s="21">
        <f t="shared" si="3"/>
        <v>7.1524165957386421</v>
      </c>
      <c r="J27" s="21">
        <f t="shared" si="4"/>
        <v>9.8159338966210818E-2</v>
      </c>
      <c r="K27" s="16"/>
    </row>
    <row r="28" spans="1:11">
      <c r="A28" s="14"/>
      <c r="B28" s="9" t="str">
        <f>+[17]Alta_tek!A16</f>
        <v>Casanare</v>
      </c>
      <c r="C28" s="21">
        <f>[17]Alta_tek!B16/1000000</f>
        <v>17.067013930000009</v>
      </c>
      <c r="D28" s="21">
        <f>[17]Alta_tek!C16/1000000</f>
        <v>3.4238652199999997</v>
      </c>
      <c r="E28" s="21">
        <f t="shared" si="1"/>
        <v>-79.938697923122874</v>
      </c>
      <c r="F28" s="21">
        <f t="shared" si="2"/>
        <v>7.7661425914984997E-2</v>
      </c>
      <c r="G28" s="21">
        <f>[17]Alta_tek!D16/1000000</f>
        <v>9.8572443600000028</v>
      </c>
      <c r="H28" s="21">
        <f>[17]Alta_tek!E16/1000000</f>
        <v>1.1893215100000003</v>
      </c>
      <c r="I28" s="21">
        <f t="shared" si="3"/>
        <v>-87.934543706492846</v>
      </c>
      <c r="J28" s="21">
        <f t="shared" si="4"/>
        <v>0.10581112424154547</v>
      </c>
      <c r="K28" s="16"/>
    </row>
    <row r="29" spans="1:11">
      <c r="A29" s="14"/>
      <c r="B29" s="9" t="str">
        <f>+[17]Alta_tek!A17</f>
        <v>Meta</v>
      </c>
      <c r="C29" s="21">
        <f>[17]Alta_tek!B17/1000000</f>
        <v>2.1368358199999995</v>
      </c>
      <c r="D29" s="21">
        <f>[17]Alta_tek!C17/1000000</f>
        <v>2.86271166</v>
      </c>
      <c r="E29" s="21">
        <f t="shared" si="1"/>
        <v>33.969658932430313</v>
      </c>
      <c r="F29" s="21">
        <f t="shared" si="2"/>
        <v>6.4933125346287354E-2</v>
      </c>
      <c r="G29" s="21">
        <f>[17]Alta_tek!D17/1000000</f>
        <v>0.15704626999999999</v>
      </c>
      <c r="H29" s="21">
        <f>[17]Alta_tek!E17/1000000</f>
        <v>1.7096509900000001</v>
      </c>
      <c r="I29" s="21">
        <f t="shared" si="3"/>
        <v>988.62884167831578</v>
      </c>
      <c r="J29" s="21">
        <f t="shared" si="4"/>
        <v>0.15210360847889751</v>
      </c>
      <c r="K29" s="16"/>
    </row>
    <row r="30" spans="1:11">
      <c r="A30" s="14"/>
      <c r="B30" s="9" t="str">
        <f>+[17]Alta_tek!A18</f>
        <v>Magdalena</v>
      </c>
      <c r="C30" s="21">
        <f>[17]Alta_tek!B18/1000000</f>
        <v>1.7184385599999998</v>
      </c>
      <c r="D30" s="21">
        <f>[17]Alta_tek!C18/1000000</f>
        <v>1.7164114500000001</v>
      </c>
      <c r="E30" s="21">
        <f t="shared" si="1"/>
        <v>-0.11796232039856802</v>
      </c>
      <c r="F30" s="21">
        <f t="shared" si="2"/>
        <v>3.893230372654885E-2</v>
      </c>
      <c r="G30" s="21">
        <f>[17]Alta_tek!D18/1000000</f>
        <v>0.24673186</v>
      </c>
      <c r="H30" s="21">
        <f>[17]Alta_tek!E18/1000000</f>
        <v>0.87754233999999998</v>
      </c>
      <c r="I30" s="21">
        <f t="shared" si="3"/>
        <v>255.66640643814705</v>
      </c>
      <c r="J30" s="21">
        <f t="shared" si="4"/>
        <v>7.8072868256588171E-2</v>
      </c>
      <c r="K30" s="16"/>
    </row>
    <row r="31" spans="1:11">
      <c r="A31" s="14"/>
      <c r="B31" s="9" t="str">
        <f>+[17]Alta_tek!A19</f>
        <v>Quindío</v>
      </c>
      <c r="C31" s="21">
        <f>[17]Alta_tek!B19/1000000</f>
        <v>0.88979345999999893</v>
      </c>
      <c r="D31" s="21">
        <f>[17]Alta_tek!C19/1000000</f>
        <v>0.88273127000000007</v>
      </c>
      <c r="E31" s="21">
        <f t="shared" si="1"/>
        <v>-0.79368868366360701</v>
      </c>
      <c r="F31" s="21">
        <f t="shared" si="2"/>
        <v>2.0022449694426243E-2</v>
      </c>
      <c r="G31" s="21">
        <f>[17]Alta_tek!D19/1000000</f>
        <v>0.30528987000000002</v>
      </c>
      <c r="H31" s="21">
        <f>[17]Alta_tek!E19/1000000</f>
        <v>4.4558529999999992E-2</v>
      </c>
      <c r="I31" s="21">
        <f t="shared" si="3"/>
        <v>-85.404517352639317</v>
      </c>
      <c r="J31" s="21">
        <f t="shared" si="4"/>
        <v>3.9642671171823242E-3</v>
      </c>
      <c r="K31" s="16"/>
    </row>
    <row r="32" spans="1:11">
      <c r="A32" s="14"/>
      <c r="B32" s="9" t="str">
        <f>+[17]Alta_tek!A20</f>
        <v>Córdoba</v>
      </c>
      <c r="C32" s="21">
        <f>[17]Alta_tek!B20/1000000</f>
        <v>0.90215153000000026</v>
      </c>
      <c r="D32" s="21">
        <f>[17]Alta_tek!C20/1000000</f>
        <v>0.83365803000000016</v>
      </c>
      <c r="E32" s="21">
        <f t="shared" si="1"/>
        <v>-7.5922389667731345</v>
      </c>
      <c r="F32" s="21">
        <f t="shared" si="2"/>
        <v>1.8909351617315519E-2</v>
      </c>
      <c r="G32" s="21">
        <f>[17]Alta_tek!D20/1000000</f>
        <v>0.20851055999999996</v>
      </c>
      <c r="H32" s="21">
        <f>[17]Alta_tek!E20/1000000</f>
        <v>0.21755853000000003</v>
      </c>
      <c r="I32" s="21">
        <f t="shared" si="3"/>
        <v>4.3393341804847108</v>
      </c>
      <c r="J32" s="21">
        <f t="shared" si="4"/>
        <v>1.935566829833759E-2</v>
      </c>
      <c r="K32" s="16"/>
    </row>
    <row r="33" spans="1:13">
      <c r="A33" s="14"/>
      <c r="B33" s="9" t="str">
        <f>+[17]Alta_tek!A21</f>
        <v>Norte de Santander</v>
      </c>
      <c r="C33" s="21">
        <f>[17]Alta_tek!B21/1000000</f>
        <v>1.9129311000000002</v>
      </c>
      <c r="D33" s="21">
        <f>[17]Alta_tek!C21/1000000</f>
        <v>0.80216504000000022</v>
      </c>
      <c r="E33" s="21">
        <f t="shared" si="1"/>
        <v>-58.066182310486766</v>
      </c>
      <c r="F33" s="21">
        <f t="shared" si="2"/>
        <v>1.819501552270536E-2</v>
      </c>
      <c r="G33" s="21">
        <f>[17]Alta_tek!D21/1000000</f>
        <v>0.53328916000000004</v>
      </c>
      <c r="H33" s="21">
        <f>[17]Alta_tek!E21/1000000</f>
        <v>0.16614518000000003</v>
      </c>
      <c r="I33" s="21">
        <f t="shared" si="3"/>
        <v>-68.845198353553627</v>
      </c>
      <c r="J33" s="21">
        <f t="shared" si="4"/>
        <v>1.4781544044481239E-2</v>
      </c>
      <c r="K33" s="16"/>
    </row>
    <row r="34" spans="1:13">
      <c r="A34" s="14"/>
      <c r="B34" s="9" t="str">
        <f>+[17]Alta_tek!A22</f>
        <v>Nariño</v>
      </c>
      <c r="C34" s="21">
        <f>[17]Alta_tek!B22/1000000</f>
        <v>0.83995101999999966</v>
      </c>
      <c r="D34" s="21">
        <f>[17]Alta_tek!C22/1000000</f>
        <v>0.72241761999999998</v>
      </c>
      <c r="E34" s="21">
        <f t="shared" si="1"/>
        <v>-13.992887347169326</v>
      </c>
      <c r="F34" s="21">
        <f t="shared" si="2"/>
        <v>1.6386153913882682E-2</v>
      </c>
      <c r="G34" s="21">
        <f>[17]Alta_tek!D22/1000000</f>
        <v>0.16147113999999999</v>
      </c>
      <c r="H34" s="21">
        <f>[17]Alta_tek!E22/1000000</f>
        <v>9.2021119999999998E-2</v>
      </c>
      <c r="I34" s="21">
        <f t="shared" si="3"/>
        <v>-43.010794374771855</v>
      </c>
      <c r="J34" s="21">
        <f t="shared" si="4"/>
        <v>8.1869015899377461E-3</v>
      </c>
      <c r="K34" s="16"/>
    </row>
    <row r="35" spans="1:13">
      <c r="A35" s="14"/>
      <c r="B35" s="9" t="str">
        <f>+[17]Alta_tek!A23</f>
        <v>Tolima</v>
      </c>
      <c r="C35" s="21">
        <f>[17]Alta_tek!B23/1000000</f>
        <v>0.64256500000000005</v>
      </c>
      <c r="D35" s="21">
        <f>[17]Alta_tek!C23/1000000</f>
        <v>0.59201224000000008</v>
      </c>
      <c r="E35" s="21">
        <f t="shared" si="1"/>
        <v>-7.8673379346836487</v>
      </c>
      <c r="F35" s="21">
        <f t="shared" si="2"/>
        <v>1.342824900027003E-2</v>
      </c>
      <c r="G35" s="21">
        <f>[17]Alta_tek!D23/1000000</f>
        <v>0.18706304999999995</v>
      </c>
      <c r="H35" s="21">
        <f>[17]Alta_tek!E23/1000000</f>
        <v>9.8616620000000002E-2</v>
      </c>
      <c r="I35" s="21">
        <f t="shared" si="3"/>
        <v>-47.281614407548666</v>
      </c>
      <c r="J35" s="21">
        <f t="shared" si="4"/>
        <v>8.7736876390146819E-3</v>
      </c>
      <c r="K35" s="16"/>
    </row>
    <row r="36" spans="1:13">
      <c r="A36" s="14"/>
      <c r="B36" s="9" t="str">
        <f>+[17]Alta_tek!A24</f>
        <v>Vaupés</v>
      </c>
      <c r="C36" s="21">
        <f>[17]Alta_tek!B24/1000000</f>
        <v>0</v>
      </c>
      <c r="D36" s="21">
        <f>[17]Alta_tek!C24/1000000</f>
        <v>0.29900378000000005</v>
      </c>
      <c r="E36" s="21" t="str">
        <f t="shared" si="1"/>
        <v/>
      </c>
      <c r="F36" s="21">
        <f t="shared" si="2"/>
        <v>6.7821185755584388E-3</v>
      </c>
      <c r="G36" s="21">
        <f>[17]Alta_tek!D24/1000000</f>
        <v>0</v>
      </c>
      <c r="H36" s="21">
        <f>[17]Alta_tek!E24/1000000</f>
        <v>0.29900378000000005</v>
      </c>
      <c r="I36" s="21" t="str">
        <f t="shared" si="3"/>
        <v/>
      </c>
      <c r="J36" s="21">
        <f t="shared" si="4"/>
        <v>2.6601659726369305E-2</v>
      </c>
      <c r="K36" s="16"/>
    </row>
    <row r="37" spans="1:13">
      <c r="A37" s="14"/>
      <c r="B37" s="9" t="str">
        <f>+[17]Alta_tek!A25</f>
        <v>Aráuca</v>
      </c>
      <c r="C37" s="21">
        <f>[17]Alta_tek!B25/1000000</f>
        <v>0.10204305999999999</v>
      </c>
      <c r="D37" s="21">
        <f>[17]Alta_tek!C25/1000000</f>
        <v>0.26080988999999999</v>
      </c>
      <c r="E37" s="21">
        <f t="shared" si="1"/>
        <v>155.58807232946563</v>
      </c>
      <c r="F37" s="21">
        <f t="shared" si="2"/>
        <v>5.9157900935511674E-3</v>
      </c>
      <c r="G37" s="21">
        <f>[17]Alta_tek!D25/1000000</f>
        <v>7.8044000000000002E-2</v>
      </c>
      <c r="H37" s="21">
        <f>[17]Alta_tek!E25/1000000</f>
        <v>8.1306799999999999E-2</v>
      </c>
      <c r="I37" s="21">
        <f t="shared" si="3"/>
        <v>4.1807185690123427</v>
      </c>
      <c r="J37" s="21">
        <f t="shared" si="4"/>
        <v>7.2336738587049408E-3</v>
      </c>
      <c r="K37" s="16"/>
    </row>
    <row r="38" spans="1:13">
      <c r="A38" s="14"/>
      <c r="B38" s="9" t="str">
        <f>+[17]Alta_tek!A26</f>
        <v>San Andrés</v>
      </c>
      <c r="C38" s="21">
        <f>[17]Alta_tek!B26/1000000</f>
        <v>7.8716420000000009E-2</v>
      </c>
      <c r="D38" s="21">
        <f>[17]Alta_tek!C26/1000000</f>
        <v>0.10989720000000001</v>
      </c>
      <c r="E38" s="21">
        <f t="shared" si="1"/>
        <v>39.611532130145143</v>
      </c>
      <c r="F38" s="21">
        <f t="shared" si="2"/>
        <v>2.4927304983296894E-3</v>
      </c>
      <c r="G38" s="21">
        <f>[17]Alta_tek!D26/1000000</f>
        <v>6.3492790000000007E-2</v>
      </c>
      <c r="H38" s="21">
        <f>[17]Alta_tek!E26/1000000</f>
        <v>0</v>
      </c>
      <c r="I38" s="21" t="str">
        <f t="shared" si="3"/>
        <v/>
      </c>
      <c r="J38" s="21">
        <f t="shared" si="4"/>
        <v>0</v>
      </c>
      <c r="K38" s="16"/>
    </row>
    <row r="39" spans="1:13">
      <c r="A39" s="14"/>
      <c r="B39" s="9" t="str">
        <f>+[17]Alta_tek!A27</f>
        <v>Sucre</v>
      </c>
      <c r="C39" s="21">
        <f>[17]Alta_tek!B27/1000000</f>
        <v>0.12384074</v>
      </c>
      <c r="D39" s="21">
        <f>[17]Alta_tek!C27/1000000</f>
        <v>6.0801819999999999E-2</v>
      </c>
      <c r="E39" s="21">
        <f t="shared" si="1"/>
        <v>-50.90321650209777</v>
      </c>
      <c r="F39" s="21">
        <f t="shared" si="2"/>
        <v>1.3791302332357154E-3</v>
      </c>
      <c r="G39" s="21">
        <f>[17]Alta_tek!D27/1000000</f>
        <v>4.0651729999999997E-2</v>
      </c>
      <c r="H39" s="21">
        <f>[17]Alta_tek!E27/1000000</f>
        <v>2.0561080000000002E-2</v>
      </c>
      <c r="I39" s="21">
        <f t="shared" si="3"/>
        <v>-49.421389938386376</v>
      </c>
      <c r="J39" s="21">
        <f t="shared" si="4"/>
        <v>1.8292706994094098E-3</v>
      </c>
      <c r="K39" s="16"/>
    </row>
    <row r="40" spans="1:13">
      <c r="A40" s="14"/>
      <c r="B40" s="9" t="str">
        <f>+[17]Alta_tek!A28</f>
        <v>Amazonas</v>
      </c>
      <c r="C40" s="21">
        <f>[17]Alta_tek!B28/1000000</f>
        <v>4.7522750000000002E-2</v>
      </c>
      <c r="D40" s="21">
        <f>[17]Alta_tek!C28/1000000</f>
        <v>6.8369799999999994E-3</v>
      </c>
      <c r="E40" s="21">
        <f t="shared" si="1"/>
        <v>-85.613248391559836</v>
      </c>
      <c r="F40" s="21">
        <f t="shared" si="2"/>
        <v>1.5507900622099667E-4</v>
      </c>
      <c r="G40" s="21">
        <f>[17]Alta_tek!D28/1000000</f>
        <v>0</v>
      </c>
      <c r="H40" s="21">
        <f>[17]Alta_tek!E28/1000000</f>
        <v>0</v>
      </c>
      <c r="I40" s="21" t="str">
        <f t="shared" si="3"/>
        <v/>
      </c>
      <c r="J40" s="21">
        <f t="shared" si="4"/>
        <v>0</v>
      </c>
      <c r="K40" s="16"/>
    </row>
    <row r="41" spans="1:13">
      <c r="A41" s="14"/>
      <c r="B41" s="9" t="str">
        <f>+[17]Alta_tek!A29</f>
        <v>Putumayo</v>
      </c>
      <c r="C41" s="21">
        <f>[17]Alta_tek!B29/1000000</f>
        <v>1.7502120000000003E-2</v>
      </c>
      <c r="D41" s="21">
        <f>[17]Alta_tek!C29/1000000</f>
        <v>6.381379999999999E-3</v>
      </c>
      <c r="E41" s="21">
        <f t="shared" si="1"/>
        <v>-63.53938837123733</v>
      </c>
      <c r="F41" s="21">
        <f t="shared" si="2"/>
        <v>1.4474491203989828E-4</v>
      </c>
      <c r="G41" s="21">
        <f>[17]Alta_tek!D29/1000000</f>
        <v>1.5681770000000001E-2</v>
      </c>
      <c r="H41" s="21">
        <f>[17]Alta_tek!E29/1000000</f>
        <v>0</v>
      </c>
      <c r="I41" s="21" t="str">
        <f t="shared" si="3"/>
        <v/>
      </c>
      <c r="J41" s="21">
        <f t="shared" si="4"/>
        <v>0</v>
      </c>
      <c r="K41" s="16"/>
    </row>
    <row r="42" spans="1:13">
      <c r="A42" s="14"/>
      <c r="B42" s="9" t="str">
        <f>+[17]Alta_tek!A30</f>
        <v>Vichada</v>
      </c>
      <c r="C42" s="21">
        <f>[17]Alta_tek!B30/1000000</f>
        <v>4.8041000000000002E-4</v>
      </c>
      <c r="D42" s="21">
        <f>[17]Alta_tek!C30/1000000</f>
        <v>2.2041300000000003E-3</v>
      </c>
      <c r="E42" s="21">
        <f t="shared" si="1"/>
        <v>358.80185674736163</v>
      </c>
      <c r="F42" s="21">
        <f t="shared" si="2"/>
        <v>4.9994923194434605E-5</v>
      </c>
      <c r="G42" s="21">
        <f>[17]Alta_tek!D30/1000000</f>
        <v>0</v>
      </c>
      <c r="H42" s="21">
        <f>[17]Alta_tek!E30/1000000</f>
        <v>0</v>
      </c>
      <c r="I42" s="21" t="str">
        <f t="shared" si="3"/>
        <v/>
      </c>
      <c r="J42" s="21">
        <f t="shared" si="4"/>
        <v>0</v>
      </c>
      <c r="K42" s="16"/>
    </row>
    <row r="43" spans="1:13">
      <c r="A43" s="14"/>
      <c r="B43" s="9" t="str">
        <f>+[17]Alta_tek!A31</f>
        <v>Chocó</v>
      </c>
      <c r="C43" s="21">
        <f>[17]Alta_tek!B31/1000000</f>
        <v>3.7476999999999996E-4</v>
      </c>
      <c r="D43" s="21">
        <f>[17]Alta_tek!C31/1000000</f>
        <v>3.4429999999999997E-4</v>
      </c>
      <c r="E43" s="21">
        <f t="shared" ref="E43" si="5">IF(OR(OR(D43=0,C43=0),D43=""),"",(D43/C43-1)*100)</f>
        <v>-8.1303199295567943</v>
      </c>
      <c r="F43" s="21">
        <f t="shared" ref="F43" si="6">(D43/D$13)*100</f>
        <v>7.8095448343989823E-6</v>
      </c>
      <c r="G43" s="21">
        <f>[17]Alta_tek!D31/1000000</f>
        <v>0</v>
      </c>
      <c r="H43" s="21">
        <f>[17]Alta_tek!E31/1000000</f>
        <v>0</v>
      </c>
      <c r="I43" s="21" t="str">
        <f t="shared" ref="I43" si="7">IF(OR(OR(H43=0,G43=0),H43=""),"",(H43/G43-1)*100)</f>
        <v/>
      </c>
      <c r="J43" s="21">
        <f t="shared" ref="J43" si="8">(H43/H$13)*100</f>
        <v>0</v>
      </c>
      <c r="K43" s="16"/>
    </row>
    <row r="44" spans="1:13">
      <c r="A44" s="14"/>
      <c r="B44" s="9" t="str">
        <f>+[17]Alta_tek!A32</f>
        <v>Caquetá</v>
      </c>
      <c r="C44" s="21">
        <f>[17]Alta_tek!B32/1000000</f>
        <v>0.11446497</v>
      </c>
      <c r="D44" s="21">
        <f>[17]Alta_tek!C32/1000000</f>
        <v>0</v>
      </c>
      <c r="E44" s="21" t="str">
        <f t="shared" ref="E44" si="9">IF(OR(OR(D44=0,C44=0),D44=""),"",(D44/C44-1)*100)</f>
        <v/>
      </c>
      <c r="F44" s="21">
        <f t="shared" ref="F44" si="10">(D44/D$13)*100</f>
        <v>0</v>
      </c>
      <c r="G44" s="21">
        <f>[17]Alta_tek!D32/1000000</f>
        <v>5.3324800000000006E-2</v>
      </c>
      <c r="H44" s="21">
        <f>[17]Alta_tek!E32/1000000</f>
        <v>0</v>
      </c>
      <c r="I44" s="21" t="str">
        <f t="shared" ref="I44" si="11">IF(OR(OR(H44=0,G44=0),H44=""),"",(H44/G44-1)*100)</f>
        <v/>
      </c>
      <c r="J44" s="21">
        <f t="shared" ref="J44" si="12">(H44/H$13)*100</f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tr">
        <f>IF(F45="","",1)</f>
        <v/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2013-07-02T01:25:51Z</cp:lastPrinted>
  <dcterms:created xsi:type="dcterms:W3CDTF">2009-04-02T15:53:30Z</dcterms:created>
  <dcterms:modified xsi:type="dcterms:W3CDTF">2013-07-02T01:44:11Z</dcterms:modified>
</cp:coreProperties>
</file>