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8.xml" ContentType="application/vnd.openxmlformats-officedocument.spreadsheetml.externalLink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1" r:id="rId17"/>
    <sheet name="Productos Alemania" sheetId="162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'[2]ipc indice 2'!$L$1:$L$311</definedName>
    <definedName name="ABR._89" localSheetId="38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34">'[2]ipc indice 2'!$L$1:$L$311</definedName>
    <definedName name="ABR._89" localSheetId="1">'[3]ipc indice 2'!$L$1:$L$311</definedName>
    <definedName name="ABR._89" localSheetId="33">'[2]ipc indice 2'!$L$1:$L$311</definedName>
    <definedName name="ABR._89" localSheetId="28">'[2]ipc indice 2'!$L$1:$L$311</definedName>
    <definedName name="ABR._89" localSheetId="26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9">'[2]ipc indice 2'!$L$1:$L$311</definedName>
    <definedName name="ABR._89" localSheetId="24">'[2]ipc indice 2'!$L$1:$L$311</definedName>
    <definedName name="ABR._89" localSheetId="27">'[2]ipc indice 2'!$L$1:$L$311</definedName>
    <definedName name="ABR._89" localSheetId="30">'[2]ipc indice 2'!$L$1:$L$311</definedName>
    <definedName name="ABR._89" localSheetId="23">'[2]ipc indice 2'!$L$1:$L$311</definedName>
    <definedName name="ABR._89" localSheetId="25">'[2]ipc indice 2'!$L$1:$L$311</definedName>
    <definedName name="ABR._89" localSheetId="22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6">'[2]ipc indice 2'!$L$1:$L$311</definedName>
    <definedName name="ABR._89" localSheetId="2">'[2]ipc indice 2'!$L$1:$L$311</definedName>
    <definedName name="ABR._89" localSheetId="20">'[2]ipc indice 2'!$L$1:$L$311</definedName>
    <definedName name="AGO._89" localSheetId="40">'[2]ipc indice 2'!$P$1:$P$311</definedName>
    <definedName name="AGO._89" localSheetId="38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34">'[2]ipc indice 2'!$P$1:$P$311</definedName>
    <definedName name="AGO._89" localSheetId="1">'[3]ipc indice 2'!$P$1:$P$311</definedName>
    <definedName name="AGO._89" localSheetId="33">'[2]ipc indice 2'!$P$1:$P$311</definedName>
    <definedName name="AGO._89" localSheetId="28">'[2]ipc indice 2'!$P$1:$P$311</definedName>
    <definedName name="AGO._89" localSheetId="26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9">'[2]ipc indice 2'!$P$1:$P$311</definedName>
    <definedName name="AGO._89" localSheetId="24">'[2]ipc indice 2'!$P$1:$P$311</definedName>
    <definedName name="AGO._89" localSheetId="27">'[2]ipc indice 2'!$P$1:$P$311</definedName>
    <definedName name="AGO._89" localSheetId="30">'[2]ipc indice 2'!$P$1:$P$311</definedName>
    <definedName name="AGO._89" localSheetId="23">'[2]ipc indice 2'!$P$1:$P$311</definedName>
    <definedName name="AGO._89" localSheetId="25">'[2]ipc indice 2'!$P$1:$P$311</definedName>
    <definedName name="AGO._89" localSheetId="22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6">'[2]ipc indice 2'!$P$1:$P$311</definedName>
    <definedName name="AGO._89" localSheetId="2">'[2]ipc indice 2'!$P$1:$P$311</definedName>
    <definedName name="AGO._89" localSheetId="20">'[2]ipc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tek'!$A$1:$K$46</definedName>
    <definedName name="_xlnm.Print_Area" localSheetId="35">'% impo bienes primarios'!$A$1:$K$44</definedName>
    <definedName name="_xlnm.Print_Area" localSheetId="36">'% impo manufacturas'!$A$1:$K$47</definedName>
    <definedName name="_xlnm.Print_Area" localSheetId="39">'% impo media tek'!$A$1:$K$46</definedName>
    <definedName name="_xlnm.Print_Area" localSheetId="37">'% impo rec naturales'!$A$1:$K$46</definedName>
    <definedName name="_xlnm.Print_Area" localSheetId="34">'% importaciones totales'!$A$1:$K$47</definedName>
    <definedName name="_xlnm.Print_Area" localSheetId="1">'Comparativa balanza países'!$A$1:$J$34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Índice!$A$1:$R$38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totales'!$A$1:$K$41</definedName>
    <definedName name="_xlnm.Print_Area" localSheetId="20">'Resumen subpartidas'!$A$1:$K$36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[4]BASE!#REF!</definedName>
    <definedName name="_xlnm.Database" localSheetId="33">[5]BASE!#REF!</definedName>
    <definedName name="_xlnm.Database" localSheetId="28">[5]BASE!#REF!</definedName>
    <definedName name="_xlnm.Database" localSheetId="26">[5]BASE!#REF!</definedName>
    <definedName name="_xlnm.Database" localSheetId="32">[5]BASE!#REF!</definedName>
    <definedName name="_xlnm.Database" localSheetId="31">[5]BASE!#REF!</definedName>
    <definedName name="_xlnm.Database" localSheetId="29">[5]BASE!#REF!</definedName>
    <definedName name="_xlnm.Database" localSheetId="24">[5]BASE!#REF!</definedName>
    <definedName name="_xlnm.Database" localSheetId="27">[5]BASE!#REF!</definedName>
    <definedName name="_xlnm.Database" localSheetId="30">[5]BASE!#REF!</definedName>
    <definedName name="_xlnm.Database" localSheetId="23">[5]BASE!#REF!</definedName>
    <definedName name="_xlnm.Database" localSheetId="25">[5]BASE!#REF!</definedName>
    <definedName name="_xlnm.Database" localSheetId="22">[5]BASE!#REF!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'[2]ipc indice 2'!$H$1:$H$311</definedName>
    <definedName name="DIC._88" localSheetId="38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34">'[2]ipc indice 2'!$H$1:$H$311</definedName>
    <definedName name="DIC._88" localSheetId="1">'[3]ipc indice 2'!$H$1:$H$311</definedName>
    <definedName name="DIC._88" localSheetId="33">'[2]ipc indice 2'!$H$1:$H$311</definedName>
    <definedName name="DIC._88" localSheetId="28">'[2]ipc indice 2'!$H$1:$H$311</definedName>
    <definedName name="DIC._88" localSheetId="26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9">'[2]ipc indice 2'!$H$1:$H$311</definedName>
    <definedName name="DIC._88" localSheetId="24">'[2]ipc indice 2'!$H$1:$H$311</definedName>
    <definedName name="DIC._88" localSheetId="27">'[2]ipc indice 2'!$H$1:$H$311</definedName>
    <definedName name="DIC._88" localSheetId="30">'[2]ipc indice 2'!$H$1:$H$311</definedName>
    <definedName name="DIC._88" localSheetId="23">'[2]ipc indice 2'!$H$1:$H$311</definedName>
    <definedName name="DIC._88" localSheetId="25">'[2]ipc indice 2'!$H$1:$H$311</definedName>
    <definedName name="DIC._88" localSheetId="22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6">'[2]ipc indice 2'!$H$1:$H$311</definedName>
    <definedName name="DIC._88" localSheetId="2">'[2]ipc indice 2'!$H$1:$H$311</definedName>
    <definedName name="DIC._88" localSheetId="20">'[2]ipc indice 2'!$H$1:$H$311</definedName>
    <definedName name="DIC._89" localSheetId="40">'[2]ipc indice 2'!$T$1:$T$311</definedName>
    <definedName name="DIC._89" localSheetId="38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34">'[2]ipc indice 2'!$T$1:$T$311</definedName>
    <definedName name="DIC._89" localSheetId="1">'[3]ipc indice 2'!$T$1:$T$311</definedName>
    <definedName name="DIC._89" localSheetId="33">'[2]ipc indice 2'!$T$1:$T$311</definedName>
    <definedName name="DIC._89" localSheetId="28">'[2]ipc indice 2'!$T$1:$T$311</definedName>
    <definedName name="DIC._89" localSheetId="26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9">'[2]ipc indice 2'!$T$1:$T$311</definedName>
    <definedName name="DIC._89" localSheetId="24">'[2]ipc indice 2'!$T$1:$T$311</definedName>
    <definedName name="DIC._89" localSheetId="27">'[2]ipc indice 2'!$T$1:$T$311</definedName>
    <definedName name="DIC._89" localSheetId="30">'[2]ipc indice 2'!$T$1:$T$311</definedName>
    <definedName name="DIC._89" localSheetId="23">'[2]ipc indice 2'!$T$1:$T$311</definedName>
    <definedName name="DIC._89" localSheetId="25">'[2]ipc indice 2'!$T$1:$T$311</definedName>
    <definedName name="DIC._89" localSheetId="22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6">'[2]ipc indice 2'!$T$1:$T$311</definedName>
    <definedName name="DIC._89" localSheetId="2">'[2]ipc indice 2'!$T$1:$T$311</definedName>
    <definedName name="DIC._89" localSheetId="20">'[2]ipc indice 2'!$T$1:$T$311</definedName>
    <definedName name="ENE._89" localSheetId="40">'[2]ipc indice 2'!$I$1:$I$311</definedName>
    <definedName name="ENE._89" localSheetId="38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34">'[2]ipc indice 2'!$I$1:$I$311</definedName>
    <definedName name="ENE._89" localSheetId="1">'[3]ipc indice 2'!$I$1:$I$311</definedName>
    <definedName name="ENE._89" localSheetId="33">'[2]ipc indice 2'!$I$1:$I$311</definedName>
    <definedName name="ENE._89" localSheetId="28">'[2]ipc indice 2'!$I$1:$I$311</definedName>
    <definedName name="ENE._89" localSheetId="26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9">'[2]ipc indice 2'!$I$1:$I$311</definedName>
    <definedName name="ENE._89" localSheetId="24">'[2]ipc indice 2'!$I$1:$I$311</definedName>
    <definedName name="ENE._89" localSheetId="27">'[2]ipc indice 2'!$I$1:$I$311</definedName>
    <definedName name="ENE._89" localSheetId="30">'[2]ipc indice 2'!$I$1:$I$311</definedName>
    <definedName name="ENE._89" localSheetId="23">'[2]ipc indice 2'!$I$1:$I$311</definedName>
    <definedName name="ENE._89" localSheetId="25">'[2]ipc indice 2'!$I$1:$I$311</definedName>
    <definedName name="ENE._89" localSheetId="22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6">'[2]ipc indice 2'!$I$1:$I$311</definedName>
    <definedName name="ENE._89" localSheetId="2">'[2]ipc indice 2'!$I$1:$I$311</definedName>
    <definedName name="ENE._89" localSheetId="20">'[2]ipc indice 2'!$I$1:$I$311</definedName>
    <definedName name="ENE._90" localSheetId="40">'[2]ipc indice 2'!$U$1:$U$311</definedName>
    <definedName name="ENE._90" localSheetId="38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34">'[2]ipc indice 2'!$U$1:$U$311</definedName>
    <definedName name="ENE._90" localSheetId="1">'[3]ipc indice 2'!$U$1:$U$311</definedName>
    <definedName name="ENE._90" localSheetId="33">'[2]ipc indice 2'!$U$1:$U$311</definedName>
    <definedName name="ENE._90" localSheetId="28">'[2]ipc indice 2'!$U$1:$U$311</definedName>
    <definedName name="ENE._90" localSheetId="26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9">'[2]ipc indice 2'!$U$1:$U$311</definedName>
    <definedName name="ENE._90" localSheetId="24">'[2]ipc indice 2'!$U$1:$U$311</definedName>
    <definedName name="ENE._90" localSheetId="27">'[2]ipc indice 2'!$U$1:$U$311</definedName>
    <definedName name="ENE._90" localSheetId="30">'[2]ipc indice 2'!$U$1:$U$311</definedName>
    <definedName name="ENE._90" localSheetId="23">'[2]ipc indice 2'!$U$1:$U$311</definedName>
    <definedName name="ENE._90" localSheetId="25">'[2]ipc indice 2'!$U$1:$U$311</definedName>
    <definedName name="ENE._90" localSheetId="22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6">'[2]ipc indice 2'!$U$1:$U$311</definedName>
    <definedName name="ENE._90" localSheetId="2">'[2]ipc indice 2'!$U$1:$U$311</definedName>
    <definedName name="ENE._90" localSheetId="20">'[2]ipc indice 2'!$U$1:$U$311</definedName>
    <definedName name="FEB._89" localSheetId="40">'[2]ipc indice 2'!$J$1:$J$311</definedName>
    <definedName name="FEB._89" localSheetId="38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34">'[2]ipc indice 2'!$J$1:$J$311</definedName>
    <definedName name="FEB._89" localSheetId="1">'[3]ipc indice 2'!$J$1:$J$311</definedName>
    <definedName name="FEB._89" localSheetId="33">'[2]ipc indice 2'!$J$1:$J$311</definedName>
    <definedName name="FEB._89" localSheetId="28">'[2]ipc indice 2'!$J$1:$J$311</definedName>
    <definedName name="FEB._89" localSheetId="26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9">'[2]ipc indice 2'!$J$1:$J$311</definedName>
    <definedName name="FEB._89" localSheetId="24">'[2]ipc indice 2'!$J$1:$J$311</definedName>
    <definedName name="FEB._89" localSheetId="27">'[2]ipc indice 2'!$J$1:$J$311</definedName>
    <definedName name="FEB._89" localSheetId="30">'[2]ipc indice 2'!$J$1:$J$311</definedName>
    <definedName name="FEB._89" localSheetId="23">'[2]ipc indice 2'!$J$1:$J$311</definedName>
    <definedName name="FEB._89" localSheetId="25">'[2]ipc indice 2'!$J$1:$J$311</definedName>
    <definedName name="FEB._89" localSheetId="22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6">'[2]ipc indice 2'!$J$1:$J$311</definedName>
    <definedName name="FEB._89" localSheetId="2">'[2]ipc indice 2'!$J$1:$J$311</definedName>
    <definedName name="FEB._89" localSheetId="20">'[2]ipc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'[2]ipc indice 2'!$O$1:$O$311</definedName>
    <definedName name="JUL._89" localSheetId="38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34">'[2]ipc indice 2'!$O$1:$O$311</definedName>
    <definedName name="JUL._89" localSheetId="1">'[3]ipc indice 2'!$O$1:$O$311</definedName>
    <definedName name="JUL._89" localSheetId="33">'[2]ipc indice 2'!$O$1:$O$311</definedName>
    <definedName name="JUL._89" localSheetId="28">'[2]ipc indice 2'!$O$1:$O$311</definedName>
    <definedName name="JUL._89" localSheetId="26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9">'[2]ipc indice 2'!$O$1:$O$311</definedName>
    <definedName name="JUL._89" localSheetId="24">'[2]ipc indice 2'!$O$1:$O$311</definedName>
    <definedName name="JUL._89" localSheetId="27">'[2]ipc indice 2'!$O$1:$O$311</definedName>
    <definedName name="JUL._89" localSheetId="30">'[2]ipc indice 2'!$O$1:$O$311</definedName>
    <definedName name="JUL._89" localSheetId="23">'[2]ipc indice 2'!$O$1:$O$311</definedName>
    <definedName name="JUL._89" localSheetId="25">'[2]ipc indice 2'!$O$1:$O$311</definedName>
    <definedName name="JUL._89" localSheetId="22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6">'[2]ipc indice 2'!$O$1:$O$311</definedName>
    <definedName name="JUL._89" localSheetId="2">'[2]ipc indice 2'!$O$1:$O$311</definedName>
    <definedName name="JUL._89" localSheetId="20">'[2]ipc indice 2'!$O$1:$O$311</definedName>
    <definedName name="JUN._89" localSheetId="40">'[2]ipc indice 2'!$N$1:$N$311</definedName>
    <definedName name="JUN._89" localSheetId="38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34">'[2]ipc indice 2'!$N$1:$N$311</definedName>
    <definedName name="JUN._89" localSheetId="1">'[3]ipc indice 2'!$N$1:$N$311</definedName>
    <definedName name="JUN._89" localSheetId="33">'[2]ipc indice 2'!$N$1:$N$311</definedName>
    <definedName name="JUN._89" localSheetId="28">'[2]ipc indice 2'!$N$1:$N$311</definedName>
    <definedName name="JUN._89" localSheetId="26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9">'[2]ipc indice 2'!$N$1:$N$311</definedName>
    <definedName name="JUN._89" localSheetId="24">'[2]ipc indice 2'!$N$1:$N$311</definedName>
    <definedName name="JUN._89" localSheetId="27">'[2]ipc indice 2'!$N$1:$N$311</definedName>
    <definedName name="JUN._89" localSheetId="30">'[2]ipc indice 2'!$N$1:$N$311</definedName>
    <definedName name="JUN._89" localSheetId="23">'[2]ipc indice 2'!$N$1:$N$311</definedName>
    <definedName name="JUN._89" localSheetId="25">'[2]ipc indice 2'!$N$1:$N$311</definedName>
    <definedName name="JUN._89" localSheetId="22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6">'[2]ipc indice 2'!$N$1:$N$311</definedName>
    <definedName name="JUN._89" localSheetId="2">'[2]ipc indice 2'!$N$1:$N$311</definedName>
    <definedName name="JUN._89" localSheetId="20">'[2]ipc indice 2'!$N$1:$N$311</definedName>
    <definedName name="MAR._89" localSheetId="40">'[2]ipc indice 2'!$K$1:$K$311</definedName>
    <definedName name="MAR._89" localSheetId="38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34">'[2]ipc indice 2'!$K$1:$K$311</definedName>
    <definedName name="MAR._89" localSheetId="1">'[3]ipc indice 2'!$K$1:$K$311</definedName>
    <definedName name="MAR._89" localSheetId="33">'[2]ipc indice 2'!$K$1:$K$311</definedName>
    <definedName name="MAR._89" localSheetId="28">'[2]ipc indice 2'!$K$1:$K$311</definedName>
    <definedName name="MAR._89" localSheetId="26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9">'[2]ipc indice 2'!$K$1:$K$311</definedName>
    <definedName name="MAR._89" localSheetId="24">'[2]ipc indice 2'!$K$1:$K$311</definedName>
    <definedName name="MAR._89" localSheetId="27">'[2]ipc indice 2'!$K$1:$K$311</definedName>
    <definedName name="MAR._89" localSheetId="30">'[2]ipc indice 2'!$K$1:$K$311</definedName>
    <definedName name="MAR._89" localSheetId="23">'[2]ipc indice 2'!$K$1:$K$311</definedName>
    <definedName name="MAR._89" localSheetId="25">'[2]ipc indice 2'!$K$1:$K$311</definedName>
    <definedName name="MAR._89" localSheetId="22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6">'[2]ipc indice 2'!$K$1:$K$311</definedName>
    <definedName name="MAR._89" localSheetId="2">'[2]ipc indice 2'!$K$1:$K$311</definedName>
    <definedName name="MAR._89" localSheetId="20">'[2]ipc indice 2'!$K$1:$K$311</definedName>
    <definedName name="MARZO">#N/A</definedName>
    <definedName name="MAY._89" localSheetId="40">'[2]ipc indice 2'!$M$1:$M$311</definedName>
    <definedName name="MAY._89" localSheetId="38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34">'[2]ipc indice 2'!$M$1:$M$311</definedName>
    <definedName name="MAY._89" localSheetId="1">'[3]ipc indice 2'!$M$1:$M$311</definedName>
    <definedName name="MAY._89" localSheetId="33">'[2]ipc indice 2'!$M$1:$M$311</definedName>
    <definedName name="MAY._89" localSheetId="28">'[2]ipc indice 2'!$M$1:$M$311</definedName>
    <definedName name="MAY._89" localSheetId="26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9">'[2]ipc indice 2'!$M$1:$M$311</definedName>
    <definedName name="MAY._89" localSheetId="24">'[2]ipc indice 2'!$M$1:$M$311</definedName>
    <definedName name="MAY._89" localSheetId="27">'[2]ipc indice 2'!$M$1:$M$311</definedName>
    <definedName name="MAY._89" localSheetId="30">'[2]ipc indice 2'!$M$1:$M$311</definedName>
    <definedName name="MAY._89" localSheetId="23">'[2]ipc indice 2'!$M$1:$M$311</definedName>
    <definedName name="MAY._89" localSheetId="25">'[2]ipc indice 2'!$M$1:$M$311</definedName>
    <definedName name="MAY._89" localSheetId="22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6">'[2]ipc indice 2'!$M$1:$M$311</definedName>
    <definedName name="MAY._89" localSheetId="2">'[2]ipc indice 2'!$M$1:$M$311</definedName>
    <definedName name="MAY._89" localSheetId="20">'[2]ipc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'[2]ipc indice 2'!$S$1:$S$311</definedName>
    <definedName name="NOV._89" localSheetId="38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34">'[2]ipc indice 2'!$S$1:$S$311</definedName>
    <definedName name="NOV._89" localSheetId="1">'[3]ipc indice 2'!$S$1:$S$311</definedName>
    <definedName name="NOV._89" localSheetId="33">'[2]ipc indice 2'!$S$1:$S$311</definedName>
    <definedName name="NOV._89" localSheetId="28">'[2]ipc indice 2'!$S$1:$S$311</definedName>
    <definedName name="NOV._89" localSheetId="26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9">'[2]ipc indice 2'!$S$1:$S$311</definedName>
    <definedName name="NOV._89" localSheetId="24">'[2]ipc indice 2'!$S$1:$S$311</definedName>
    <definedName name="NOV._89" localSheetId="27">'[2]ipc indice 2'!$S$1:$S$311</definedName>
    <definedName name="NOV._89" localSheetId="30">'[2]ipc indice 2'!$S$1:$S$311</definedName>
    <definedName name="NOV._89" localSheetId="23">'[2]ipc indice 2'!$S$1:$S$311</definedName>
    <definedName name="NOV._89" localSheetId="25">'[2]ipc indice 2'!$S$1:$S$311</definedName>
    <definedName name="NOV._89" localSheetId="22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6">'[2]ipc indice 2'!$S$1:$S$311</definedName>
    <definedName name="NOV._89" localSheetId="2">'[2]ipc indice 2'!$S$1:$S$311</definedName>
    <definedName name="NOV._89" localSheetId="20">'[2]ipc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'[2]ipc indice 2'!$Q$1:$Q$311</definedName>
    <definedName name="SEP._89" localSheetId="38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34">'[2]ipc indice 2'!$Q$1:$Q$311</definedName>
    <definedName name="SEP._89" localSheetId="1">'[3]ipc indice 2'!$Q$1:$Q$311</definedName>
    <definedName name="SEP._89" localSheetId="33">'[2]ipc indice 2'!$Q$1:$Q$311</definedName>
    <definedName name="SEP._89" localSheetId="28">'[2]ipc indice 2'!$Q$1:$Q$311</definedName>
    <definedName name="SEP._89" localSheetId="26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9">'[2]ipc indice 2'!$Q$1:$Q$311</definedName>
    <definedName name="SEP._89" localSheetId="24">'[2]ipc indice 2'!$Q$1:$Q$311</definedName>
    <definedName name="SEP._89" localSheetId="27">'[2]ipc indice 2'!$Q$1:$Q$311</definedName>
    <definedName name="SEP._89" localSheetId="30">'[2]ipc indice 2'!$Q$1:$Q$311</definedName>
    <definedName name="SEP._89" localSheetId="23">'[2]ipc indice 2'!$Q$1:$Q$311</definedName>
    <definedName name="SEP._89" localSheetId="25">'[2]ipc indice 2'!$Q$1:$Q$311</definedName>
    <definedName name="SEP._89" localSheetId="22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6">'[2]ipc indice 2'!$Q$1:$Q$311</definedName>
    <definedName name="SEP._89" localSheetId="2">'[2]ipc indice 2'!$Q$1:$Q$311</definedName>
    <definedName name="SEP._89" localSheetId="20">'[2]ipc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[4]BASE!#REF!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C10" i="155"/>
  <c r="G10"/>
  <c r="B14"/>
  <c r="C14"/>
  <c r="D14"/>
  <c r="D13" s="1"/>
  <c r="E14"/>
  <c r="G14"/>
  <c r="H14"/>
  <c r="I14" s="1"/>
  <c r="B15"/>
  <c r="C15"/>
  <c r="C13" s="1"/>
  <c r="D15"/>
  <c r="F15" s="1"/>
  <c r="G15"/>
  <c r="G13" s="1"/>
  <c r="H15"/>
  <c r="B16"/>
  <c r="C16"/>
  <c r="D16"/>
  <c r="F16" s="1"/>
  <c r="E16"/>
  <c r="G16"/>
  <c r="H16"/>
  <c r="I16" s="1"/>
  <c r="B17"/>
  <c r="C17"/>
  <c r="E17" s="1"/>
  <c r="D17"/>
  <c r="F17" s="1"/>
  <c r="G17"/>
  <c r="H17"/>
  <c r="B18"/>
  <c r="C18"/>
  <c r="D18"/>
  <c r="F18" s="1"/>
  <c r="E18"/>
  <c r="G18"/>
  <c r="H18"/>
  <c r="I18" s="1"/>
  <c r="B19"/>
  <c r="C19"/>
  <c r="E19" s="1"/>
  <c r="D19"/>
  <c r="F19" s="1"/>
  <c r="G19"/>
  <c r="H19"/>
  <c r="B20"/>
  <c r="C20"/>
  <c r="D20"/>
  <c r="F20" s="1"/>
  <c r="E20"/>
  <c r="G20"/>
  <c r="H20"/>
  <c r="I20" s="1"/>
  <c r="B21"/>
  <c r="C21"/>
  <c r="E21" s="1"/>
  <c r="D21"/>
  <c r="F21" s="1"/>
  <c r="G21"/>
  <c r="H21"/>
  <c r="B22"/>
  <c r="C22"/>
  <c r="D22"/>
  <c r="F22" s="1"/>
  <c r="E22"/>
  <c r="G22"/>
  <c r="H22"/>
  <c r="I22" s="1"/>
  <c r="B23"/>
  <c r="C23"/>
  <c r="D23"/>
  <c r="F23" s="1"/>
  <c r="E23"/>
  <c r="G23"/>
  <c r="H23"/>
  <c r="B24"/>
  <c r="C24"/>
  <c r="D24"/>
  <c r="F24" s="1"/>
  <c r="E24"/>
  <c r="G24"/>
  <c r="H24"/>
  <c r="I24" s="1"/>
  <c r="B25"/>
  <c r="C25"/>
  <c r="D25"/>
  <c r="F25" s="1"/>
  <c r="E25"/>
  <c r="G25"/>
  <c r="H25"/>
  <c r="B26"/>
  <c r="C26"/>
  <c r="D26"/>
  <c r="F26" s="1"/>
  <c r="E26"/>
  <c r="G26"/>
  <c r="H26"/>
  <c r="I26" s="1"/>
  <c r="B27"/>
  <c r="C27"/>
  <c r="D27"/>
  <c r="F27" s="1"/>
  <c r="E27"/>
  <c r="G27"/>
  <c r="H27"/>
  <c r="B28"/>
  <c r="C28"/>
  <c r="D28"/>
  <c r="F28" s="1"/>
  <c r="E28"/>
  <c r="G28"/>
  <c r="H28"/>
  <c r="I28" s="1"/>
  <c r="B29"/>
  <c r="C29"/>
  <c r="D29"/>
  <c r="F29" s="1"/>
  <c r="E29"/>
  <c r="G29"/>
  <c r="H29"/>
  <c r="B30"/>
  <c r="C30"/>
  <c r="D30"/>
  <c r="F30" s="1"/>
  <c r="E30"/>
  <c r="G30"/>
  <c r="H30"/>
  <c r="I30" s="1"/>
  <c r="B31"/>
  <c r="C31"/>
  <c r="D31"/>
  <c r="F31" s="1"/>
  <c r="E31"/>
  <c r="G31"/>
  <c r="H31"/>
  <c r="B32"/>
  <c r="C32"/>
  <c r="D32"/>
  <c r="F32" s="1"/>
  <c r="E32"/>
  <c r="G32"/>
  <c r="H32"/>
  <c r="I32" s="1"/>
  <c r="B33"/>
  <c r="C33"/>
  <c r="D33"/>
  <c r="F33" s="1"/>
  <c r="E33"/>
  <c r="G33"/>
  <c r="H33"/>
  <c r="B34"/>
  <c r="C34"/>
  <c r="D34"/>
  <c r="F34" s="1"/>
  <c r="E34"/>
  <c r="G34"/>
  <c r="H34"/>
  <c r="I34" s="1"/>
  <c r="B35"/>
  <c r="C35"/>
  <c r="D35"/>
  <c r="F35" s="1"/>
  <c r="E35"/>
  <c r="G35"/>
  <c r="H35"/>
  <c r="B36"/>
  <c r="C36"/>
  <c r="D36"/>
  <c r="F36" s="1"/>
  <c r="E36"/>
  <c r="G36"/>
  <c r="H36"/>
  <c r="I36" s="1"/>
  <c r="B37"/>
  <c r="C37"/>
  <c r="D37"/>
  <c r="F37" s="1"/>
  <c r="E37"/>
  <c r="G37"/>
  <c r="H37"/>
  <c r="B38"/>
  <c r="C38"/>
  <c r="D38"/>
  <c r="F38" s="1"/>
  <c r="E38"/>
  <c r="G38"/>
  <c r="H38"/>
  <c r="I38" s="1"/>
  <c r="B39"/>
  <c r="C39"/>
  <c r="D39"/>
  <c r="F39" s="1"/>
  <c r="E39"/>
  <c r="G39"/>
  <c r="H39"/>
  <c r="B40"/>
  <c r="C40"/>
  <c r="D40"/>
  <c r="E40"/>
  <c r="G40"/>
  <c r="H40"/>
  <c r="I40" s="1"/>
  <c r="B41"/>
  <c r="C41"/>
  <c r="D41"/>
  <c r="F41" s="1"/>
  <c r="E41"/>
  <c r="G41"/>
  <c r="H41"/>
  <c r="B42"/>
  <c r="C42"/>
  <c r="D42"/>
  <c r="E42"/>
  <c r="G42"/>
  <c r="H42"/>
  <c r="I42" s="1"/>
  <c r="B43"/>
  <c r="C43"/>
  <c r="D43"/>
  <c r="F43" s="1"/>
  <c r="E43"/>
  <c r="G43"/>
  <c r="H43"/>
  <c r="M44"/>
  <c r="C10" i="154"/>
  <c r="G10"/>
  <c r="B14"/>
  <c r="C14"/>
  <c r="E14" s="1"/>
  <c r="D14"/>
  <c r="G14"/>
  <c r="G13" s="1"/>
  <c r="H14"/>
  <c r="I14"/>
  <c r="B15"/>
  <c r="C15"/>
  <c r="E15" s="1"/>
  <c r="D15"/>
  <c r="D13" s="1"/>
  <c r="G15"/>
  <c r="H15"/>
  <c r="I15"/>
  <c r="B16"/>
  <c r="C16"/>
  <c r="E16" s="1"/>
  <c r="D16"/>
  <c r="G16"/>
  <c r="H16"/>
  <c r="I16"/>
  <c r="B17"/>
  <c r="C17"/>
  <c r="E17" s="1"/>
  <c r="D17"/>
  <c r="G17"/>
  <c r="H17"/>
  <c r="I17"/>
  <c r="B18"/>
  <c r="C18"/>
  <c r="E18" s="1"/>
  <c r="D18"/>
  <c r="G18"/>
  <c r="H18"/>
  <c r="I18"/>
  <c r="B19"/>
  <c r="C19"/>
  <c r="E19" s="1"/>
  <c r="D19"/>
  <c r="G19"/>
  <c r="H19"/>
  <c r="I19"/>
  <c r="B20"/>
  <c r="C20"/>
  <c r="E20" s="1"/>
  <c r="D20"/>
  <c r="G20"/>
  <c r="H20"/>
  <c r="I20"/>
  <c r="B21"/>
  <c r="C21"/>
  <c r="E21" s="1"/>
  <c r="D21"/>
  <c r="G21"/>
  <c r="H21"/>
  <c r="I21"/>
  <c r="B22"/>
  <c r="C22"/>
  <c r="E22" s="1"/>
  <c r="D22"/>
  <c r="G22"/>
  <c r="H22"/>
  <c r="I22"/>
  <c r="B23"/>
  <c r="C23"/>
  <c r="E23" s="1"/>
  <c r="D23"/>
  <c r="G23"/>
  <c r="H23"/>
  <c r="I23"/>
  <c r="B24"/>
  <c r="C24"/>
  <c r="E24" s="1"/>
  <c r="D24"/>
  <c r="G24"/>
  <c r="H24"/>
  <c r="I24"/>
  <c r="B25"/>
  <c r="C25"/>
  <c r="E25" s="1"/>
  <c r="D25"/>
  <c r="G25"/>
  <c r="H25"/>
  <c r="I25"/>
  <c r="B26"/>
  <c r="C26"/>
  <c r="E26" s="1"/>
  <c r="D26"/>
  <c r="G26"/>
  <c r="H26"/>
  <c r="I26"/>
  <c r="B27"/>
  <c r="C27"/>
  <c r="E27" s="1"/>
  <c r="D27"/>
  <c r="G27"/>
  <c r="H27"/>
  <c r="I27"/>
  <c r="B28"/>
  <c r="C28"/>
  <c r="E28" s="1"/>
  <c r="D28"/>
  <c r="G28"/>
  <c r="H28"/>
  <c r="I28"/>
  <c r="B29"/>
  <c r="C29"/>
  <c r="E29" s="1"/>
  <c r="D29"/>
  <c r="G29"/>
  <c r="H29"/>
  <c r="I29"/>
  <c r="B30"/>
  <c r="C30"/>
  <c r="E30" s="1"/>
  <c r="D30"/>
  <c r="G30"/>
  <c r="H30"/>
  <c r="I30"/>
  <c r="B31"/>
  <c r="C31"/>
  <c r="E31" s="1"/>
  <c r="D31"/>
  <c r="G31"/>
  <c r="H31"/>
  <c r="I31"/>
  <c r="B32"/>
  <c r="C32"/>
  <c r="E32" s="1"/>
  <c r="D32"/>
  <c r="G32"/>
  <c r="H32"/>
  <c r="I32"/>
  <c r="B33"/>
  <c r="C33"/>
  <c r="E33" s="1"/>
  <c r="D33"/>
  <c r="G33"/>
  <c r="H33"/>
  <c r="I33"/>
  <c r="B34"/>
  <c r="C34"/>
  <c r="E34" s="1"/>
  <c r="D34"/>
  <c r="G34"/>
  <c r="H34"/>
  <c r="I34"/>
  <c r="B35"/>
  <c r="C35"/>
  <c r="E35" s="1"/>
  <c r="D35"/>
  <c r="G35"/>
  <c r="H35"/>
  <c r="I35"/>
  <c r="B36"/>
  <c r="C36"/>
  <c r="E36" s="1"/>
  <c r="D36"/>
  <c r="G36"/>
  <c r="H36"/>
  <c r="I36"/>
  <c r="B37"/>
  <c r="C37"/>
  <c r="E37" s="1"/>
  <c r="D37"/>
  <c r="G37"/>
  <c r="H37"/>
  <c r="I37"/>
  <c r="B38"/>
  <c r="C38"/>
  <c r="E38" s="1"/>
  <c r="D38"/>
  <c r="G38"/>
  <c r="H38"/>
  <c r="I38"/>
  <c r="B39"/>
  <c r="C39"/>
  <c r="E39" s="1"/>
  <c r="D39"/>
  <c r="G39"/>
  <c r="H39"/>
  <c r="I39"/>
  <c r="B40"/>
  <c r="C40"/>
  <c r="E40" s="1"/>
  <c r="D40"/>
  <c r="G40"/>
  <c r="H40"/>
  <c r="I40"/>
  <c r="B41"/>
  <c r="C41"/>
  <c r="E41" s="1"/>
  <c r="D41"/>
  <c r="G41"/>
  <c r="H41"/>
  <c r="I41"/>
  <c r="B42"/>
  <c r="C42"/>
  <c r="E42" s="1"/>
  <c r="D42"/>
  <c r="G42"/>
  <c r="H42"/>
  <c r="I42"/>
  <c r="B43"/>
  <c r="C43"/>
  <c r="E43" s="1"/>
  <c r="D43"/>
  <c r="G43"/>
  <c r="H43"/>
  <c r="I43"/>
  <c r="B44"/>
  <c r="C44"/>
  <c r="E44" s="1"/>
  <c r="D44"/>
  <c r="G44"/>
  <c r="H44"/>
  <c r="I44"/>
  <c r="M45"/>
  <c r="C10" i="153"/>
  <c r="G10"/>
  <c r="B14"/>
  <c r="C14"/>
  <c r="D14"/>
  <c r="D13" s="1"/>
  <c r="G14"/>
  <c r="I14" s="1"/>
  <c r="H14"/>
  <c r="B15"/>
  <c r="C15"/>
  <c r="C13" s="1"/>
  <c r="D15"/>
  <c r="E15" s="1"/>
  <c r="G15"/>
  <c r="I15" s="1"/>
  <c r="H15"/>
  <c r="H13" s="1"/>
  <c r="B16"/>
  <c r="C16"/>
  <c r="D16"/>
  <c r="G16"/>
  <c r="I16" s="1"/>
  <c r="H16"/>
  <c r="B17"/>
  <c r="C17"/>
  <c r="D17"/>
  <c r="E17" s="1"/>
  <c r="G17"/>
  <c r="I17" s="1"/>
  <c r="H17"/>
  <c r="B18"/>
  <c r="C18"/>
  <c r="D18"/>
  <c r="F18" s="1"/>
  <c r="G18"/>
  <c r="I18" s="1"/>
  <c r="H18"/>
  <c r="B19"/>
  <c r="C19"/>
  <c r="D19"/>
  <c r="E19" s="1"/>
  <c r="G19"/>
  <c r="I19" s="1"/>
  <c r="H19"/>
  <c r="B20"/>
  <c r="C20"/>
  <c r="D20"/>
  <c r="F20" s="1"/>
  <c r="G20"/>
  <c r="I20" s="1"/>
  <c r="H20"/>
  <c r="B21"/>
  <c r="C21"/>
  <c r="D21"/>
  <c r="E21" s="1"/>
  <c r="G21"/>
  <c r="I21" s="1"/>
  <c r="H21"/>
  <c r="B22"/>
  <c r="C22"/>
  <c r="D22"/>
  <c r="G22"/>
  <c r="I22" s="1"/>
  <c r="H22"/>
  <c r="B23"/>
  <c r="C23"/>
  <c r="D23"/>
  <c r="E23" s="1"/>
  <c r="G23"/>
  <c r="I23" s="1"/>
  <c r="H23"/>
  <c r="B24"/>
  <c r="C24"/>
  <c r="D24"/>
  <c r="F24" s="1"/>
  <c r="G24"/>
  <c r="I24" s="1"/>
  <c r="H24"/>
  <c r="B25"/>
  <c r="C25"/>
  <c r="D25"/>
  <c r="E25" s="1"/>
  <c r="G25"/>
  <c r="I25" s="1"/>
  <c r="H25"/>
  <c r="B26"/>
  <c r="C26"/>
  <c r="D26"/>
  <c r="F26" s="1"/>
  <c r="G26"/>
  <c r="I26" s="1"/>
  <c r="H26"/>
  <c r="B27"/>
  <c r="C27"/>
  <c r="D27"/>
  <c r="E27" s="1"/>
  <c r="G27"/>
  <c r="I27" s="1"/>
  <c r="H27"/>
  <c r="B28"/>
  <c r="C28"/>
  <c r="D28"/>
  <c r="F28" s="1"/>
  <c r="G28"/>
  <c r="I28" s="1"/>
  <c r="H28"/>
  <c r="B29"/>
  <c r="C29"/>
  <c r="D29"/>
  <c r="E29" s="1"/>
  <c r="G29"/>
  <c r="I29" s="1"/>
  <c r="H29"/>
  <c r="B30"/>
  <c r="C30"/>
  <c r="D30"/>
  <c r="F30" s="1"/>
  <c r="G30"/>
  <c r="I30" s="1"/>
  <c r="H30"/>
  <c r="B31"/>
  <c r="C31"/>
  <c r="D31"/>
  <c r="E31" s="1"/>
  <c r="G31"/>
  <c r="I31" s="1"/>
  <c r="H31"/>
  <c r="B32"/>
  <c r="C32"/>
  <c r="D32"/>
  <c r="F32" s="1"/>
  <c r="G32"/>
  <c r="I32" s="1"/>
  <c r="H32"/>
  <c r="B33"/>
  <c r="C33"/>
  <c r="D33"/>
  <c r="E33" s="1"/>
  <c r="G33"/>
  <c r="I33" s="1"/>
  <c r="H33"/>
  <c r="B34"/>
  <c r="C34"/>
  <c r="D34"/>
  <c r="F34" s="1"/>
  <c r="G34"/>
  <c r="I34" s="1"/>
  <c r="H34"/>
  <c r="B35"/>
  <c r="C35"/>
  <c r="D35"/>
  <c r="E35" s="1"/>
  <c r="G35"/>
  <c r="I35" s="1"/>
  <c r="H35"/>
  <c r="B36"/>
  <c r="C36"/>
  <c r="D36"/>
  <c r="F36" s="1"/>
  <c r="G36"/>
  <c r="I36" s="1"/>
  <c r="H36"/>
  <c r="B37"/>
  <c r="C37"/>
  <c r="D37"/>
  <c r="E37" s="1"/>
  <c r="G37"/>
  <c r="I37" s="1"/>
  <c r="H37"/>
  <c r="B38"/>
  <c r="C38"/>
  <c r="D38"/>
  <c r="F38" s="1"/>
  <c r="G38"/>
  <c r="I38" s="1"/>
  <c r="H38"/>
  <c r="B39"/>
  <c r="C39"/>
  <c r="D39"/>
  <c r="E39" s="1"/>
  <c r="G39"/>
  <c r="I39" s="1"/>
  <c r="H39"/>
  <c r="B40"/>
  <c r="C40"/>
  <c r="D40"/>
  <c r="F40" s="1"/>
  <c r="G40"/>
  <c r="I40" s="1"/>
  <c r="H40"/>
  <c r="B41"/>
  <c r="C41"/>
  <c r="D41"/>
  <c r="E41" s="1"/>
  <c r="G41"/>
  <c r="H41"/>
  <c r="I41" s="1"/>
  <c r="B42"/>
  <c r="C42"/>
  <c r="D42"/>
  <c r="F42" s="1"/>
  <c r="G42"/>
  <c r="I42" s="1"/>
  <c r="H42"/>
  <c r="B43"/>
  <c r="C43"/>
  <c r="D43"/>
  <c r="E43" s="1"/>
  <c r="G43"/>
  <c r="H43"/>
  <c r="I43" s="1"/>
  <c r="B44"/>
  <c r="C44"/>
  <c r="D44"/>
  <c r="F44" s="1"/>
  <c r="G44"/>
  <c r="I44" s="1"/>
  <c r="H44"/>
  <c r="M45"/>
  <c r="C10" i="152"/>
  <c r="G10"/>
  <c r="B14"/>
  <c r="C14"/>
  <c r="C13" s="1"/>
  <c r="D14"/>
  <c r="E14"/>
  <c r="G14"/>
  <c r="H14"/>
  <c r="H13" s="1"/>
  <c r="B15"/>
  <c r="C15"/>
  <c r="D15"/>
  <c r="E15"/>
  <c r="G15"/>
  <c r="G13" s="1"/>
  <c r="H15"/>
  <c r="I15" s="1"/>
  <c r="B16"/>
  <c r="C16"/>
  <c r="D16"/>
  <c r="E16"/>
  <c r="G16"/>
  <c r="H16"/>
  <c r="J16" s="1"/>
  <c r="B17"/>
  <c r="C17"/>
  <c r="D17"/>
  <c r="E17"/>
  <c r="G17"/>
  <c r="H17"/>
  <c r="I17" s="1"/>
  <c r="B18"/>
  <c r="C18"/>
  <c r="D18"/>
  <c r="E18"/>
  <c r="G18"/>
  <c r="H18"/>
  <c r="J18" s="1"/>
  <c r="B19"/>
  <c r="C19"/>
  <c r="D19"/>
  <c r="E19"/>
  <c r="G19"/>
  <c r="H19"/>
  <c r="I19" s="1"/>
  <c r="B20"/>
  <c r="C20"/>
  <c r="D20"/>
  <c r="E20"/>
  <c r="G20"/>
  <c r="H20"/>
  <c r="J20" s="1"/>
  <c r="B21"/>
  <c r="C21"/>
  <c r="D21"/>
  <c r="E21"/>
  <c r="G21"/>
  <c r="H21"/>
  <c r="I21" s="1"/>
  <c r="B22"/>
  <c r="C22"/>
  <c r="D22"/>
  <c r="E22"/>
  <c r="G22"/>
  <c r="H22"/>
  <c r="J22" s="1"/>
  <c r="B23"/>
  <c r="C23"/>
  <c r="D23"/>
  <c r="E23"/>
  <c r="G23"/>
  <c r="H23"/>
  <c r="I23" s="1"/>
  <c r="B24"/>
  <c r="C24"/>
  <c r="D24"/>
  <c r="E24"/>
  <c r="G24"/>
  <c r="H24"/>
  <c r="J24" s="1"/>
  <c r="B25"/>
  <c r="C25"/>
  <c r="D25"/>
  <c r="E25"/>
  <c r="G25"/>
  <c r="H25"/>
  <c r="I25" s="1"/>
  <c r="B26"/>
  <c r="C26"/>
  <c r="D26"/>
  <c r="E26"/>
  <c r="G26"/>
  <c r="H26"/>
  <c r="J26" s="1"/>
  <c r="B27"/>
  <c r="C27"/>
  <c r="D27"/>
  <c r="E27"/>
  <c r="G27"/>
  <c r="H27"/>
  <c r="I27" s="1"/>
  <c r="B28"/>
  <c r="C28"/>
  <c r="D28"/>
  <c r="E28"/>
  <c r="G28"/>
  <c r="H28"/>
  <c r="J28" s="1"/>
  <c r="B29"/>
  <c r="C29"/>
  <c r="D29"/>
  <c r="E29"/>
  <c r="G29"/>
  <c r="H29"/>
  <c r="I29" s="1"/>
  <c r="B30"/>
  <c r="C30"/>
  <c r="D30"/>
  <c r="E30"/>
  <c r="G30"/>
  <c r="H30"/>
  <c r="J30" s="1"/>
  <c r="B31"/>
  <c r="C31"/>
  <c r="D31"/>
  <c r="E31"/>
  <c r="G31"/>
  <c r="H31"/>
  <c r="I31" s="1"/>
  <c r="B32"/>
  <c r="C32"/>
  <c r="D32"/>
  <c r="E32"/>
  <c r="G32"/>
  <c r="H32"/>
  <c r="J32" s="1"/>
  <c r="B33"/>
  <c r="C33"/>
  <c r="D33"/>
  <c r="E33"/>
  <c r="G33"/>
  <c r="H33"/>
  <c r="I33" s="1"/>
  <c r="B34"/>
  <c r="C34"/>
  <c r="D34"/>
  <c r="E34"/>
  <c r="G34"/>
  <c r="H34"/>
  <c r="J34" s="1"/>
  <c r="B35"/>
  <c r="C35"/>
  <c r="D35"/>
  <c r="E35"/>
  <c r="G35"/>
  <c r="H35"/>
  <c r="I35" s="1"/>
  <c r="B36"/>
  <c r="C36"/>
  <c r="D36"/>
  <c r="E36"/>
  <c r="G36"/>
  <c r="H36"/>
  <c r="J36" s="1"/>
  <c r="B37"/>
  <c r="C37"/>
  <c r="D37"/>
  <c r="E37"/>
  <c r="G37"/>
  <c r="H37"/>
  <c r="I37" s="1"/>
  <c r="B38"/>
  <c r="C38"/>
  <c r="D38"/>
  <c r="E38"/>
  <c r="G38"/>
  <c r="H38"/>
  <c r="J38" s="1"/>
  <c r="B39"/>
  <c r="C39"/>
  <c r="D39"/>
  <c r="E39"/>
  <c r="G39"/>
  <c r="H39"/>
  <c r="I39" s="1"/>
  <c r="B40"/>
  <c r="C40"/>
  <c r="D40"/>
  <c r="E40"/>
  <c r="G40"/>
  <c r="H40"/>
  <c r="J40" s="1"/>
  <c r="B41"/>
  <c r="C41"/>
  <c r="D41"/>
  <c r="E41"/>
  <c r="G41"/>
  <c r="H41"/>
  <c r="I41" s="1"/>
  <c r="B42"/>
  <c r="C42"/>
  <c r="D42"/>
  <c r="E42"/>
  <c r="G42"/>
  <c r="H42"/>
  <c r="J42" s="1"/>
  <c r="B43"/>
  <c r="C43"/>
  <c r="D43"/>
  <c r="E43"/>
  <c r="G43"/>
  <c r="H43"/>
  <c r="I43" s="1"/>
  <c r="B44"/>
  <c r="C44"/>
  <c r="D44"/>
  <c r="E44"/>
  <c r="G44"/>
  <c r="H44"/>
  <c r="J44" s="1"/>
  <c r="M45"/>
  <c r="C10" i="151"/>
  <c r="G10"/>
  <c r="B14"/>
  <c r="C14"/>
  <c r="E14" s="1"/>
  <c r="D14"/>
  <c r="G14"/>
  <c r="G13" s="1"/>
  <c r="H14"/>
  <c r="I14"/>
  <c r="B15"/>
  <c r="C15"/>
  <c r="E15" s="1"/>
  <c r="D15"/>
  <c r="D13" s="1"/>
  <c r="G15"/>
  <c r="H15"/>
  <c r="I15"/>
  <c r="B16"/>
  <c r="C16"/>
  <c r="E16" s="1"/>
  <c r="D16"/>
  <c r="G16"/>
  <c r="H16"/>
  <c r="I16"/>
  <c r="B17"/>
  <c r="C17"/>
  <c r="E17" s="1"/>
  <c r="D17"/>
  <c r="G17"/>
  <c r="H17"/>
  <c r="I17"/>
  <c r="B18"/>
  <c r="C18"/>
  <c r="E18" s="1"/>
  <c r="D18"/>
  <c r="G18"/>
  <c r="H18"/>
  <c r="I18"/>
  <c r="B19"/>
  <c r="C19"/>
  <c r="E19" s="1"/>
  <c r="D19"/>
  <c r="G19"/>
  <c r="H19"/>
  <c r="I19"/>
  <c r="B20"/>
  <c r="C20"/>
  <c r="E20" s="1"/>
  <c r="D20"/>
  <c r="G20"/>
  <c r="H20"/>
  <c r="I20"/>
  <c r="B21"/>
  <c r="C21"/>
  <c r="E21" s="1"/>
  <c r="D21"/>
  <c r="G21"/>
  <c r="H21"/>
  <c r="I21"/>
  <c r="B22"/>
  <c r="C22"/>
  <c r="E22" s="1"/>
  <c r="D22"/>
  <c r="G22"/>
  <c r="H22"/>
  <c r="I22"/>
  <c r="B23"/>
  <c r="C23"/>
  <c r="E23" s="1"/>
  <c r="D23"/>
  <c r="G23"/>
  <c r="H23"/>
  <c r="I23"/>
  <c r="B24"/>
  <c r="C24"/>
  <c r="E24" s="1"/>
  <c r="D24"/>
  <c r="G24"/>
  <c r="H24"/>
  <c r="I24"/>
  <c r="B25"/>
  <c r="C25"/>
  <c r="E25" s="1"/>
  <c r="D25"/>
  <c r="G25"/>
  <c r="H25"/>
  <c r="I25"/>
  <c r="B26"/>
  <c r="C26"/>
  <c r="E26" s="1"/>
  <c r="D26"/>
  <c r="G26"/>
  <c r="H26"/>
  <c r="I26"/>
  <c r="B27"/>
  <c r="C27"/>
  <c r="E27" s="1"/>
  <c r="D27"/>
  <c r="G27"/>
  <c r="H27"/>
  <c r="I27"/>
  <c r="B28"/>
  <c r="C28"/>
  <c r="E28" s="1"/>
  <c r="D28"/>
  <c r="G28"/>
  <c r="H28"/>
  <c r="I28"/>
  <c r="B29"/>
  <c r="C29"/>
  <c r="E29" s="1"/>
  <c r="D29"/>
  <c r="G29"/>
  <c r="H29"/>
  <c r="I29"/>
  <c r="B30"/>
  <c r="C30"/>
  <c r="E30" s="1"/>
  <c r="D30"/>
  <c r="G30"/>
  <c r="H30"/>
  <c r="I30"/>
  <c r="B31"/>
  <c r="C31"/>
  <c r="E31" s="1"/>
  <c r="D31"/>
  <c r="G31"/>
  <c r="H31"/>
  <c r="I31"/>
  <c r="B32"/>
  <c r="C32"/>
  <c r="E32" s="1"/>
  <c r="D32"/>
  <c r="G32"/>
  <c r="H32"/>
  <c r="I32"/>
  <c r="B33"/>
  <c r="C33"/>
  <c r="E33" s="1"/>
  <c r="D33"/>
  <c r="G33"/>
  <c r="H33"/>
  <c r="I33"/>
  <c r="B34"/>
  <c r="C34"/>
  <c r="E34" s="1"/>
  <c r="D34"/>
  <c r="G34"/>
  <c r="H34"/>
  <c r="I34"/>
  <c r="B35"/>
  <c r="C35"/>
  <c r="E35" s="1"/>
  <c r="D35"/>
  <c r="G35"/>
  <c r="H35"/>
  <c r="I35"/>
  <c r="B36"/>
  <c r="C36"/>
  <c r="E36" s="1"/>
  <c r="D36"/>
  <c r="G36"/>
  <c r="H36"/>
  <c r="I36"/>
  <c r="B37"/>
  <c r="C37"/>
  <c r="E37" s="1"/>
  <c r="D37"/>
  <c r="G37"/>
  <c r="H37"/>
  <c r="I37"/>
  <c r="B38"/>
  <c r="C38"/>
  <c r="E38" s="1"/>
  <c r="D38"/>
  <c r="G38"/>
  <c r="H38"/>
  <c r="I38"/>
  <c r="B39"/>
  <c r="C39"/>
  <c r="E39" s="1"/>
  <c r="D39"/>
  <c r="G39"/>
  <c r="H39"/>
  <c r="I39"/>
  <c r="B40"/>
  <c r="C40"/>
  <c r="E40" s="1"/>
  <c r="D40"/>
  <c r="G40"/>
  <c r="H40"/>
  <c r="I40"/>
  <c r="B41"/>
  <c r="C41"/>
  <c r="E41" s="1"/>
  <c r="D41"/>
  <c r="G41"/>
  <c r="H41"/>
  <c r="I41"/>
  <c r="B42"/>
  <c r="C42"/>
  <c r="E42" s="1"/>
  <c r="D42"/>
  <c r="G42"/>
  <c r="H42"/>
  <c r="I42"/>
  <c r="B43"/>
  <c r="C43"/>
  <c r="E43" s="1"/>
  <c r="D43"/>
  <c r="G43"/>
  <c r="H43"/>
  <c r="I43"/>
  <c r="B44"/>
  <c r="C44"/>
  <c r="E44" s="1"/>
  <c r="D44"/>
  <c r="G44"/>
  <c r="H44"/>
  <c r="I44"/>
  <c r="B45"/>
  <c r="C45"/>
  <c r="E45" s="1"/>
  <c r="D45"/>
  <c r="G45"/>
  <c r="H45"/>
  <c r="I45"/>
  <c r="M46"/>
  <c r="C10" i="150"/>
  <c r="G10"/>
  <c r="B14"/>
  <c r="C14"/>
  <c r="C13" s="1"/>
  <c r="D14"/>
  <c r="E14" s="1"/>
  <c r="G14"/>
  <c r="G13" s="1"/>
  <c r="H14"/>
  <c r="H13" s="1"/>
  <c r="B15"/>
  <c r="C15"/>
  <c r="D15"/>
  <c r="G15"/>
  <c r="I15" s="1"/>
  <c r="H15"/>
  <c r="B16"/>
  <c r="C16"/>
  <c r="D16"/>
  <c r="E16" s="1"/>
  <c r="G16"/>
  <c r="I16" s="1"/>
  <c r="H16"/>
  <c r="B17"/>
  <c r="C17"/>
  <c r="D17"/>
  <c r="G17"/>
  <c r="I17" s="1"/>
  <c r="H17"/>
  <c r="B18"/>
  <c r="C18"/>
  <c r="D18"/>
  <c r="E18" s="1"/>
  <c r="G18"/>
  <c r="I18" s="1"/>
  <c r="H18"/>
  <c r="B19"/>
  <c r="C19"/>
  <c r="D19"/>
  <c r="G19"/>
  <c r="I19" s="1"/>
  <c r="H19"/>
  <c r="B20"/>
  <c r="C20"/>
  <c r="D20"/>
  <c r="E20" s="1"/>
  <c r="G20"/>
  <c r="I20" s="1"/>
  <c r="H20"/>
  <c r="B21"/>
  <c r="C21"/>
  <c r="D21"/>
  <c r="G21"/>
  <c r="I21" s="1"/>
  <c r="H21"/>
  <c r="B22"/>
  <c r="C22"/>
  <c r="D22"/>
  <c r="E22" s="1"/>
  <c r="G22"/>
  <c r="I22" s="1"/>
  <c r="H22"/>
  <c r="B23"/>
  <c r="C23"/>
  <c r="D23"/>
  <c r="G23"/>
  <c r="I23" s="1"/>
  <c r="H23"/>
  <c r="B24"/>
  <c r="C24"/>
  <c r="D24"/>
  <c r="E24" s="1"/>
  <c r="G24"/>
  <c r="I24" s="1"/>
  <c r="H24"/>
  <c r="B25"/>
  <c r="C25"/>
  <c r="D25"/>
  <c r="G25"/>
  <c r="I25" s="1"/>
  <c r="H25"/>
  <c r="B26"/>
  <c r="C26"/>
  <c r="D26"/>
  <c r="E26" s="1"/>
  <c r="G26"/>
  <c r="I26" s="1"/>
  <c r="H26"/>
  <c r="B27"/>
  <c r="C27"/>
  <c r="D27"/>
  <c r="G27"/>
  <c r="I27" s="1"/>
  <c r="H27"/>
  <c r="B28"/>
  <c r="C28"/>
  <c r="D28"/>
  <c r="E28" s="1"/>
  <c r="G28"/>
  <c r="I28" s="1"/>
  <c r="H28"/>
  <c r="B29"/>
  <c r="C29"/>
  <c r="D29"/>
  <c r="G29"/>
  <c r="I29" s="1"/>
  <c r="H29"/>
  <c r="B30"/>
  <c r="C30"/>
  <c r="D30"/>
  <c r="E30" s="1"/>
  <c r="G30"/>
  <c r="I30" s="1"/>
  <c r="H30"/>
  <c r="B31"/>
  <c r="C31"/>
  <c r="D31"/>
  <c r="G31"/>
  <c r="I31" s="1"/>
  <c r="H31"/>
  <c r="B32"/>
  <c r="C32"/>
  <c r="D32"/>
  <c r="E32" s="1"/>
  <c r="G32"/>
  <c r="I32" s="1"/>
  <c r="H32"/>
  <c r="B33"/>
  <c r="C33"/>
  <c r="D33"/>
  <c r="G33"/>
  <c r="I33" s="1"/>
  <c r="H33"/>
  <c r="B34"/>
  <c r="C34"/>
  <c r="D34"/>
  <c r="E34" s="1"/>
  <c r="G34"/>
  <c r="I34" s="1"/>
  <c r="H34"/>
  <c r="B35"/>
  <c r="C35"/>
  <c r="D35"/>
  <c r="G35"/>
  <c r="I35" s="1"/>
  <c r="H35"/>
  <c r="B36"/>
  <c r="C36"/>
  <c r="D36"/>
  <c r="E36" s="1"/>
  <c r="G36"/>
  <c r="I36" s="1"/>
  <c r="H36"/>
  <c r="B37"/>
  <c r="C37"/>
  <c r="D37"/>
  <c r="G37"/>
  <c r="I37" s="1"/>
  <c r="H37"/>
  <c r="B38"/>
  <c r="C38"/>
  <c r="D38"/>
  <c r="E38" s="1"/>
  <c r="G38"/>
  <c r="I38" s="1"/>
  <c r="H38"/>
  <c r="B39"/>
  <c r="C39"/>
  <c r="D39"/>
  <c r="G39"/>
  <c r="I39" s="1"/>
  <c r="H39"/>
  <c r="B40"/>
  <c r="C40"/>
  <c r="D40"/>
  <c r="E40" s="1"/>
  <c r="G40"/>
  <c r="I40" s="1"/>
  <c r="H40"/>
  <c r="B41"/>
  <c r="C41"/>
  <c r="D41"/>
  <c r="G41"/>
  <c r="I41" s="1"/>
  <c r="H41"/>
  <c r="B42"/>
  <c r="C42"/>
  <c r="D42"/>
  <c r="E42" s="1"/>
  <c r="G42"/>
  <c r="I42" s="1"/>
  <c r="H42"/>
  <c r="M43"/>
  <c r="C10" i="70"/>
  <c r="G10"/>
  <c r="B14"/>
  <c r="C14"/>
  <c r="D14"/>
  <c r="E14"/>
  <c r="G14"/>
  <c r="G13" s="1"/>
  <c r="H14"/>
  <c r="I14" s="1"/>
  <c r="B15"/>
  <c r="C15"/>
  <c r="C13" s="1"/>
  <c r="D15"/>
  <c r="E15"/>
  <c r="G15"/>
  <c r="H15"/>
  <c r="B16"/>
  <c r="C16"/>
  <c r="D16"/>
  <c r="E16"/>
  <c r="G16"/>
  <c r="H16"/>
  <c r="I16" s="1"/>
  <c r="B17"/>
  <c r="C17"/>
  <c r="D17"/>
  <c r="E17"/>
  <c r="G17"/>
  <c r="H17"/>
  <c r="B18"/>
  <c r="C18"/>
  <c r="D18"/>
  <c r="E18"/>
  <c r="G18"/>
  <c r="H18"/>
  <c r="I18" s="1"/>
  <c r="B19"/>
  <c r="C19"/>
  <c r="D19"/>
  <c r="E19"/>
  <c r="G19"/>
  <c r="H19"/>
  <c r="B20"/>
  <c r="C20"/>
  <c r="D20"/>
  <c r="E20"/>
  <c r="G20"/>
  <c r="H20"/>
  <c r="I20" s="1"/>
  <c r="B21"/>
  <c r="C21"/>
  <c r="D21"/>
  <c r="E21"/>
  <c r="G21"/>
  <c r="H21"/>
  <c r="B22"/>
  <c r="C22"/>
  <c r="D22"/>
  <c r="E22"/>
  <c r="G22"/>
  <c r="H22"/>
  <c r="I22" s="1"/>
  <c r="B23"/>
  <c r="C23"/>
  <c r="D23"/>
  <c r="E23"/>
  <c r="G23"/>
  <c r="H23"/>
  <c r="B24"/>
  <c r="C24"/>
  <c r="D24"/>
  <c r="E24"/>
  <c r="G24"/>
  <c r="H24"/>
  <c r="I24" s="1"/>
  <c r="B25"/>
  <c r="C25"/>
  <c r="D25"/>
  <c r="E25"/>
  <c r="G25"/>
  <c r="H25"/>
  <c r="B26"/>
  <c r="C26"/>
  <c r="D26"/>
  <c r="E26"/>
  <c r="G26"/>
  <c r="H26"/>
  <c r="I26" s="1"/>
  <c r="B27"/>
  <c r="C27"/>
  <c r="D27"/>
  <c r="E27"/>
  <c r="G27"/>
  <c r="H27"/>
  <c r="B28"/>
  <c r="C28"/>
  <c r="D28"/>
  <c r="E28"/>
  <c r="G28"/>
  <c r="H28"/>
  <c r="I28" s="1"/>
  <c r="B29"/>
  <c r="C29"/>
  <c r="D29"/>
  <c r="E29"/>
  <c r="G29"/>
  <c r="H29"/>
  <c r="B30"/>
  <c r="C30"/>
  <c r="D30"/>
  <c r="E30"/>
  <c r="G30"/>
  <c r="H30"/>
  <c r="B31"/>
  <c r="C31"/>
  <c r="D31"/>
  <c r="E31"/>
  <c r="G31"/>
  <c r="H31"/>
  <c r="B32"/>
  <c r="C32"/>
  <c r="D32"/>
  <c r="E32"/>
  <c r="G32"/>
  <c r="H32"/>
  <c r="B33"/>
  <c r="C33"/>
  <c r="D33"/>
  <c r="E33"/>
  <c r="G33"/>
  <c r="H33"/>
  <c r="B34"/>
  <c r="C34"/>
  <c r="D34"/>
  <c r="E34"/>
  <c r="G34"/>
  <c r="H34"/>
  <c r="B35"/>
  <c r="C35"/>
  <c r="D35"/>
  <c r="E35"/>
  <c r="G35"/>
  <c r="H35"/>
  <c r="B36"/>
  <c r="C36"/>
  <c r="D36"/>
  <c r="E36"/>
  <c r="G36"/>
  <c r="H36"/>
  <c r="B37"/>
  <c r="C37"/>
  <c r="D37"/>
  <c r="E37"/>
  <c r="G37"/>
  <c r="H37"/>
  <c r="B38"/>
  <c r="C38"/>
  <c r="D38"/>
  <c r="E38"/>
  <c r="G38"/>
  <c r="H38"/>
  <c r="B39"/>
  <c r="C39"/>
  <c r="D39"/>
  <c r="E39"/>
  <c r="G39"/>
  <c r="H39"/>
  <c r="B40"/>
  <c r="C40"/>
  <c r="D40"/>
  <c r="E40"/>
  <c r="G40"/>
  <c r="H40"/>
  <c r="B41"/>
  <c r="C41"/>
  <c r="D41"/>
  <c r="E41"/>
  <c r="G41"/>
  <c r="H41"/>
  <c r="B42"/>
  <c r="C42"/>
  <c r="D42"/>
  <c r="E42"/>
  <c r="G42"/>
  <c r="H42"/>
  <c r="B43"/>
  <c r="C43"/>
  <c r="D43"/>
  <c r="E43"/>
  <c r="G43"/>
  <c r="H43"/>
  <c r="B44"/>
  <c r="C44"/>
  <c r="D44"/>
  <c r="E44"/>
  <c r="G44"/>
  <c r="H44"/>
  <c r="B45"/>
  <c r="C45"/>
  <c r="D45"/>
  <c r="E45"/>
  <c r="G45"/>
  <c r="H45"/>
  <c r="M46"/>
  <c r="C13" i="149"/>
  <c r="D13"/>
  <c r="D25" s="1"/>
  <c r="D26" s="1"/>
  <c r="E13"/>
  <c r="F13"/>
  <c r="G13"/>
  <c r="I13" s="1"/>
  <c r="H13"/>
  <c r="M13"/>
  <c r="C14"/>
  <c r="D14"/>
  <c r="E14"/>
  <c r="J14" s="1"/>
  <c r="F14"/>
  <c r="G14"/>
  <c r="H14"/>
  <c r="I14"/>
  <c r="M14"/>
  <c r="C15"/>
  <c r="D15"/>
  <c r="E15"/>
  <c r="F15"/>
  <c r="G15"/>
  <c r="I15" s="1"/>
  <c r="H15"/>
  <c r="M15"/>
  <c r="C16"/>
  <c r="D16"/>
  <c r="E16"/>
  <c r="J16" s="1"/>
  <c r="F16"/>
  <c r="G16"/>
  <c r="H16"/>
  <c r="I16"/>
  <c r="M16"/>
  <c r="G28" s="1"/>
  <c r="C17"/>
  <c r="D17"/>
  <c r="E17"/>
  <c r="F17"/>
  <c r="G17"/>
  <c r="I17" s="1"/>
  <c r="H17"/>
  <c r="M17"/>
  <c r="C18"/>
  <c r="D18"/>
  <c r="E18"/>
  <c r="J18" s="1"/>
  <c r="F18"/>
  <c r="G18"/>
  <c r="H18"/>
  <c r="I18"/>
  <c r="M18"/>
  <c r="C19"/>
  <c r="D19"/>
  <c r="E19"/>
  <c r="F19"/>
  <c r="G19"/>
  <c r="I19" s="1"/>
  <c r="H19"/>
  <c r="M19"/>
  <c r="C20"/>
  <c r="D20"/>
  <c r="E20"/>
  <c r="J20" s="1"/>
  <c r="F20"/>
  <c r="G20"/>
  <c r="H20"/>
  <c r="I20"/>
  <c r="M20"/>
  <c r="C21"/>
  <c r="D21"/>
  <c r="E21"/>
  <c r="F21"/>
  <c r="G21"/>
  <c r="I21" s="1"/>
  <c r="H21"/>
  <c r="M21"/>
  <c r="C22"/>
  <c r="D22"/>
  <c r="E22"/>
  <c r="J22" s="1"/>
  <c r="F22"/>
  <c r="G22"/>
  <c r="H22"/>
  <c r="I22"/>
  <c r="M22"/>
  <c r="C23"/>
  <c r="D23"/>
  <c r="E23"/>
  <c r="F23"/>
  <c r="G23"/>
  <c r="I23" s="1"/>
  <c r="H23"/>
  <c r="M23"/>
  <c r="C24"/>
  <c r="D24"/>
  <c r="E24"/>
  <c r="F24"/>
  <c r="H24"/>
  <c r="I24"/>
  <c r="J24"/>
  <c r="M24"/>
  <c r="C25"/>
  <c r="F25"/>
  <c r="D28"/>
  <c r="M32"/>
  <c r="M33"/>
  <c r="M34"/>
  <c r="M35"/>
  <c r="M36"/>
  <c r="M38"/>
  <c r="M39"/>
  <c r="M40"/>
  <c r="M41"/>
  <c r="C13" i="148"/>
  <c r="D13"/>
  <c r="E13"/>
  <c r="F13"/>
  <c r="G13"/>
  <c r="G25" s="1"/>
  <c r="C14"/>
  <c r="D14"/>
  <c r="E14"/>
  <c r="F14"/>
  <c r="G14"/>
  <c r="J14" s="1"/>
  <c r="C15"/>
  <c r="D15"/>
  <c r="E15"/>
  <c r="F15"/>
  <c r="J15" s="1"/>
  <c r="G15"/>
  <c r="C16"/>
  <c r="D16"/>
  <c r="E16"/>
  <c r="F16"/>
  <c r="G16"/>
  <c r="I16"/>
  <c r="J16"/>
  <c r="C17"/>
  <c r="D17"/>
  <c r="E17"/>
  <c r="F17"/>
  <c r="G17"/>
  <c r="I17"/>
  <c r="J17"/>
  <c r="C18"/>
  <c r="D18"/>
  <c r="E18"/>
  <c r="F18"/>
  <c r="G18"/>
  <c r="C19"/>
  <c r="D19"/>
  <c r="E19"/>
  <c r="F19"/>
  <c r="I19" s="1"/>
  <c r="G19"/>
  <c r="C20"/>
  <c r="D20"/>
  <c r="E20"/>
  <c r="F20"/>
  <c r="G20"/>
  <c r="J20" s="1"/>
  <c r="C21"/>
  <c r="D21"/>
  <c r="E21"/>
  <c r="F21"/>
  <c r="J21" s="1"/>
  <c r="G21"/>
  <c r="C22"/>
  <c r="D22"/>
  <c r="E22"/>
  <c r="F22"/>
  <c r="G22"/>
  <c r="I22"/>
  <c r="J22"/>
  <c r="C23"/>
  <c r="D23"/>
  <c r="E23"/>
  <c r="F23"/>
  <c r="G23"/>
  <c r="I23"/>
  <c r="J23"/>
  <c r="C24"/>
  <c r="D24"/>
  <c r="E24"/>
  <c r="F24"/>
  <c r="I24" s="1"/>
  <c r="H24"/>
  <c r="J24"/>
  <c r="M24"/>
  <c r="E25"/>
  <c r="M32"/>
  <c r="M33"/>
  <c r="M34"/>
  <c r="M35"/>
  <c r="M36"/>
  <c r="M38"/>
  <c r="M39"/>
  <c r="M40"/>
  <c r="M41"/>
  <c r="C13" i="146"/>
  <c r="D13"/>
  <c r="E13"/>
  <c r="F13"/>
  <c r="G13"/>
  <c r="H13"/>
  <c r="I13"/>
  <c r="J13"/>
  <c r="M13"/>
  <c r="C14"/>
  <c r="D14"/>
  <c r="E14"/>
  <c r="E25" s="1"/>
  <c r="E26" s="1"/>
  <c r="F14"/>
  <c r="F25" s="1"/>
  <c r="F26" s="1"/>
  <c r="G14"/>
  <c r="J14" s="1"/>
  <c r="C15"/>
  <c r="C25" s="1"/>
  <c r="D15"/>
  <c r="E15"/>
  <c r="J15" s="1"/>
  <c r="F15"/>
  <c r="G15"/>
  <c r="H15"/>
  <c r="I15"/>
  <c r="M15"/>
  <c r="C16"/>
  <c r="D16"/>
  <c r="E16"/>
  <c r="F16"/>
  <c r="G16"/>
  <c r="M16" s="1"/>
  <c r="H16"/>
  <c r="C17"/>
  <c r="D17"/>
  <c r="E17"/>
  <c r="F17"/>
  <c r="J17" s="1"/>
  <c r="G17"/>
  <c r="M17"/>
  <c r="C18"/>
  <c r="D18"/>
  <c r="E18"/>
  <c r="F18"/>
  <c r="G18"/>
  <c r="J18" s="1"/>
  <c r="I18"/>
  <c r="C19"/>
  <c r="D19"/>
  <c r="E19"/>
  <c r="F19"/>
  <c r="H19" s="1"/>
  <c r="G19"/>
  <c r="M19"/>
  <c r="C20"/>
  <c r="D20"/>
  <c r="E20"/>
  <c r="F20"/>
  <c r="G20"/>
  <c r="J20" s="1"/>
  <c r="H20"/>
  <c r="I20"/>
  <c r="M20"/>
  <c r="C21"/>
  <c r="D21"/>
  <c r="E21"/>
  <c r="F21"/>
  <c r="I21" s="1"/>
  <c r="G21"/>
  <c r="H21"/>
  <c r="M21"/>
  <c r="C22"/>
  <c r="D22"/>
  <c r="E22"/>
  <c r="F22"/>
  <c r="G22"/>
  <c r="H22"/>
  <c r="I22"/>
  <c r="M22"/>
  <c r="C23"/>
  <c r="D23"/>
  <c r="E23"/>
  <c r="F23"/>
  <c r="J23" s="1"/>
  <c r="G23"/>
  <c r="H23"/>
  <c r="I23"/>
  <c r="M23"/>
  <c r="C24"/>
  <c r="D24"/>
  <c r="E24"/>
  <c r="F24"/>
  <c r="H24" s="1"/>
  <c r="M24"/>
  <c r="D25"/>
  <c r="M32"/>
  <c r="M33"/>
  <c r="M34"/>
  <c r="M35"/>
  <c r="M36"/>
  <c r="M38"/>
  <c r="M39"/>
  <c r="M40"/>
  <c r="M41"/>
  <c r="C13" i="147"/>
  <c r="D13"/>
  <c r="E13"/>
  <c r="E25" s="1"/>
  <c r="F13"/>
  <c r="F25" s="1"/>
  <c r="F26" s="1"/>
  <c r="G13"/>
  <c r="M13" s="1"/>
  <c r="H13"/>
  <c r="C14"/>
  <c r="D14"/>
  <c r="E14"/>
  <c r="F14"/>
  <c r="G14"/>
  <c r="H14"/>
  <c r="I14"/>
  <c r="J14"/>
  <c r="M14"/>
  <c r="C15"/>
  <c r="D15"/>
  <c r="E15"/>
  <c r="F15"/>
  <c r="G15"/>
  <c r="I15" s="1"/>
  <c r="J15"/>
  <c r="C16"/>
  <c r="D16"/>
  <c r="E16"/>
  <c r="F16"/>
  <c r="G16"/>
  <c r="H16" s="1"/>
  <c r="C17"/>
  <c r="D17"/>
  <c r="E17"/>
  <c r="F17"/>
  <c r="G17"/>
  <c r="I17" s="1"/>
  <c r="H17"/>
  <c r="J17"/>
  <c r="M17"/>
  <c r="C18"/>
  <c r="D18"/>
  <c r="E18"/>
  <c r="F18"/>
  <c r="G18"/>
  <c r="I18" s="1"/>
  <c r="H18"/>
  <c r="C19"/>
  <c r="D19"/>
  <c r="E19"/>
  <c r="J19" s="1"/>
  <c r="F19"/>
  <c r="G19"/>
  <c r="I19" s="1"/>
  <c r="H19"/>
  <c r="M19"/>
  <c r="C20"/>
  <c r="D20"/>
  <c r="E20"/>
  <c r="F20"/>
  <c r="G20"/>
  <c r="J20" s="1"/>
  <c r="I20"/>
  <c r="C21"/>
  <c r="D21"/>
  <c r="E21"/>
  <c r="F21"/>
  <c r="J21" s="1"/>
  <c r="G21"/>
  <c r="M21"/>
  <c r="C22"/>
  <c r="D22"/>
  <c r="E22"/>
  <c r="F22"/>
  <c r="G22"/>
  <c r="M22" s="1"/>
  <c r="H22"/>
  <c r="I22"/>
  <c r="J22"/>
  <c r="C23"/>
  <c r="D23"/>
  <c r="E23"/>
  <c r="F23"/>
  <c r="G23"/>
  <c r="I23" s="1"/>
  <c r="C24"/>
  <c r="D24"/>
  <c r="E24"/>
  <c r="F24"/>
  <c r="H24"/>
  <c r="I24"/>
  <c r="J24"/>
  <c r="M24"/>
  <c r="C25"/>
  <c r="M32"/>
  <c r="M33"/>
  <c r="M34"/>
  <c r="M35"/>
  <c r="M36"/>
  <c r="M38"/>
  <c r="M39"/>
  <c r="M40"/>
  <c r="M41"/>
  <c r="C13" i="145"/>
  <c r="D13"/>
  <c r="E13"/>
  <c r="F13"/>
  <c r="G13"/>
  <c r="M13" s="1"/>
  <c r="H13"/>
  <c r="C14"/>
  <c r="D14"/>
  <c r="E14"/>
  <c r="E25" s="1"/>
  <c r="F14"/>
  <c r="J14" s="1"/>
  <c r="G14"/>
  <c r="M14"/>
  <c r="C15"/>
  <c r="D15"/>
  <c r="E15"/>
  <c r="F15"/>
  <c r="G15"/>
  <c r="M15" s="1"/>
  <c r="H15"/>
  <c r="J15"/>
  <c r="C16"/>
  <c r="D16"/>
  <c r="E16"/>
  <c r="F16"/>
  <c r="G16"/>
  <c r="M16" s="1"/>
  <c r="I16"/>
  <c r="C17"/>
  <c r="D17"/>
  <c r="E17"/>
  <c r="F17"/>
  <c r="J17" s="1"/>
  <c r="G17"/>
  <c r="M17" s="1"/>
  <c r="C18"/>
  <c r="D18"/>
  <c r="E18"/>
  <c r="F18"/>
  <c r="G18"/>
  <c r="H18" s="1"/>
  <c r="I18"/>
  <c r="M18"/>
  <c r="C19"/>
  <c r="D19"/>
  <c r="E19"/>
  <c r="F19"/>
  <c r="G19"/>
  <c r="M19" s="1"/>
  <c r="H19"/>
  <c r="C20"/>
  <c r="D20"/>
  <c r="E20"/>
  <c r="F20"/>
  <c r="J20" s="1"/>
  <c r="G20"/>
  <c r="M20"/>
  <c r="C21"/>
  <c r="D21"/>
  <c r="E21"/>
  <c r="F21"/>
  <c r="G21"/>
  <c r="M21" s="1"/>
  <c r="H21"/>
  <c r="J21"/>
  <c r="C22"/>
  <c r="D22"/>
  <c r="E22"/>
  <c r="F22"/>
  <c r="G22"/>
  <c r="M22" s="1"/>
  <c r="I22"/>
  <c r="C23"/>
  <c r="D23"/>
  <c r="E23"/>
  <c r="F23"/>
  <c r="J23" s="1"/>
  <c r="G23"/>
  <c r="M23" s="1"/>
  <c r="C24"/>
  <c r="D24"/>
  <c r="E24"/>
  <c r="F24"/>
  <c r="I24" s="1"/>
  <c r="H24"/>
  <c r="J24"/>
  <c r="M24"/>
  <c r="C25"/>
  <c r="G25"/>
  <c r="M32"/>
  <c r="M33"/>
  <c r="M34"/>
  <c r="M35"/>
  <c r="M36"/>
  <c r="M38"/>
  <c r="M39"/>
  <c r="M40"/>
  <c r="M41"/>
  <c r="C13" i="144"/>
  <c r="D13"/>
  <c r="E13"/>
  <c r="F13"/>
  <c r="I13" s="1"/>
  <c r="G13"/>
  <c r="M13"/>
  <c r="C14"/>
  <c r="C25" s="1"/>
  <c r="D14"/>
  <c r="E14"/>
  <c r="F14"/>
  <c r="G14"/>
  <c r="J14" s="1"/>
  <c r="H14"/>
  <c r="M14"/>
  <c r="C15"/>
  <c r="D15"/>
  <c r="E15"/>
  <c r="F15"/>
  <c r="I15" s="1"/>
  <c r="G15"/>
  <c r="M15"/>
  <c r="C16"/>
  <c r="D16"/>
  <c r="E16"/>
  <c r="F16"/>
  <c r="G16"/>
  <c r="H16"/>
  <c r="I16"/>
  <c r="M16"/>
  <c r="C17"/>
  <c r="D17"/>
  <c r="E17"/>
  <c r="F17"/>
  <c r="J17" s="1"/>
  <c r="G17"/>
  <c r="I17"/>
  <c r="M17"/>
  <c r="C18"/>
  <c r="D18"/>
  <c r="E18"/>
  <c r="F18"/>
  <c r="I18" s="1"/>
  <c r="G18"/>
  <c r="M18"/>
  <c r="C19"/>
  <c r="D19"/>
  <c r="D25" s="1"/>
  <c r="D26" s="1"/>
  <c r="E19"/>
  <c r="F19"/>
  <c r="G19"/>
  <c r="H19"/>
  <c r="I19"/>
  <c r="J19"/>
  <c r="M19"/>
  <c r="C20"/>
  <c r="D20"/>
  <c r="E20"/>
  <c r="F20"/>
  <c r="G20"/>
  <c r="J20" s="1"/>
  <c r="C21"/>
  <c r="D21"/>
  <c r="E21"/>
  <c r="J21" s="1"/>
  <c r="F21"/>
  <c r="G21"/>
  <c r="H21"/>
  <c r="I21"/>
  <c r="M21"/>
  <c r="C22"/>
  <c r="D22"/>
  <c r="E22"/>
  <c r="F22"/>
  <c r="G22"/>
  <c r="M22" s="1"/>
  <c r="H22"/>
  <c r="C23"/>
  <c r="D23"/>
  <c r="E23"/>
  <c r="F23"/>
  <c r="J23" s="1"/>
  <c r="G23"/>
  <c r="M23"/>
  <c r="C24"/>
  <c r="D24"/>
  <c r="E24"/>
  <c r="F24"/>
  <c r="I24" s="1"/>
  <c r="H24"/>
  <c r="J24"/>
  <c r="M24"/>
  <c r="E25"/>
  <c r="G25"/>
  <c r="M32"/>
  <c r="M33"/>
  <c r="M34"/>
  <c r="M35"/>
  <c r="M36"/>
  <c r="M38"/>
  <c r="M39"/>
  <c r="M40"/>
  <c r="M41"/>
  <c r="C13" i="143"/>
  <c r="D13"/>
  <c r="E13"/>
  <c r="F13"/>
  <c r="G13"/>
  <c r="I13" s="1"/>
  <c r="H13"/>
  <c r="M13"/>
  <c r="C14"/>
  <c r="C25" s="1"/>
  <c r="D14"/>
  <c r="E14"/>
  <c r="F14"/>
  <c r="G14"/>
  <c r="J14" s="1"/>
  <c r="I14"/>
  <c r="C15"/>
  <c r="D15"/>
  <c r="E15"/>
  <c r="F15"/>
  <c r="F25" s="1"/>
  <c r="F26" s="1"/>
  <c r="G15"/>
  <c r="M15"/>
  <c r="C16"/>
  <c r="D16"/>
  <c r="E16"/>
  <c r="F16"/>
  <c r="G16"/>
  <c r="M16" s="1"/>
  <c r="H16"/>
  <c r="J16"/>
  <c r="C17"/>
  <c r="D17"/>
  <c r="E17"/>
  <c r="F17"/>
  <c r="G17"/>
  <c r="I17" s="1"/>
  <c r="C18"/>
  <c r="D18"/>
  <c r="E18"/>
  <c r="J18" s="1"/>
  <c r="F18"/>
  <c r="G18"/>
  <c r="H18"/>
  <c r="I18"/>
  <c r="M18"/>
  <c r="C19"/>
  <c r="D19"/>
  <c r="E19"/>
  <c r="F19"/>
  <c r="G19"/>
  <c r="M19" s="1"/>
  <c r="H19"/>
  <c r="C20"/>
  <c r="D20"/>
  <c r="E20"/>
  <c r="F20"/>
  <c r="G20"/>
  <c r="H20"/>
  <c r="I20"/>
  <c r="J20"/>
  <c r="M20"/>
  <c r="C21"/>
  <c r="D21"/>
  <c r="E21"/>
  <c r="F21"/>
  <c r="G21"/>
  <c r="I21" s="1"/>
  <c r="J21"/>
  <c r="C22"/>
  <c r="D22"/>
  <c r="E22"/>
  <c r="F22"/>
  <c r="G22"/>
  <c r="H22" s="1"/>
  <c r="C23"/>
  <c r="D23"/>
  <c r="E23"/>
  <c r="F23"/>
  <c r="G23"/>
  <c r="I23" s="1"/>
  <c r="H23"/>
  <c r="M23"/>
  <c r="C24"/>
  <c r="D24"/>
  <c r="E24"/>
  <c r="F24"/>
  <c r="H24"/>
  <c r="I24"/>
  <c r="J24"/>
  <c r="M24"/>
  <c r="E25"/>
  <c r="G25"/>
  <c r="M32"/>
  <c r="M33"/>
  <c r="M34"/>
  <c r="M35"/>
  <c r="M36"/>
  <c r="M38"/>
  <c r="M39"/>
  <c r="M40"/>
  <c r="M41"/>
  <c r="C13" i="142"/>
  <c r="C25" s="1"/>
  <c r="D13"/>
  <c r="E13"/>
  <c r="F13"/>
  <c r="G13"/>
  <c r="M13" s="1"/>
  <c r="H13"/>
  <c r="I13"/>
  <c r="J13"/>
  <c r="C14"/>
  <c r="D14"/>
  <c r="E14"/>
  <c r="F14"/>
  <c r="G14"/>
  <c r="H14" s="1"/>
  <c r="J14"/>
  <c r="C15"/>
  <c r="D15"/>
  <c r="E15"/>
  <c r="F15"/>
  <c r="G15"/>
  <c r="M15" s="1"/>
  <c r="C16"/>
  <c r="D16"/>
  <c r="E16"/>
  <c r="E25" s="1"/>
  <c r="E26" s="1"/>
  <c r="F16"/>
  <c r="G16"/>
  <c r="H16" s="1"/>
  <c r="I16"/>
  <c r="M16"/>
  <c r="C17"/>
  <c r="D17"/>
  <c r="E17"/>
  <c r="F17"/>
  <c r="G17"/>
  <c r="M17" s="1"/>
  <c r="I17"/>
  <c r="C18"/>
  <c r="D18"/>
  <c r="E18"/>
  <c r="F18"/>
  <c r="G18"/>
  <c r="H18" s="1"/>
  <c r="C19"/>
  <c r="D19"/>
  <c r="E19"/>
  <c r="F19"/>
  <c r="G19"/>
  <c r="M19" s="1"/>
  <c r="H19"/>
  <c r="I19"/>
  <c r="J19"/>
  <c r="C20"/>
  <c r="D20"/>
  <c r="E20"/>
  <c r="F20"/>
  <c r="G20"/>
  <c r="H20" s="1"/>
  <c r="J20"/>
  <c r="C21"/>
  <c r="D21"/>
  <c r="E21"/>
  <c r="F21"/>
  <c r="G21"/>
  <c r="M21" s="1"/>
  <c r="C22"/>
  <c r="D22"/>
  <c r="E22"/>
  <c r="J22" s="1"/>
  <c r="F22"/>
  <c r="G22"/>
  <c r="H22" s="1"/>
  <c r="I22"/>
  <c r="M22"/>
  <c r="C23"/>
  <c r="D23"/>
  <c r="E23"/>
  <c r="F23"/>
  <c r="G23"/>
  <c r="M23" s="1"/>
  <c r="I23"/>
  <c r="C24"/>
  <c r="D24"/>
  <c r="E24"/>
  <c r="F24"/>
  <c r="I24" s="1"/>
  <c r="H24"/>
  <c r="M24"/>
  <c r="D25"/>
  <c r="D26" s="1"/>
  <c r="G25"/>
  <c r="M32"/>
  <c r="M33"/>
  <c r="M34"/>
  <c r="M35"/>
  <c r="M36"/>
  <c r="M38"/>
  <c r="M39"/>
  <c r="M40"/>
  <c r="M41"/>
  <c r="C13" i="141"/>
  <c r="C25" s="1"/>
  <c r="D13"/>
  <c r="E13"/>
  <c r="F13"/>
  <c r="G13"/>
  <c r="H13"/>
  <c r="I13"/>
  <c r="J13"/>
  <c r="M13"/>
  <c r="C14"/>
  <c r="D14"/>
  <c r="E14"/>
  <c r="F14"/>
  <c r="G14"/>
  <c r="J14" s="1"/>
  <c r="C15"/>
  <c r="D15"/>
  <c r="E15"/>
  <c r="J15" s="1"/>
  <c r="F15"/>
  <c r="G15"/>
  <c r="H15"/>
  <c r="I15"/>
  <c r="M15"/>
  <c r="C16"/>
  <c r="D16"/>
  <c r="E16"/>
  <c r="F16"/>
  <c r="F25" s="1"/>
  <c r="F26" s="1"/>
  <c r="G16"/>
  <c r="M16" s="1"/>
  <c r="H16"/>
  <c r="C17"/>
  <c r="D17"/>
  <c r="E17"/>
  <c r="F17"/>
  <c r="J17" s="1"/>
  <c r="G17"/>
  <c r="M17"/>
  <c r="C18"/>
  <c r="D18"/>
  <c r="E18"/>
  <c r="F18"/>
  <c r="G18"/>
  <c r="J18" s="1"/>
  <c r="I18"/>
  <c r="C19"/>
  <c r="D19"/>
  <c r="E19"/>
  <c r="F19"/>
  <c r="J19" s="1"/>
  <c r="G19"/>
  <c r="M19"/>
  <c r="C20"/>
  <c r="D20"/>
  <c r="E20"/>
  <c r="F20"/>
  <c r="G20"/>
  <c r="J20" s="1"/>
  <c r="I20"/>
  <c r="C21"/>
  <c r="D21"/>
  <c r="E21"/>
  <c r="F21"/>
  <c r="J21" s="1"/>
  <c r="G21"/>
  <c r="M21"/>
  <c r="C22"/>
  <c r="D22"/>
  <c r="E22"/>
  <c r="F22"/>
  <c r="G22"/>
  <c r="J22" s="1"/>
  <c r="I22"/>
  <c r="C23"/>
  <c r="D23"/>
  <c r="E23"/>
  <c r="F23"/>
  <c r="J23" s="1"/>
  <c r="G23"/>
  <c r="M23"/>
  <c r="C24"/>
  <c r="D24"/>
  <c r="E24"/>
  <c r="F24"/>
  <c r="H24"/>
  <c r="I24"/>
  <c r="J24"/>
  <c r="M24"/>
  <c r="E25"/>
  <c r="G25"/>
  <c r="M32"/>
  <c r="M33"/>
  <c r="M34"/>
  <c r="M35"/>
  <c r="M36"/>
  <c r="M38"/>
  <c r="M39"/>
  <c r="M40"/>
  <c r="M41"/>
  <c r="C13" i="140"/>
  <c r="D13"/>
  <c r="D25" s="1"/>
  <c r="D26" s="1"/>
  <c r="E13"/>
  <c r="E25" s="1"/>
  <c r="E26" s="1"/>
  <c r="F13"/>
  <c r="G13"/>
  <c r="I13" s="1"/>
  <c r="H13"/>
  <c r="C14"/>
  <c r="D14"/>
  <c r="E14"/>
  <c r="J14" s="1"/>
  <c r="F14"/>
  <c r="G14"/>
  <c r="H14"/>
  <c r="I14"/>
  <c r="M14"/>
  <c r="C15"/>
  <c r="D15"/>
  <c r="E15"/>
  <c r="F15"/>
  <c r="G15"/>
  <c r="I15" s="1"/>
  <c r="H15"/>
  <c r="C16"/>
  <c r="D16"/>
  <c r="E16"/>
  <c r="J16" s="1"/>
  <c r="F16"/>
  <c r="G16"/>
  <c r="H16"/>
  <c r="I16"/>
  <c r="M16"/>
  <c r="C17"/>
  <c r="D17"/>
  <c r="E17"/>
  <c r="F17"/>
  <c r="G17"/>
  <c r="I17" s="1"/>
  <c r="H17"/>
  <c r="C18"/>
  <c r="D18"/>
  <c r="E18"/>
  <c r="J18" s="1"/>
  <c r="F18"/>
  <c r="G18"/>
  <c r="H18"/>
  <c r="I18"/>
  <c r="M18"/>
  <c r="C19"/>
  <c r="D19"/>
  <c r="E19"/>
  <c r="F19"/>
  <c r="G19"/>
  <c r="I19" s="1"/>
  <c r="H19"/>
  <c r="C20"/>
  <c r="D20"/>
  <c r="E20"/>
  <c r="J20" s="1"/>
  <c r="F20"/>
  <c r="G20"/>
  <c r="H20"/>
  <c r="I20"/>
  <c r="M20"/>
  <c r="C21"/>
  <c r="D21"/>
  <c r="E21"/>
  <c r="F21"/>
  <c r="G21"/>
  <c r="I21" s="1"/>
  <c r="H21"/>
  <c r="C22"/>
  <c r="D22"/>
  <c r="E22"/>
  <c r="J22" s="1"/>
  <c r="F22"/>
  <c r="G22"/>
  <c r="H22"/>
  <c r="I22"/>
  <c r="M22"/>
  <c r="C23"/>
  <c r="D23"/>
  <c r="E23"/>
  <c r="F23"/>
  <c r="G23"/>
  <c r="I23" s="1"/>
  <c r="H23"/>
  <c r="C24"/>
  <c r="D24"/>
  <c r="E24"/>
  <c r="F24"/>
  <c r="H24"/>
  <c r="I24"/>
  <c r="J24"/>
  <c r="M24"/>
  <c r="C25"/>
  <c r="G25"/>
  <c r="M32"/>
  <c r="M33"/>
  <c r="M34"/>
  <c r="M35"/>
  <c r="M36"/>
  <c r="M38"/>
  <c r="M39"/>
  <c r="M40"/>
  <c r="M41"/>
  <c r="C13" i="139"/>
  <c r="D13"/>
  <c r="E13"/>
  <c r="F13"/>
  <c r="F25" s="1"/>
  <c r="F26" s="1"/>
  <c r="G13"/>
  <c r="M13" s="1"/>
  <c r="H13"/>
  <c r="I13"/>
  <c r="J13"/>
  <c r="C14"/>
  <c r="D14"/>
  <c r="E14"/>
  <c r="F14"/>
  <c r="G14"/>
  <c r="H14" s="1"/>
  <c r="C15"/>
  <c r="D15"/>
  <c r="E15"/>
  <c r="F15"/>
  <c r="G15"/>
  <c r="M15" s="1"/>
  <c r="H15"/>
  <c r="I15"/>
  <c r="J15"/>
  <c r="C16"/>
  <c r="D16"/>
  <c r="E16"/>
  <c r="F16"/>
  <c r="G16"/>
  <c r="H16" s="1"/>
  <c r="C17"/>
  <c r="D17"/>
  <c r="E17"/>
  <c r="F17"/>
  <c r="G17"/>
  <c r="M17" s="1"/>
  <c r="H17"/>
  <c r="I17"/>
  <c r="J17"/>
  <c r="C18"/>
  <c r="D18"/>
  <c r="E18"/>
  <c r="F18"/>
  <c r="G18"/>
  <c r="H18" s="1"/>
  <c r="C19"/>
  <c r="D19"/>
  <c r="E19"/>
  <c r="F19"/>
  <c r="G19"/>
  <c r="M19" s="1"/>
  <c r="H19"/>
  <c r="I19"/>
  <c r="J19"/>
  <c r="C20"/>
  <c r="D20"/>
  <c r="E20"/>
  <c r="F20"/>
  <c r="G20"/>
  <c r="H20" s="1"/>
  <c r="C21"/>
  <c r="D21"/>
  <c r="E21"/>
  <c r="F21"/>
  <c r="G21"/>
  <c r="M21" s="1"/>
  <c r="H21"/>
  <c r="I21"/>
  <c r="J21"/>
  <c r="C22"/>
  <c r="D22"/>
  <c r="E22"/>
  <c r="F22"/>
  <c r="G22"/>
  <c r="H22" s="1"/>
  <c r="C23"/>
  <c r="D23"/>
  <c r="E23"/>
  <c r="F23"/>
  <c r="G23"/>
  <c r="M23" s="1"/>
  <c r="H23"/>
  <c r="I23"/>
  <c r="J23"/>
  <c r="C24"/>
  <c r="D24"/>
  <c r="E24"/>
  <c r="F24"/>
  <c r="I24" s="1"/>
  <c r="H24"/>
  <c r="M24"/>
  <c r="C25"/>
  <c r="E25"/>
  <c r="M32"/>
  <c r="M33"/>
  <c r="M34"/>
  <c r="M35"/>
  <c r="M36"/>
  <c r="M38"/>
  <c r="M39"/>
  <c r="M40"/>
  <c r="M41"/>
  <c r="C13" i="64"/>
  <c r="C25" s="1"/>
  <c r="D13"/>
  <c r="E13"/>
  <c r="F13"/>
  <c r="G13"/>
  <c r="M13"/>
  <c r="C14"/>
  <c r="D14"/>
  <c r="E14"/>
  <c r="F14"/>
  <c r="G14"/>
  <c r="J14" s="1"/>
  <c r="I14"/>
  <c r="C15"/>
  <c r="D15"/>
  <c r="E15"/>
  <c r="F15"/>
  <c r="J15" s="1"/>
  <c r="G15"/>
  <c r="M15"/>
  <c r="C16"/>
  <c r="D16"/>
  <c r="E16"/>
  <c r="F16"/>
  <c r="G16"/>
  <c r="J16" s="1"/>
  <c r="I16"/>
  <c r="C17"/>
  <c r="D17"/>
  <c r="E17"/>
  <c r="F17"/>
  <c r="J17" s="1"/>
  <c r="G17"/>
  <c r="M17"/>
  <c r="C18"/>
  <c r="D18"/>
  <c r="E18"/>
  <c r="F18"/>
  <c r="G18"/>
  <c r="J18" s="1"/>
  <c r="I18"/>
  <c r="C19"/>
  <c r="D19"/>
  <c r="E19"/>
  <c r="F19"/>
  <c r="J19" s="1"/>
  <c r="G19"/>
  <c r="M19"/>
  <c r="C20"/>
  <c r="D20"/>
  <c r="E20"/>
  <c r="F20"/>
  <c r="G20"/>
  <c r="J20" s="1"/>
  <c r="I20"/>
  <c r="C21"/>
  <c r="D21"/>
  <c r="E21"/>
  <c r="F21"/>
  <c r="J21" s="1"/>
  <c r="G21"/>
  <c r="M21"/>
  <c r="C22"/>
  <c r="D22"/>
  <c r="E22"/>
  <c r="F22"/>
  <c r="G22"/>
  <c r="J22" s="1"/>
  <c r="I22"/>
  <c r="C23"/>
  <c r="D23"/>
  <c r="E23"/>
  <c r="F23"/>
  <c r="J23" s="1"/>
  <c r="G23"/>
  <c r="M23"/>
  <c r="C24"/>
  <c r="D24"/>
  <c r="E24"/>
  <c r="F24"/>
  <c r="H24"/>
  <c r="I24"/>
  <c r="J24"/>
  <c r="M24"/>
  <c r="E25"/>
  <c r="G25"/>
  <c r="M32"/>
  <c r="M33"/>
  <c r="M34"/>
  <c r="M35"/>
  <c r="M36"/>
  <c r="M38"/>
  <c r="M39"/>
  <c r="M40"/>
  <c r="M41"/>
  <c r="C10" i="156"/>
  <c r="G10"/>
  <c r="C13"/>
  <c r="D13"/>
  <c r="E13" s="1"/>
  <c r="F13"/>
  <c r="G13"/>
  <c r="H13"/>
  <c r="I13"/>
  <c r="J13"/>
  <c r="C15"/>
  <c r="D15"/>
  <c r="E15"/>
  <c r="F15"/>
  <c r="G15"/>
  <c r="G14" s="1"/>
  <c r="H15"/>
  <c r="I15" s="1"/>
  <c r="C16"/>
  <c r="D16"/>
  <c r="E16" s="1"/>
  <c r="F16"/>
  <c r="G16"/>
  <c r="H16"/>
  <c r="I16"/>
  <c r="J16"/>
  <c r="C17"/>
  <c r="C14" s="1"/>
  <c r="D17"/>
  <c r="E17" s="1"/>
  <c r="G17"/>
  <c r="H17"/>
  <c r="I17" s="1"/>
  <c r="J17"/>
  <c r="C18"/>
  <c r="D18"/>
  <c r="E18"/>
  <c r="F18"/>
  <c r="G18"/>
  <c r="H18"/>
  <c r="I18" s="1"/>
  <c r="C19"/>
  <c r="D19"/>
  <c r="E19" s="1"/>
  <c r="F19"/>
  <c r="G19"/>
  <c r="H19"/>
  <c r="I19"/>
  <c r="J19"/>
  <c r="C20"/>
  <c r="D20"/>
  <c r="E20" s="1"/>
  <c r="G20"/>
  <c r="H20"/>
  <c r="I20" s="1"/>
  <c r="J20"/>
  <c r="C21"/>
  <c r="D21"/>
  <c r="E21"/>
  <c r="F21"/>
  <c r="G21"/>
  <c r="H21"/>
  <c r="I21" s="1"/>
  <c r="C22"/>
  <c r="D22"/>
  <c r="E22" s="1"/>
  <c r="F22"/>
  <c r="G22"/>
  <c r="H22"/>
  <c r="I22"/>
  <c r="J22"/>
  <c r="C23"/>
  <c r="D23"/>
  <c r="E23" s="1"/>
  <c r="G23"/>
  <c r="H23"/>
  <c r="I23" s="1"/>
  <c r="J23"/>
  <c r="C24"/>
  <c r="D24"/>
  <c r="E24"/>
  <c r="F24"/>
  <c r="G24"/>
  <c r="H24"/>
  <c r="I24" s="1"/>
  <c r="C25"/>
  <c r="D25"/>
  <c r="E25" s="1"/>
  <c r="F25"/>
  <c r="G25"/>
  <c r="H25"/>
  <c r="I25"/>
  <c r="J25"/>
  <c r="C26"/>
  <c r="D26"/>
  <c r="E26" s="1"/>
  <c r="G26"/>
  <c r="H26"/>
  <c r="I26" s="1"/>
  <c r="J26"/>
  <c r="C28"/>
  <c r="C27" s="1"/>
  <c r="D28"/>
  <c r="E28" s="1"/>
  <c r="F28"/>
  <c r="G28"/>
  <c r="H28"/>
  <c r="I28"/>
  <c r="J28"/>
  <c r="C29"/>
  <c r="D29"/>
  <c r="E29" s="1"/>
  <c r="G29"/>
  <c r="H29"/>
  <c r="I29" s="1"/>
  <c r="J29"/>
  <c r="C30"/>
  <c r="D30"/>
  <c r="E30"/>
  <c r="F30"/>
  <c r="G30"/>
  <c r="G27" s="1"/>
  <c r="H30"/>
  <c r="I30" s="1"/>
  <c r="C31"/>
  <c r="D31"/>
  <c r="E31" s="1"/>
  <c r="F31"/>
  <c r="G31"/>
  <c r="H31"/>
  <c r="I31"/>
  <c r="J31"/>
  <c r="C32"/>
  <c r="D32"/>
  <c r="E32" s="1"/>
  <c r="G32"/>
  <c r="H32"/>
  <c r="I32" s="1"/>
  <c r="J32"/>
  <c r="C33"/>
  <c r="D33"/>
  <c r="E33"/>
  <c r="F33"/>
  <c r="G33"/>
  <c r="H33"/>
  <c r="I33" s="1"/>
  <c r="C34"/>
  <c r="D34"/>
  <c r="E34" s="1"/>
  <c r="F34"/>
  <c r="G34"/>
  <c r="H34"/>
  <c r="I34"/>
  <c r="J34"/>
  <c r="C35"/>
  <c r="D35"/>
  <c r="E35" s="1"/>
  <c r="G35"/>
  <c r="H35"/>
  <c r="I35" s="1"/>
  <c r="J35"/>
  <c r="C37"/>
  <c r="C36" s="1"/>
  <c r="D37"/>
  <c r="E37" s="1"/>
  <c r="F37"/>
  <c r="G37"/>
  <c r="H37"/>
  <c r="I37"/>
  <c r="J37"/>
  <c r="C38"/>
  <c r="D38"/>
  <c r="E38" s="1"/>
  <c r="G38"/>
  <c r="H38"/>
  <c r="I38" s="1"/>
  <c r="J38"/>
  <c r="C39"/>
  <c r="D39"/>
  <c r="E39"/>
  <c r="F39"/>
  <c r="G39"/>
  <c r="G36" s="1"/>
  <c r="H39"/>
  <c r="I39" s="1"/>
  <c r="C40"/>
  <c r="D40"/>
  <c r="E40" s="1"/>
  <c r="F40"/>
  <c r="G40"/>
  <c r="H40"/>
  <c r="I40"/>
  <c r="J40"/>
  <c r="C41"/>
  <c r="D41"/>
  <c r="E41" s="1"/>
  <c r="G41"/>
  <c r="H41"/>
  <c r="I41" s="1"/>
  <c r="J41"/>
  <c r="C42"/>
  <c r="D42"/>
  <c r="E42"/>
  <c r="F42"/>
  <c r="G42"/>
  <c r="H42"/>
  <c r="I42" s="1"/>
  <c r="C43"/>
  <c r="D43"/>
  <c r="E43" s="1"/>
  <c r="F43"/>
  <c r="G43"/>
  <c r="H43"/>
  <c r="I43"/>
  <c r="J43"/>
  <c r="C44"/>
  <c r="D44"/>
  <c r="E44" s="1"/>
  <c r="G44"/>
  <c r="H44"/>
  <c r="I44" s="1"/>
  <c r="J44"/>
  <c r="C45"/>
  <c r="D45"/>
  <c r="E45"/>
  <c r="F45"/>
  <c r="G45"/>
  <c r="H45"/>
  <c r="I45" s="1"/>
  <c r="C46"/>
  <c r="D46"/>
  <c r="E46" s="1"/>
  <c r="F46"/>
  <c r="G46"/>
  <c r="H46"/>
  <c r="I46"/>
  <c r="J46"/>
  <c r="C47"/>
  <c r="D47"/>
  <c r="E47" s="1"/>
  <c r="G47"/>
  <c r="H47"/>
  <c r="I47" s="1"/>
  <c r="J47"/>
  <c r="C48"/>
  <c r="D48"/>
  <c r="E48"/>
  <c r="F48"/>
  <c r="G48"/>
  <c r="H48"/>
  <c r="I48" s="1"/>
  <c r="C49"/>
  <c r="D49"/>
  <c r="E49" s="1"/>
  <c r="F49"/>
  <c r="G49"/>
  <c r="H49"/>
  <c r="I49"/>
  <c r="J49"/>
  <c r="C10" i="132"/>
  <c r="G10"/>
  <c r="C13"/>
  <c r="D13"/>
  <c r="E13"/>
  <c r="F13"/>
  <c r="G13"/>
  <c r="G34" s="1"/>
  <c r="H13"/>
  <c r="I13" s="1"/>
  <c r="B14"/>
  <c r="C14"/>
  <c r="C34" s="1"/>
  <c r="D14"/>
  <c r="F14" s="1"/>
  <c r="E14"/>
  <c r="G14"/>
  <c r="H14"/>
  <c r="I14"/>
  <c r="B15"/>
  <c r="C15"/>
  <c r="D15"/>
  <c r="E15"/>
  <c r="F15"/>
  <c r="G15"/>
  <c r="H15"/>
  <c r="I15" s="1"/>
  <c r="B16"/>
  <c r="C16"/>
  <c r="D16"/>
  <c r="F16" s="1"/>
  <c r="E16"/>
  <c r="G16"/>
  <c r="H16"/>
  <c r="I16"/>
  <c r="B17"/>
  <c r="C17"/>
  <c r="D17"/>
  <c r="E17"/>
  <c r="F17"/>
  <c r="G17"/>
  <c r="H17"/>
  <c r="I17" s="1"/>
  <c r="B18"/>
  <c r="C18"/>
  <c r="D18"/>
  <c r="F18" s="1"/>
  <c r="E18"/>
  <c r="G18"/>
  <c r="H18"/>
  <c r="I18"/>
  <c r="B19"/>
  <c r="C19"/>
  <c r="D19"/>
  <c r="E19"/>
  <c r="F19"/>
  <c r="G19"/>
  <c r="H19"/>
  <c r="I19" s="1"/>
  <c r="B20"/>
  <c r="C20"/>
  <c r="D20"/>
  <c r="F20" s="1"/>
  <c r="E20"/>
  <c r="G20"/>
  <c r="H20"/>
  <c r="J20" s="1"/>
  <c r="I20"/>
  <c r="B21"/>
  <c r="C21"/>
  <c r="D21"/>
  <c r="E21"/>
  <c r="F21"/>
  <c r="G21"/>
  <c r="H21"/>
  <c r="I21" s="1"/>
  <c r="B22"/>
  <c r="C22"/>
  <c r="D22"/>
  <c r="F22" s="1"/>
  <c r="E22"/>
  <c r="G22"/>
  <c r="H22"/>
  <c r="J22" s="1"/>
  <c r="I22"/>
  <c r="B23"/>
  <c r="C23"/>
  <c r="D23"/>
  <c r="E23"/>
  <c r="F23"/>
  <c r="G23"/>
  <c r="H23"/>
  <c r="I23" s="1"/>
  <c r="B24"/>
  <c r="C24"/>
  <c r="D24"/>
  <c r="F24" s="1"/>
  <c r="E24"/>
  <c r="G24"/>
  <c r="H24"/>
  <c r="J24" s="1"/>
  <c r="I24"/>
  <c r="B25"/>
  <c r="C25"/>
  <c r="D25"/>
  <c r="E25"/>
  <c r="F25"/>
  <c r="G25"/>
  <c r="H25"/>
  <c r="I25" s="1"/>
  <c r="B26"/>
  <c r="C26"/>
  <c r="D26"/>
  <c r="F26" s="1"/>
  <c r="E26"/>
  <c r="G26"/>
  <c r="H26"/>
  <c r="J26" s="1"/>
  <c r="I26"/>
  <c r="B27"/>
  <c r="C27"/>
  <c r="D27"/>
  <c r="E27"/>
  <c r="F27"/>
  <c r="G27"/>
  <c r="H27"/>
  <c r="I27" s="1"/>
  <c r="B28"/>
  <c r="C28"/>
  <c r="D28"/>
  <c r="F28" s="1"/>
  <c r="E28"/>
  <c r="G28"/>
  <c r="H28"/>
  <c r="J28" s="1"/>
  <c r="I28"/>
  <c r="B29"/>
  <c r="C29"/>
  <c r="D29"/>
  <c r="E29"/>
  <c r="F29"/>
  <c r="G29"/>
  <c r="H29"/>
  <c r="B30"/>
  <c r="C30"/>
  <c r="D30"/>
  <c r="F30" s="1"/>
  <c r="E30"/>
  <c r="G30"/>
  <c r="H30"/>
  <c r="J30" s="1"/>
  <c r="I30"/>
  <c r="B31"/>
  <c r="C31"/>
  <c r="D31"/>
  <c r="E31"/>
  <c r="F31"/>
  <c r="G31"/>
  <c r="H31"/>
  <c r="B32"/>
  <c r="C32"/>
  <c r="D32"/>
  <c r="F32" s="1"/>
  <c r="E32"/>
  <c r="G32"/>
  <c r="H32"/>
  <c r="J32" s="1"/>
  <c r="I32"/>
  <c r="B33"/>
  <c r="C33"/>
  <c r="D33"/>
  <c r="E33"/>
  <c r="F33"/>
  <c r="G33"/>
  <c r="H33"/>
  <c r="D34"/>
  <c r="E34" s="1"/>
  <c r="F34"/>
  <c r="C10" i="138"/>
  <c r="G10"/>
  <c r="C13"/>
  <c r="D13"/>
  <c r="E13"/>
  <c r="F13"/>
  <c r="G13"/>
  <c r="H13"/>
  <c r="B14"/>
  <c r="C14"/>
  <c r="D14"/>
  <c r="F14" s="1"/>
  <c r="E14"/>
  <c r="G14"/>
  <c r="H14"/>
  <c r="J14" s="1"/>
  <c r="I14"/>
  <c r="B15"/>
  <c r="C15"/>
  <c r="D15"/>
  <c r="E15"/>
  <c r="F15"/>
  <c r="G15"/>
  <c r="H15"/>
  <c r="B16"/>
  <c r="C16"/>
  <c r="D16"/>
  <c r="F16" s="1"/>
  <c r="E16"/>
  <c r="G16"/>
  <c r="H16"/>
  <c r="J16" s="1"/>
  <c r="I16"/>
  <c r="B17"/>
  <c r="C17"/>
  <c r="D17"/>
  <c r="E17"/>
  <c r="F17"/>
  <c r="G17"/>
  <c r="H17"/>
  <c r="B18"/>
  <c r="C18"/>
  <c r="D18"/>
  <c r="F18" s="1"/>
  <c r="E18"/>
  <c r="G18"/>
  <c r="H18"/>
  <c r="I18"/>
  <c r="B19"/>
  <c r="C19"/>
  <c r="D19"/>
  <c r="E19"/>
  <c r="F19"/>
  <c r="G19"/>
  <c r="H19"/>
  <c r="B20"/>
  <c r="C20"/>
  <c r="D20"/>
  <c r="F20" s="1"/>
  <c r="E20"/>
  <c r="G20"/>
  <c r="H20"/>
  <c r="J20" s="1"/>
  <c r="I20"/>
  <c r="B21"/>
  <c r="C21"/>
  <c r="D21"/>
  <c r="E21"/>
  <c r="F21"/>
  <c r="G21"/>
  <c r="H21"/>
  <c r="B22"/>
  <c r="C22"/>
  <c r="D22"/>
  <c r="F22" s="1"/>
  <c r="E22"/>
  <c r="G22"/>
  <c r="H22"/>
  <c r="J22" s="1"/>
  <c r="I22"/>
  <c r="B23"/>
  <c r="C23"/>
  <c r="D23"/>
  <c r="E23"/>
  <c r="F23"/>
  <c r="G23"/>
  <c r="H23"/>
  <c r="B24"/>
  <c r="C24"/>
  <c r="D24"/>
  <c r="F24" s="1"/>
  <c r="E24"/>
  <c r="G24"/>
  <c r="H24"/>
  <c r="I24"/>
  <c r="B25"/>
  <c r="C25"/>
  <c r="D25"/>
  <c r="E25"/>
  <c r="F25"/>
  <c r="G25"/>
  <c r="H25"/>
  <c r="B26"/>
  <c r="C26"/>
  <c r="D26"/>
  <c r="F26" s="1"/>
  <c r="E26"/>
  <c r="G26"/>
  <c r="H26"/>
  <c r="J26" s="1"/>
  <c r="I26"/>
  <c r="B27"/>
  <c r="C27"/>
  <c r="D27"/>
  <c r="E27"/>
  <c r="F27"/>
  <c r="G27"/>
  <c r="H27"/>
  <c r="B28"/>
  <c r="C28"/>
  <c r="D28"/>
  <c r="F28" s="1"/>
  <c r="E28"/>
  <c r="G28"/>
  <c r="H28"/>
  <c r="J28" s="1"/>
  <c r="I28"/>
  <c r="B29"/>
  <c r="C29"/>
  <c r="D29"/>
  <c r="E29"/>
  <c r="F29"/>
  <c r="G29"/>
  <c r="H29"/>
  <c r="B30"/>
  <c r="C30"/>
  <c r="D30"/>
  <c r="F30" s="1"/>
  <c r="E30"/>
  <c r="G30"/>
  <c r="H30"/>
  <c r="I30"/>
  <c r="B31"/>
  <c r="C31"/>
  <c r="D31"/>
  <c r="E31"/>
  <c r="F31"/>
  <c r="G31"/>
  <c r="H31"/>
  <c r="B32"/>
  <c r="C32"/>
  <c r="E32" s="1"/>
  <c r="D32"/>
  <c r="F32" s="1"/>
  <c r="G32"/>
  <c r="H32"/>
  <c r="J32" s="1"/>
  <c r="I32"/>
  <c r="B33"/>
  <c r="C33"/>
  <c r="D33"/>
  <c r="E33"/>
  <c r="F33"/>
  <c r="G33"/>
  <c r="H33"/>
  <c r="B34"/>
  <c r="C34"/>
  <c r="D34"/>
  <c r="F34" s="1"/>
  <c r="E34"/>
  <c r="G34"/>
  <c r="H34"/>
  <c r="J34" s="1"/>
  <c r="I34"/>
  <c r="B35"/>
  <c r="C35"/>
  <c r="D35"/>
  <c r="E35"/>
  <c r="F35"/>
  <c r="G35"/>
  <c r="H35"/>
  <c r="B36"/>
  <c r="C36"/>
  <c r="D36"/>
  <c r="F36" s="1"/>
  <c r="E36"/>
  <c r="G36"/>
  <c r="H36"/>
  <c r="I36"/>
  <c r="B37"/>
  <c r="C37"/>
  <c r="D37"/>
  <c r="E37"/>
  <c r="F37"/>
  <c r="G37"/>
  <c r="H37"/>
  <c r="B38"/>
  <c r="C38"/>
  <c r="E38" s="1"/>
  <c r="D38"/>
  <c r="F38" s="1"/>
  <c r="G38"/>
  <c r="H38"/>
  <c r="J38" s="1"/>
  <c r="I38"/>
  <c r="B39"/>
  <c r="C39"/>
  <c r="D39"/>
  <c r="E39"/>
  <c r="F39"/>
  <c r="G39"/>
  <c r="H39"/>
  <c r="B40"/>
  <c r="C40"/>
  <c r="D40"/>
  <c r="F40" s="1"/>
  <c r="E40"/>
  <c r="G40"/>
  <c r="H40"/>
  <c r="J40" s="1"/>
  <c r="I40"/>
  <c r="B41"/>
  <c r="C41"/>
  <c r="D41"/>
  <c r="E41"/>
  <c r="F41"/>
  <c r="G41"/>
  <c r="H41"/>
  <c r="B42"/>
  <c r="C42"/>
  <c r="D42"/>
  <c r="F42" s="1"/>
  <c r="E42"/>
  <c r="G42"/>
  <c r="H42"/>
  <c r="I42"/>
  <c r="B43"/>
  <c r="C43"/>
  <c r="D43"/>
  <c r="E43"/>
  <c r="F43"/>
  <c r="G43"/>
  <c r="H43"/>
  <c r="B44"/>
  <c r="C44"/>
  <c r="E44" s="1"/>
  <c r="D44"/>
  <c r="F44" s="1"/>
  <c r="G44"/>
  <c r="H44"/>
  <c r="J44" s="1"/>
  <c r="B45"/>
  <c r="C45"/>
  <c r="D45"/>
  <c r="E45"/>
  <c r="F45"/>
  <c r="G45"/>
  <c r="H45"/>
  <c r="B46"/>
  <c r="C46"/>
  <c r="D46"/>
  <c r="F46" s="1"/>
  <c r="E46"/>
  <c r="G46"/>
  <c r="H46"/>
  <c r="J46" s="1"/>
  <c r="C10" i="107"/>
  <c r="G10"/>
  <c r="C13"/>
  <c r="D13"/>
  <c r="F13" s="1"/>
  <c r="E13"/>
  <c r="G13"/>
  <c r="I13" s="1"/>
  <c r="H13"/>
  <c r="J13"/>
  <c r="B14"/>
  <c r="C14"/>
  <c r="D14"/>
  <c r="G14"/>
  <c r="H14"/>
  <c r="J14"/>
  <c r="B15"/>
  <c r="C15"/>
  <c r="D15"/>
  <c r="F15" s="1"/>
  <c r="G15"/>
  <c r="I15" s="1"/>
  <c r="H15"/>
  <c r="J15"/>
  <c r="B16"/>
  <c r="C16"/>
  <c r="D16"/>
  <c r="G16"/>
  <c r="H16"/>
  <c r="I16" s="1"/>
  <c r="J16"/>
  <c r="B17"/>
  <c r="C17"/>
  <c r="D17"/>
  <c r="F17" s="1"/>
  <c r="G17"/>
  <c r="I17" s="1"/>
  <c r="H17"/>
  <c r="J17"/>
  <c r="B18"/>
  <c r="C18"/>
  <c r="D18"/>
  <c r="G18"/>
  <c r="H18"/>
  <c r="I18" s="1"/>
  <c r="B19"/>
  <c r="C19"/>
  <c r="D19"/>
  <c r="E19"/>
  <c r="G19"/>
  <c r="I19" s="1"/>
  <c r="H19"/>
  <c r="J19"/>
  <c r="B20"/>
  <c r="C20"/>
  <c r="D20"/>
  <c r="G20"/>
  <c r="H20"/>
  <c r="J20"/>
  <c r="B21"/>
  <c r="C21"/>
  <c r="D21"/>
  <c r="F21" s="1"/>
  <c r="E21"/>
  <c r="G21"/>
  <c r="I21" s="1"/>
  <c r="H21"/>
  <c r="J21"/>
  <c r="B22"/>
  <c r="C22"/>
  <c r="D22"/>
  <c r="G22"/>
  <c r="H22"/>
  <c r="I22" s="1"/>
  <c r="B23"/>
  <c r="C23"/>
  <c r="D23"/>
  <c r="F23" s="1"/>
  <c r="G23"/>
  <c r="I23" s="1"/>
  <c r="H23"/>
  <c r="J23"/>
  <c r="B24"/>
  <c r="C24"/>
  <c r="D24"/>
  <c r="G24"/>
  <c r="H24"/>
  <c r="B25"/>
  <c r="C25"/>
  <c r="D25"/>
  <c r="F25" s="1"/>
  <c r="E25"/>
  <c r="G25"/>
  <c r="I25" s="1"/>
  <c r="H25"/>
  <c r="J25"/>
  <c r="B26"/>
  <c r="C26"/>
  <c r="D26"/>
  <c r="G26"/>
  <c r="H26"/>
  <c r="J26"/>
  <c r="B27"/>
  <c r="C27"/>
  <c r="D27"/>
  <c r="F27" s="1"/>
  <c r="G27"/>
  <c r="I27" s="1"/>
  <c r="H27"/>
  <c r="J27"/>
  <c r="B28"/>
  <c r="C28"/>
  <c r="D28"/>
  <c r="G28"/>
  <c r="H28"/>
  <c r="I28" s="1"/>
  <c r="J28"/>
  <c r="B29"/>
  <c r="C29"/>
  <c r="D29"/>
  <c r="F29" s="1"/>
  <c r="G29"/>
  <c r="I29" s="1"/>
  <c r="H29"/>
  <c r="J29"/>
  <c r="B30"/>
  <c r="C30"/>
  <c r="D30"/>
  <c r="G30"/>
  <c r="H30"/>
  <c r="I30" s="1"/>
  <c r="B31"/>
  <c r="C31"/>
  <c r="D31"/>
  <c r="E31"/>
  <c r="G31"/>
  <c r="I31" s="1"/>
  <c r="H31"/>
  <c r="J31"/>
  <c r="B32"/>
  <c r="C32"/>
  <c r="D32"/>
  <c r="G32"/>
  <c r="H32"/>
  <c r="J32"/>
  <c r="B33"/>
  <c r="C33"/>
  <c r="D33"/>
  <c r="F33" s="1"/>
  <c r="E33"/>
  <c r="G33"/>
  <c r="I33" s="1"/>
  <c r="H33"/>
  <c r="J33"/>
  <c r="B34"/>
  <c r="C34"/>
  <c r="D34"/>
  <c r="G34"/>
  <c r="H34"/>
  <c r="I34" s="1"/>
  <c r="B35"/>
  <c r="C35"/>
  <c r="D35"/>
  <c r="F35" s="1"/>
  <c r="G35"/>
  <c r="I35" s="1"/>
  <c r="H35"/>
  <c r="J35"/>
  <c r="B36"/>
  <c r="C36"/>
  <c r="D36"/>
  <c r="G36"/>
  <c r="H36"/>
  <c r="B37"/>
  <c r="C37"/>
  <c r="D37"/>
  <c r="F37" s="1"/>
  <c r="E37"/>
  <c r="G37"/>
  <c r="I37" s="1"/>
  <c r="H37"/>
  <c r="J37"/>
  <c r="B38"/>
  <c r="C38"/>
  <c r="D38"/>
  <c r="G38"/>
  <c r="H38"/>
  <c r="J38"/>
  <c r="B39"/>
  <c r="C39"/>
  <c r="D39"/>
  <c r="F39" s="1"/>
  <c r="G39"/>
  <c r="I39" s="1"/>
  <c r="H39"/>
  <c r="J39"/>
  <c r="B40"/>
  <c r="C40"/>
  <c r="D40"/>
  <c r="G40"/>
  <c r="H40"/>
  <c r="I40" s="1"/>
  <c r="J40"/>
  <c r="B41"/>
  <c r="C41"/>
  <c r="D41"/>
  <c r="F41" s="1"/>
  <c r="G41"/>
  <c r="I41" s="1"/>
  <c r="H41"/>
  <c r="J41"/>
  <c r="B42"/>
  <c r="C42"/>
  <c r="D42"/>
  <c r="G42"/>
  <c r="H42"/>
  <c r="I42" s="1"/>
  <c r="B43"/>
  <c r="C43"/>
  <c r="D43"/>
  <c r="E43"/>
  <c r="G43"/>
  <c r="I43" s="1"/>
  <c r="H43"/>
  <c r="J43"/>
  <c r="B44"/>
  <c r="C44"/>
  <c r="D44"/>
  <c r="G44"/>
  <c r="H44"/>
  <c r="J44"/>
  <c r="B45"/>
  <c r="C45"/>
  <c r="D45"/>
  <c r="F45" s="1"/>
  <c r="E45"/>
  <c r="G45"/>
  <c r="I45" s="1"/>
  <c r="H45"/>
  <c r="J45"/>
  <c r="B46"/>
  <c r="C46"/>
  <c r="D46"/>
  <c r="G46"/>
  <c r="H46"/>
  <c r="I46" s="1"/>
  <c r="B47"/>
  <c r="C47"/>
  <c r="D47"/>
  <c r="F47" s="1"/>
  <c r="G47"/>
  <c r="I47" s="1"/>
  <c r="H47"/>
  <c r="J47"/>
  <c r="B48"/>
  <c r="C48"/>
  <c r="D48"/>
  <c r="G48"/>
  <c r="H48"/>
  <c r="C10" i="162"/>
  <c r="G10"/>
  <c r="B14"/>
  <c r="C14"/>
  <c r="E14" s="1"/>
  <c r="D14"/>
  <c r="G14"/>
  <c r="H14"/>
  <c r="I14"/>
  <c r="B15"/>
  <c r="C15"/>
  <c r="D15"/>
  <c r="G15"/>
  <c r="H15"/>
  <c r="I15"/>
  <c r="B16"/>
  <c r="C16"/>
  <c r="E16" s="1"/>
  <c r="D16"/>
  <c r="G16"/>
  <c r="H16"/>
  <c r="I16"/>
  <c r="B17"/>
  <c r="C17"/>
  <c r="D17"/>
  <c r="E17" s="1"/>
  <c r="G17"/>
  <c r="H17"/>
  <c r="I17"/>
  <c r="B18"/>
  <c r="C18"/>
  <c r="E18" s="1"/>
  <c r="D18"/>
  <c r="G18"/>
  <c r="H18"/>
  <c r="I18"/>
  <c r="B19"/>
  <c r="C19"/>
  <c r="D19"/>
  <c r="G19"/>
  <c r="H19"/>
  <c r="I19"/>
  <c r="B20"/>
  <c r="C20"/>
  <c r="E20" s="1"/>
  <c r="D20"/>
  <c r="G20"/>
  <c r="H20"/>
  <c r="B21"/>
  <c r="C21"/>
  <c r="D21"/>
  <c r="G21"/>
  <c r="H21"/>
  <c r="I21"/>
  <c r="B22"/>
  <c r="C22"/>
  <c r="E22" s="1"/>
  <c r="D22"/>
  <c r="G22"/>
  <c r="H22"/>
  <c r="B23"/>
  <c r="C23"/>
  <c r="E23" s="1"/>
  <c r="D23"/>
  <c r="G23"/>
  <c r="H23"/>
  <c r="I23"/>
  <c r="B24"/>
  <c r="C24"/>
  <c r="E24" s="1"/>
  <c r="D24"/>
  <c r="G24"/>
  <c r="I24" s="1"/>
  <c r="H24"/>
  <c r="B25"/>
  <c r="C25"/>
  <c r="D25"/>
  <c r="G25"/>
  <c r="H25"/>
  <c r="I25"/>
  <c r="B26"/>
  <c r="C26"/>
  <c r="E26" s="1"/>
  <c r="D26"/>
  <c r="G26"/>
  <c r="H26"/>
  <c r="B27"/>
  <c r="C27"/>
  <c r="D27"/>
  <c r="G27"/>
  <c r="H27"/>
  <c r="I27"/>
  <c r="B28"/>
  <c r="C28"/>
  <c r="E28" s="1"/>
  <c r="D28"/>
  <c r="G28"/>
  <c r="H28"/>
  <c r="B29"/>
  <c r="C29"/>
  <c r="E29" s="1"/>
  <c r="D29"/>
  <c r="G29"/>
  <c r="H29"/>
  <c r="I29"/>
  <c r="B30"/>
  <c r="C30"/>
  <c r="E30" s="1"/>
  <c r="D30"/>
  <c r="G30"/>
  <c r="I30" s="1"/>
  <c r="H30"/>
  <c r="B31"/>
  <c r="C31"/>
  <c r="D31"/>
  <c r="G31"/>
  <c r="H31"/>
  <c r="I31"/>
  <c r="B32"/>
  <c r="C32"/>
  <c r="E32" s="1"/>
  <c r="D32"/>
  <c r="G32"/>
  <c r="H32"/>
  <c r="B33"/>
  <c r="C33"/>
  <c r="D33"/>
  <c r="E33" s="1"/>
  <c r="G33"/>
  <c r="H33"/>
  <c r="I33"/>
  <c r="B34"/>
  <c r="C34"/>
  <c r="E34" s="1"/>
  <c r="D34"/>
  <c r="G34"/>
  <c r="H34"/>
  <c r="B35"/>
  <c r="C35"/>
  <c r="E35" s="1"/>
  <c r="D35"/>
  <c r="G35"/>
  <c r="H35"/>
  <c r="I35"/>
  <c r="B36"/>
  <c r="C36"/>
  <c r="E36" s="1"/>
  <c r="D36"/>
  <c r="G36"/>
  <c r="I36" s="1"/>
  <c r="H36"/>
  <c r="B37"/>
  <c r="C37"/>
  <c r="D37"/>
  <c r="G37"/>
  <c r="H37"/>
  <c r="I37"/>
  <c r="B38"/>
  <c r="C38"/>
  <c r="E38" s="1"/>
  <c r="D38"/>
  <c r="G38"/>
  <c r="H38"/>
  <c r="B39"/>
  <c r="C39"/>
  <c r="D39"/>
  <c r="E39" s="1"/>
  <c r="G39"/>
  <c r="H39"/>
  <c r="I39"/>
  <c r="B40"/>
  <c r="C40"/>
  <c r="E40" s="1"/>
  <c r="D40"/>
  <c r="G40"/>
  <c r="H40"/>
  <c r="B41"/>
  <c r="C41"/>
  <c r="E41" s="1"/>
  <c r="D41"/>
  <c r="G41"/>
  <c r="H41"/>
  <c r="I41"/>
  <c r="B42"/>
  <c r="C42"/>
  <c r="E42" s="1"/>
  <c r="D42"/>
  <c r="G42"/>
  <c r="I42" s="1"/>
  <c r="H42"/>
  <c r="B43"/>
  <c r="C43"/>
  <c r="D43"/>
  <c r="G43"/>
  <c r="H43"/>
  <c r="I43"/>
  <c r="C10" i="161"/>
  <c r="G10"/>
  <c r="B14"/>
  <c r="C14"/>
  <c r="E14" s="1"/>
  <c r="D14"/>
  <c r="G14"/>
  <c r="I14" s="1"/>
  <c r="H14"/>
  <c r="B15"/>
  <c r="C15"/>
  <c r="D15"/>
  <c r="G15"/>
  <c r="H15"/>
  <c r="I15"/>
  <c r="B16"/>
  <c r="C16"/>
  <c r="E16" s="1"/>
  <c r="D16"/>
  <c r="G16"/>
  <c r="H16"/>
  <c r="B17"/>
  <c r="C17"/>
  <c r="D17"/>
  <c r="E17" s="1"/>
  <c r="G17"/>
  <c r="H17"/>
  <c r="I17"/>
  <c r="B18"/>
  <c r="C18"/>
  <c r="E18" s="1"/>
  <c r="D18"/>
  <c r="G18"/>
  <c r="H18"/>
  <c r="B19"/>
  <c r="C19"/>
  <c r="E19" s="1"/>
  <c r="D19"/>
  <c r="G19"/>
  <c r="H19"/>
  <c r="I19"/>
  <c r="B20"/>
  <c r="C20"/>
  <c r="E20" s="1"/>
  <c r="D20"/>
  <c r="G20"/>
  <c r="I20" s="1"/>
  <c r="H20"/>
  <c r="B21"/>
  <c r="C21"/>
  <c r="D21"/>
  <c r="G21"/>
  <c r="H21"/>
  <c r="I21"/>
  <c r="B22"/>
  <c r="C22"/>
  <c r="E22" s="1"/>
  <c r="D22"/>
  <c r="G22"/>
  <c r="H22"/>
  <c r="B23"/>
  <c r="C23"/>
  <c r="D23"/>
  <c r="E23" s="1"/>
  <c r="G23"/>
  <c r="H23"/>
  <c r="I23"/>
  <c r="B24"/>
  <c r="C24"/>
  <c r="E24" s="1"/>
  <c r="D24"/>
  <c r="G24"/>
  <c r="H24"/>
  <c r="B25"/>
  <c r="C25"/>
  <c r="E25" s="1"/>
  <c r="D25"/>
  <c r="G25"/>
  <c r="H25"/>
  <c r="I25"/>
  <c r="B26"/>
  <c r="C26"/>
  <c r="E26" s="1"/>
  <c r="D26"/>
  <c r="G26"/>
  <c r="I26" s="1"/>
  <c r="H26"/>
  <c r="B27"/>
  <c r="C27"/>
  <c r="D27"/>
  <c r="G27"/>
  <c r="H27"/>
  <c r="I27"/>
  <c r="B28"/>
  <c r="C28"/>
  <c r="E28" s="1"/>
  <c r="D28"/>
  <c r="G28"/>
  <c r="H28"/>
  <c r="B29"/>
  <c r="C29"/>
  <c r="D29"/>
  <c r="E29" s="1"/>
  <c r="G29"/>
  <c r="H29"/>
  <c r="I29"/>
  <c r="B30"/>
  <c r="C30"/>
  <c r="E30" s="1"/>
  <c r="D30"/>
  <c r="G30"/>
  <c r="H30"/>
  <c r="B31"/>
  <c r="C31"/>
  <c r="E31" s="1"/>
  <c r="D31"/>
  <c r="G31"/>
  <c r="H31"/>
  <c r="I31"/>
  <c r="B32"/>
  <c r="C32"/>
  <c r="E32" s="1"/>
  <c r="D32"/>
  <c r="G32"/>
  <c r="I32" s="1"/>
  <c r="H32"/>
  <c r="B33"/>
  <c r="C33"/>
  <c r="D33"/>
  <c r="G33"/>
  <c r="H33"/>
  <c r="I33"/>
  <c r="B34"/>
  <c r="C34"/>
  <c r="E34" s="1"/>
  <c r="D34"/>
  <c r="G34"/>
  <c r="H34"/>
  <c r="B35"/>
  <c r="C35"/>
  <c r="D35"/>
  <c r="E35" s="1"/>
  <c r="G35"/>
  <c r="H35"/>
  <c r="I35"/>
  <c r="B36"/>
  <c r="C36"/>
  <c r="E36" s="1"/>
  <c r="D36"/>
  <c r="G36"/>
  <c r="H36"/>
  <c r="B37"/>
  <c r="C37"/>
  <c r="E37" s="1"/>
  <c r="D37"/>
  <c r="G37"/>
  <c r="H37"/>
  <c r="I37"/>
  <c r="B38"/>
  <c r="C38"/>
  <c r="E38" s="1"/>
  <c r="D38"/>
  <c r="G38"/>
  <c r="I38" s="1"/>
  <c r="H38"/>
  <c r="B39"/>
  <c r="C39"/>
  <c r="D39"/>
  <c r="G39"/>
  <c r="H39"/>
  <c r="I39"/>
  <c r="B40"/>
  <c r="C40"/>
  <c r="E40" s="1"/>
  <c r="D40"/>
  <c r="G40"/>
  <c r="H40"/>
  <c r="B41"/>
  <c r="C41"/>
  <c r="D41"/>
  <c r="E41" s="1"/>
  <c r="G41"/>
  <c r="H41"/>
  <c r="I41"/>
  <c r="B42"/>
  <c r="C42"/>
  <c r="E42" s="1"/>
  <c r="D42"/>
  <c r="G42"/>
  <c r="H42"/>
  <c r="B43"/>
  <c r="C43"/>
  <c r="E43" s="1"/>
  <c r="D43"/>
  <c r="G43"/>
  <c r="H43"/>
  <c r="I43"/>
  <c r="C10" i="160"/>
  <c r="G10"/>
  <c r="B14"/>
  <c r="C14"/>
  <c r="E14" s="1"/>
  <c r="D14"/>
  <c r="G14"/>
  <c r="H14"/>
  <c r="B15"/>
  <c r="C15"/>
  <c r="E15" s="1"/>
  <c r="D15"/>
  <c r="G15"/>
  <c r="H15"/>
  <c r="I15"/>
  <c r="B16"/>
  <c r="C16"/>
  <c r="E16" s="1"/>
  <c r="D16"/>
  <c r="G16"/>
  <c r="I16" s="1"/>
  <c r="H16"/>
  <c r="B17"/>
  <c r="C17"/>
  <c r="D17"/>
  <c r="G17"/>
  <c r="H17"/>
  <c r="I17"/>
  <c r="B18"/>
  <c r="C18"/>
  <c r="E18" s="1"/>
  <c r="D18"/>
  <c r="G18"/>
  <c r="H18"/>
  <c r="B19"/>
  <c r="C19"/>
  <c r="D19"/>
  <c r="E19" s="1"/>
  <c r="G19"/>
  <c r="H19"/>
  <c r="I19"/>
  <c r="B20"/>
  <c r="C20"/>
  <c r="E20" s="1"/>
  <c r="D20"/>
  <c r="G20"/>
  <c r="H20"/>
  <c r="I20"/>
  <c r="B21"/>
  <c r="C21"/>
  <c r="D21"/>
  <c r="E21"/>
  <c r="G21"/>
  <c r="H21"/>
  <c r="I21" s="1"/>
  <c r="B22"/>
  <c r="C22"/>
  <c r="D22"/>
  <c r="E22"/>
  <c r="G22"/>
  <c r="H22"/>
  <c r="B23"/>
  <c r="C23"/>
  <c r="E23" s="1"/>
  <c r="D23"/>
  <c r="G23"/>
  <c r="H23"/>
  <c r="J23" s="1"/>
  <c r="B24"/>
  <c r="C24"/>
  <c r="D24"/>
  <c r="E24"/>
  <c r="G24"/>
  <c r="H24"/>
  <c r="I24"/>
  <c r="B25"/>
  <c r="C25"/>
  <c r="D25"/>
  <c r="E25" s="1"/>
  <c r="G25"/>
  <c r="H25"/>
  <c r="I25"/>
  <c r="B26"/>
  <c r="C26"/>
  <c r="D26"/>
  <c r="E26"/>
  <c r="G26"/>
  <c r="I26" s="1"/>
  <c r="H26"/>
  <c r="B27"/>
  <c r="C27"/>
  <c r="D27"/>
  <c r="G27"/>
  <c r="H27"/>
  <c r="I27" s="1"/>
  <c r="B28"/>
  <c r="C28"/>
  <c r="D28"/>
  <c r="E28"/>
  <c r="G28"/>
  <c r="H28"/>
  <c r="B29"/>
  <c r="C29"/>
  <c r="D29"/>
  <c r="E29"/>
  <c r="G29"/>
  <c r="H29"/>
  <c r="I29"/>
  <c r="B30"/>
  <c r="C30"/>
  <c r="E30" s="1"/>
  <c r="D30"/>
  <c r="G30"/>
  <c r="H30"/>
  <c r="B31"/>
  <c r="C31"/>
  <c r="D31"/>
  <c r="E31" s="1"/>
  <c r="G31"/>
  <c r="H31"/>
  <c r="I31"/>
  <c r="B32"/>
  <c r="C32"/>
  <c r="E32" s="1"/>
  <c r="D32"/>
  <c r="G32"/>
  <c r="H32"/>
  <c r="I32"/>
  <c r="B33"/>
  <c r="C33"/>
  <c r="D33"/>
  <c r="E33"/>
  <c r="G33"/>
  <c r="H33"/>
  <c r="I33" s="1"/>
  <c r="B34"/>
  <c r="C34"/>
  <c r="D34"/>
  <c r="E34"/>
  <c r="G34"/>
  <c r="H34"/>
  <c r="B35"/>
  <c r="C35"/>
  <c r="E35" s="1"/>
  <c r="D35"/>
  <c r="G35"/>
  <c r="H35"/>
  <c r="J35" s="1"/>
  <c r="B36"/>
  <c r="C36"/>
  <c r="D36"/>
  <c r="E36"/>
  <c r="G36"/>
  <c r="H36"/>
  <c r="I36"/>
  <c r="B37"/>
  <c r="C37"/>
  <c r="D37"/>
  <c r="E37" s="1"/>
  <c r="G37"/>
  <c r="H37"/>
  <c r="I37"/>
  <c r="B38"/>
  <c r="C38"/>
  <c r="D38"/>
  <c r="E38"/>
  <c r="G38"/>
  <c r="I38" s="1"/>
  <c r="H38"/>
  <c r="B39"/>
  <c r="C39"/>
  <c r="D39"/>
  <c r="G39"/>
  <c r="H39"/>
  <c r="I39" s="1"/>
  <c r="B40"/>
  <c r="C40"/>
  <c r="D40"/>
  <c r="E40"/>
  <c r="G40"/>
  <c r="H40"/>
  <c r="B41"/>
  <c r="C41"/>
  <c r="D41"/>
  <c r="E41"/>
  <c r="G41"/>
  <c r="H41"/>
  <c r="I41"/>
  <c r="B42"/>
  <c r="C42"/>
  <c r="E42" s="1"/>
  <c r="D42"/>
  <c r="G42"/>
  <c r="H42"/>
  <c r="B43"/>
  <c r="C43"/>
  <c r="D43"/>
  <c r="E43" s="1"/>
  <c r="G43"/>
  <c r="H43"/>
  <c r="I43"/>
  <c r="C10" i="159"/>
  <c r="G10"/>
  <c r="B14"/>
  <c r="C14"/>
  <c r="D14"/>
  <c r="E14"/>
  <c r="G14"/>
  <c r="H14"/>
  <c r="I14"/>
  <c r="B15"/>
  <c r="C15"/>
  <c r="D15"/>
  <c r="E15" s="1"/>
  <c r="G15"/>
  <c r="H15"/>
  <c r="I15"/>
  <c r="B16"/>
  <c r="C16"/>
  <c r="D16"/>
  <c r="E16"/>
  <c r="G16"/>
  <c r="I16" s="1"/>
  <c r="H16"/>
  <c r="B17"/>
  <c r="C17"/>
  <c r="D17"/>
  <c r="G17"/>
  <c r="H17"/>
  <c r="I17" s="1"/>
  <c r="B18"/>
  <c r="C18"/>
  <c r="D18"/>
  <c r="E18"/>
  <c r="G18"/>
  <c r="H18"/>
  <c r="B19"/>
  <c r="C19"/>
  <c r="D19"/>
  <c r="E19"/>
  <c r="G19"/>
  <c r="H19"/>
  <c r="I19"/>
  <c r="B20"/>
  <c r="C20"/>
  <c r="E20" s="1"/>
  <c r="D20"/>
  <c r="G20"/>
  <c r="H20"/>
  <c r="B21"/>
  <c r="C21"/>
  <c r="D21"/>
  <c r="E21" s="1"/>
  <c r="G21"/>
  <c r="H21"/>
  <c r="I21"/>
  <c r="B22"/>
  <c r="C22"/>
  <c r="E22" s="1"/>
  <c r="D22"/>
  <c r="G22"/>
  <c r="H22"/>
  <c r="I22"/>
  <c r="B23"/>
  <c r="C23"/>
  <c r="D23"/>
  <c r="E23"/>
  <c r="G23"/>
  <c r="H23"/>
  <c r="I23" s="1"/>
  <c r="B24"/>
  <c r="C24"/>
  <c r="D24"/>
  <c r="E24"/>
  <c r="G24"/>
  <c r="H24"/>
  <c r="B25"/>
  <c r="C25"/>
  <c r="E25" s="1"/>
  <c r="D25"/>
  <c r="G25"/>
  <c r="H25"/>
  <c r="B26"/>
  <c r="C26"/>
  <c r="D26"/>
  <c r="E26"/>
  <c r="G26"/>
  <c r="H26"/>
  <c r="I26"/>
  <c r="B27"/>
  <c r="C27"/>
  <c r="D27"/>
  <c r="E27" s="1"/>
  <c r="G27"/>
  <c r="H27"/>
  <c r="I27"/>
  <c r="B28"/>
  <c r="C28"/>
  <c r="E28" s="1"/>
  <c r="D28"/>
  <c r="G28"/>
  <c r="I28" s="1"/>
  <c r="H28"/>
  <c r="B29"/>
  <c r="C29"/>
  <c r="D29"/>
  <c r="G29"/>
  <c r="H29"/>
  <c r="I29" s="1"/>
  <c r="B30"/>
  <c r="C30"/>
  <c r="D30"/>
  <c r="E30"/>
  <c r="G30"/>
  <c r="H30"/>
  <c r="B31"/>
  <c r="C31"/>
  <c r="D31"/>
  <c r="E31"/>
  <c r="G31"/>
  <c r="H31"/>
  <c r="I31"/>
  <c r="B32"/>
  <c r="C32"/>
  <c r="E32" s="1"/>
  <c r="D32"/>
  <c r="G32"/>
  <c r="H32"/>
  <c r="B33"/>
  <c r="C33"/>
  <c r="D33"/>
  <c r="E33" s="1"/>
  <c r="G33"/>
  <c r="H33"/>
  <c r="I33"/>
  <c r="B34"/>
  <c r="C34"/>
  <c r="E34" s="1"/>
  <c r="D34"/>
  <c r="G34"/>
  <c r="H34"/>
  <c r="I34"/>
  <c r="B35"/>
  <c r="C35"/>
  <c r="D35"/>
  <c r="E35"/>
  <c r="G35"/>
  <c r="H35"/>
  <c r="I35" s="1"/>
  <c r="B36"/>
  <c r="C36"/>
  <c r="D36"/>
  <c r="E36"/>
  <c r="G36"/>
  <c r="H36"/>
  <c r="B37"/>
  <c r="C37"/>
  <c r="E37" s="1"/>
  <c r="D37"/>
  <c r="G37"/>
  <c r="H37"/>
  <c r="B38"/>
  <c r="C38"/>
  <c r="E38" s="1"/>
  <c r="D38"/>
  <c r="G38"/>
  <c r="H38"/>
  <c r="I38"/>
  <c r="B39"/>
  <c r="C39"/>
  <c r="D39"/>
  <c r="E39" s="1"/>
  <c r="G39"/>
  <c r="H39"/>
  <c r="I39"/>
  <c r="B40"/>
  <c r="C40"/>
  <c r="E40" s="1"/>
  <c r="D40"/>
  <c r="G40"/>
  <c r="I40" s="1"/>
  <c r="H40"/>
  <c r="B41"/>
  <c r="C41"/>
  <c r="D41"/>
  <c r="G41"/>
  <c r="H41"/>
  <c r="B42"/>
  <c r="C42"/>
  <c r="D42"/>
  <c r="E42"/>
  <c r="G42"/>
  <c r="H42"/>
  <c r="B43"/>
  <c r="C43"/>
  <c r="E43" s="1"/>
  <c r="D43"/>
  <c r="G43"/>
  <c r="H43"/>
  <c r="I43"/>
  <c r="C10" i="158"/>
  <c r="G10"/>
  <c r="B14"/>
  <c r="C14"/>
  <c r="D14"/>
  <c r="E14"/>
  <c r="G14"/>
  <c r="H14"/>
  <c r="B15"/>
  <c r="C15"/>
  <c r="E15" s="1"/>
  <c r="D15"/>
  <c r="G15"/>
  <c r="H15"/>
  <c r="B16"/>
  <c r="C16"/>
  <c r="E16" s="1"/>
  <c r="D16"/>
  <c r="G16"/>
  <c r="H16"/>
  <c r="I16"/>
  <c r="B17"/>
  <c r="C17"/>
  <c r="D17"/>
  <c r="E17" s="1"/>
  <c r="G17"/>
  <c r="H17"/>
  <c r="I17"/>
  <c r="B18"/>
  <c r="C18"/>
  <c r="E18" s="1"/>
  <c r="D18"/>
  <c r="G18"/>
  <c r="I18" s="1"/>
  <c r="H18"/>
  <c r="B19"/>
  <c r="C19"/>
  <c r="D19"/>
  <c r="G19"/>
  <c r="H19"/>
  <c r="B20"/>
  <c r="C20"/>
  <c r="D20"/>
  <c r="E20"/>
  <c r="G20"/>
  <c r="H20"/>
  <c r="B21"/>
  <c r="C21"/>
  <c r="E21" s="1"/>
  <c r="D21"/>
  <c r="G21"/>
  <c r="H21"/>
  <c r="I21"/>
  <c r="B22"/>
  <c r="C22"/>
  <c r="E22" s="1"/>
  <c r="D22"/>
  <c r="G22"/>
  <c r="H22"/>
  <c r="B23"/>
  <c r="C23"/>
  <c r="D23"/>
  <c r="G23"/>
  <c r="H23"/>
  <c r="I23"/>
  <c r="B24"/>
  <c r="C24"/>
  <c r="E24" s="1"/>
  <c r="D24"/>
  <c r="G24"/>
  <c r="I24" s="1"/>
  <c r="H24"/>
  <c r="B25"/>
  <c r="C25"/>
  <c r="D25"/>
  <c r="E25"/>
  <c r="G25"/>
  <c r="H25"/>
  <c r="I25" s="1"/>
  <c r="B26"/>
  <c r="C26"/>
  <c r="D26"/>
  <c r="E26"/>
  <c r="G26"/>
  <c r="H26"/>
  <c r="B27"/>
  <c r="C27"/>
  <c r="E27" s="1"/>
  <c r="D27"/>
  <c r="G27"/>
  <c r="H27"/>
  <c r="B28"/>
  <c r="C28"/>
  <c r="E28" s="1"/>
  <c r="D28"/>
  <c r="G28"/>
  <c r="H28"/>
  <c r="I28"/>
  <c r="B29"/>
  <c r="C29"/>
  <c r="D29"/>
  <c r="E29" s="1"/>
  <c r="G29"/>
  <c r="H29"/>
  <c r="I29"/>
  <c r="B30"/>
  <c r="C30"/>
  <c r="E30" s="1"/>
  <c r="D30"/>
  <c r="G30"/>
  <c r="I30" s="1"/>
  <c r="H30"/>
  <c r="B31"/>
  <c r="C31"/>
  <c r="D31"/>
  <c r="G31"/>
  <c r="H31"/>
  <c r="B32"/>
  <c r="C32"/>
  <c r="D32"/>
  <c r="E32"/>
  <c r="G32"/>
  <c r="H32"/>
  <c r="B33"/>
  <c r="C33"/>
  <c r="E33" s="1"/>
  <c r="D33"/>
  <c r="G33"/>
  <c r="H33"/>
  <c r="I33"/>
  <c r="B34"/>
  <c r="C34"/>
  <c r="E34" s="1"/>
  <c r="D34"/>
  <c r="G34"/>
  <c r="H34"/>
  <c r="B35"/>
  <c r="C35"/>
  <c r="D35"/>
  <c r="G35"/>
  <c r="H35"/>
  <c r="I35"/>
  <c r="B36"/>
  <c r="C36"/>
  <c r="E36" s="1"/>
  <c r="D36"/>
  <c r="G36"/>
  <c r="I36" s="1"/>
  <c r="H36"/>
  <c r="B37"/>
  <c r="C37"/>
  <c r="D37"/>
  <c r="E37"/>
  <c r="G37"/>
  <c r="H37"/>
  <c r="I37" s="1"/>
  <c r="B38"/>
  <c r="C38"/>
  <c r="D38"/>
  <c r="E38"/>
  <c r="G38"/>
  <c r="H38"/>
  <c r="B39"/>
  <c r="C39"/>
  <c r="E39" s="1"/>
  <c r="D39"/>
  <c r="G39"/>
  <c r="H39"/>
  <c r="B40"/>
  <c r="C40"/>
  <c r="E40" s="1"/>
  <c r="D40"/>
  <c r="G40"/>
  <c r="H40"/>
  <c r="I40"/>
  <c r="B41"/>
  <c r="C41"/>
  <c r="D41"/>
  <c r="E41" s="1"/>
  <c r="G41"/>
  <c r="H41"/>
  <c r="I41"/>
  <c r="B42"/>
  <c r="C42"/>
  <c r="E42" s="1"/>
  <c r="D42"/>
  <c r="G42"/>
  <c r="I42" s="1"/>
  <c r="H42"/>
  <c r="B43"/>
  <c r="C43"/>
  <c r="D43"/>
  <c r="G43"/>
  <c r="H43"/>
  <c r="C10" i="130"/>
  <c r="G10"/>
  <c r="C13"/>
  <c r="D13"/>
  <c r="F23" s="1"/>
  <c r="F13"/>
  <c r="G13"/>
  <c r="H13"/>
  <c r="J13" s="1"/>
  <c r="I13"/>
  <c r="G15"/>
  <c r="B16"/>
  <c r="C16"/>
  <c r="C15" s="1"/>
  <c r="D16"/>
  <c r="F16" s="1"/>
  <c r="E16"/>
  <c r="G16"/>
  <c r="H16"/>
  <c r="J16" s="1"/>
  <c r="B17"/>
  <c r="C17"/>
  <c r="D17"/>
  <c r="D15" s="1"/>
  <c r="E17"/>
  <c r="F17"/>
  <c r="G17"/>
  <c r="H17"/>
  <c r="I17" s="1"/>
  <c r="J17"/>
  <c r="B19"/>
  <c r="C19"/>
  <c r="C18" s="1"/>
  <c r="C14" s="1"/>
  <c r="D19"/>
  <c r="E19"/>
  <c r="F19"/>
  <c r="G19"/>
  <c r="H19"/>
  <c r="J19" s="1"/>
  <c r="B20"/>
  <c r="C20"/>
  <c r="D20"/>
  <c r="D18" s="1"/>
  <c r="G20"/>
  <c r="H20"/>
  <c r="I20"/>
  <c r="J20"/>
  <c r="B21"/>
  <c r="C21"/>
  <c r="E21" s="1"/>
  <c r="D21"/>
  <c r="F21"/>
  <c r="G21"/>
  <c r="I21" s="1"/>
  <c r="H21"/>
  <c r="J21" s="1"/>
  <c r="B22"/>
  <c r="C22"/>
  <c r="D22"/>
  <c r="F22" s="1"/>
  <c r="E22"/>
  <c r="G22"/>
  <c r="H22"/>
  <c r="I22" s="1"/>
  <c r="J22"/>
  <c r="B23"/>
  <c r="C23"/>
  <c r="D23"/>
  <c r="E23"/>
  <c r="G23"/>
  <c r="H23"/>
  <c r="J23" s="1"/>
  <c r="B24"/>
  <c r="C24"/>
  <c r="E24" s="1"/>
  <c r="D24"/>
  <c r="F24"/>
  <c r="G24"/>
  <c r="H24"/>
  <c r="J24" s="1"/>
  <c r="B25"/>
  <c r="C25"/>
  <c r="E25" s="1"/>
  <c r="D25"/>
  <c r="F25"/>
  <c r="G25"/>
  <c r="H25"/>
  <c r="J25" s="1"/>
  <c r="I25"/>
  <c r="B26"/>
  <c r="C26"/>
  <c r="D26"/>
  <c r="E26" s="1"/>
  <c r="F26"/>
  <c r="G26"/>
  <c r="H26"/>
  <c r="I26"/>
  <c r="J26"/>
  <c r="B27"/>
  <c r="C27"/>
  <c r="E27" s="1"/>
  <c r="D27"/>
  <c r="F27"/>
  <c r="G27"/>
  <c r="H27"/>
  <c r="I27"/>
  <c r="B28"/>
  <c r="C28"/>
  <c r="D28"/>
  <c r="F28" s="1"/>
  <c r="G28"/>
  <c r="H28"/>
  <c r="J28" s="1"/>
  <c r="B30"/>
  <c r="C30"/>
  <c r="C29" s="1"/>
  <c r="D30"/>
  <c r="D29" s="1"/>
  <c r="G30"/>
  <c r="H30"/>
  <c r="I30"/>
  <c r="J30"/>
  <c r="B31"/>
  <c r="C31"/>
  <c r="D31"/>
  <c r="E31" s="1"/>
  <c r="F31"/>
  <c r="G31"/>
  <c r="I31" s="1"/>
  <c r="H31"/>
  <c r="J31" s="1"/>
  <c r="B32"/>
  <c r="C32"/>
  <c r="D32"/>
  <c r="F32" s="1"/>
  <c r="G32"/>
  <c r="H32"/>
  <c r="I32"/>
  <c r="J32"/>
  <c r="B33"/>
  <c r="C33"/>
  <c r="D33"/>
  <c r="E33" s="1"/>
  <c r="F33"/>
  <c r="G33"/>
  <c r="I33" s="1"/>
  <c r="H33"/>
  <c r="J33" s="1"/>
  <c r="B34"/>
  <c r="C34"/>
  <c r="D34"/>
  <c r="F34" s="1"/>
  <c r="G34"/>
  <c r="H34"/>
  <c r="I34"/>
  <c r="J34"/>
  <c r="B35"/>
  <c r="C35"/>
  <c r="D35"/>
  <c r="E35" s="1"/>
  <c r="F35"/>
  <c r="G35"/>
  <c r="I35" s="1"/>
  <c r="H35"/>
  <c r="J35" s="1"/>
  <c r="B36"/>
  <c r="C36"/>
  <c r="D36"/>
  <c r="F36" s="1"/>
  <c r="G36"/>
  <c r="H36"/>
  <c r="I36"/>
  <c r="J36"/>
  <c r="B37"/>
  <c r="C37"/>
  <c r="D37"/>
  <c r="E37" s="1"/>
  <c r="F37"/>
  <c r="G37"/>
  <c r="I37" s="1"/>
  <c r="H37"/>
  <c r="J37" s="1"/>
  <c r="B38"/>
  <c r="C38"/>
  <c r="D38"/>
  <c r="F38" s="1"/>
  <c r="G38"/>
  <c r="H38"/>
  <c r="I38"/>
  <c r="J38"/>
  <c r="B39"/>
  <c r="C39"/>
  <c r="D39"/>
  <c r="E39" s="1"/>
  <c r="F39"/>
  <c r="G39"/>
  <c r="I39" s="1"/>
  <c r="H39"/>
  <c r="J39" s="1"/>
  <c r="B40"/>
  <c r="C40"/>
  <c r="D40"/>
  <c r="F40" s="1"/>
  <c r="G40"/>
  <c r="H40"/>
  <c r="I40"/>
  <c r="J40"/>
  <c r="B41"/>
  <c r="C41"/>
  <c r="D41"/>
  <c r="E41" s="1"/>
  <c r="F41"/>
  <c r="G41"/>
  <c r="I41" s="1"/>
  <c r="H41"/>
  <c r="J41" s="1"/>
  <c r="B42"/>
  <c r="C42"/>
  <c r="D42"/>
  <c r="F42" s="1"/>
  <c r="G42"/>
  <c r="H42"/>
  <c r="I42"/>
  <c r="J42"/>
  <c r="B43"/>
  <c r="C43"/>
  <c r="D43"/>
  <c r="E43" s="1"/>
  <c r="F43"/>
  <c r="G43"/>
  <c r="I43" s="1"/>
  <c r="H43"/>
  <c r="J43" s="1"/>
  <c r="C10" i="129"/>
  <c r="G10"/>
  <c r="C13"/>
  <c r="D13"/>
  <c r="E13" s="1"/>
  <c r="F13"/>
  <c r="G13"/>
  <c r="I13" s="1"/>
  <c r="H13"/>
  <c r="J13" s="1"/>
  <c r="B16"/>
  <c r="C16"/>
  <c r="D16"/>
  <c r="E16"/>
  <c r="F16"/>
  <c r="G16"/>
  <c r="G15" s="1"/>
  <c r="G14" s="1"/>
  <c r="H16"/>
  <c r="J16" s="1"/>
  <c r="B17"/>
  <c r="C17"/>
  <c r="E17" s="1"/>
  <c r="D17"/>
  <c r="F17" s="1"/>
  <c r="G17"/>
  <c r="H17"/>
  <c r="J17" s="1"/>
  <c r="I17"/>
  <c r="B18"/>
  <c r="C18"/>
  <c r="D18"/>
  <c r="E18"/>
  <c r="F18"/>
  <c r="G18"/>
  <c r="H18"/>
  <c r="J18" s="1"/>
  <c r="B20"/>
  <c r="C20"/>
  <c r="C19" s="1"/>
  <c r="D20"/>
  <c r="E20" s="1"/>
  <c r="F20"/>
  <c r="G20"/>
  <c r="G19" s="1"/>
  <c r="H20"/>
  <c r="H19" s="1"/>
  <c r="B21"/>
  <c r="C21"/>
  <c r="D21"/>
  <c r="F21" s="1"/>
  <c r="G21"/>
  <c r="H21"/>
  <c r="I21"/>
  <c r="J21"/>
  <c r="B22"/>
  <c r="C22"/>
  <c r="D22"/>
  <c r="E22" s="1"/>
  <c r="F22"/>
  <c r="G22"/>
  <c r="I22" s="1"/>
  <c r="H22"/>
  <c r="J22" s="1"/>
  <c r="B23"/>
  <c r="C23"/>
  <c r="D23"/>
  <c r="F23" s="1"/>
  <c r="G23"/>
  <c r="H23"/>
  <c r="I23"/>
  <c r="J23"/>
  <c r="B24"/>
  <c r="C24"/>
  <c r="D24"/>
  <c r="E24" s="1"/>
  <c r="F24"/>
  <c r="G24"/>
  <c r="I24" s="1"/>
  <c r="H24"/>
  <c r="J24" s="1"/>
  <c r="B25"/>
  <c r="C25"/>
  <c r="D25"/>
  <c r="F25" s="1"/>
  <c r="G25"/>
  <c r="H25"/>
  <c r="I25"/>
  <c r="J25"/>
  <c r="B26"/>
  <c r="C26"/>
  <c r="D26"/>
  <c r="E26" s="1"/>
  <c r="F26"/>
  <c r="G26"/>
  <c r="I26" s="1"/>
  <c r="H26"/>
  <c r="J26" s="1"/>
  <c r="B27"/>
  <c r="C27"/>
  <c r="D27"/>
  <c r="F27" s="1"/>
  <c r="G27"/>
  <c r="H27"/>
  <c r="I27"/>
  <c r="J27"/>
  <c r="B28"/>
  <c r="C28"/>
  <c r="D28"/>
  <c r="E28" s="1"/>
  <c r="F28"/>
  <c r="G28"/>
  <c r="I28" s="1"/>
  <c r="H28"/>
  <c r="J28" s="1"/>
  <c r="B29"/>
  <c r="C29"/>
  <c r="D29"/>
  <c r="F29" s="1"/>
  <c r="G29"/>
  <c r="H29"/>
  <c r="I29"/>
  <c r="J29"/>
  <c r="B31"/>
  <c r="C31"/>
  <c r="D31"/>
  <c r="F31" s="1"/>
  <c r="E31"/>
  <c r="G31"/>
  <c r="G30" s="1"/>
  <c r="H31"/>
  <c r="I31" s="1"/>
  <c r="J31"/>
  <c r="B32"/>
  <c r="C32"/>
  <c r="C30" s="1"/>
  <c r="D32"/>
  <c r="F32" s="1"/>
  <c r="G32"/>
  <c r="H32"/>
  <c r="J32" s="1"/>
  <c r="B33"/>
  <c r="C33"/>
  <c r="D33"/>
  <c r="F33" s="1"/>
  <c r="E33"/>
  <c r="G33"/>
  <c r="H33"/>
  <c r="I33" s="1"/>
  <c r="J33"/>
  <c r="B34"/>
  <c r="C34"/>
  <c r="D34"/>
  <c r="F34" s="1"/>
  <c r="G34"/>
  <c r="H34"/>
  <c r="J34" s="1"/>
  <c r="B35"/>
  <c r="C35"/>
  <c r="D35"/>
  <c r="F35" s="1"/>
  <c r="E35"/>
  <c r="G35"/>
  <c r="H35"/>
  <c r="I35" s="1"/>
  <c r="J35"/>
  <c r="B36"/>
  <c r="C36"/>
  <c r="D36"/>
  <c r="F36" s="1"/>
  <c r="G36"/>
  <c r="H36"/>
  <c r="J36" s="1"/>
  <c r="B37"/>
  <c r="C37"/>
  <c r="D37"/>
  <c r="F37" s="1"/>
  <c r="E37"/>
  <c r="G37"/>
  <c r="H37"/>
  <c r="I37" s="1"/>
  <c r="J37"/>
  <c r="B38"/>
  <c r="C38"/>
  <c r="D38"/>
  <c r="F38" s="1"/>
  <c r="G38"/>
  <c r="H38"/>
  <c r="J38" s="1"/>
  <c r="B39"/>
  <c r="C39"/>
  <c r="D39"/>
  <c r="F39" s="1"/>
  <c r="E39"/>
  <c r="G39"/>
  <c r="H39"/>
  <c r="I39" s="1"/>
  <c r="J39"/>
  <c r="B40"/>
  <c r="C40"/>
  <c r="D40"/>
  <c r="F40" s="1"/>
  <c r="G40"/>
  <c r="H40"/>
  <c r="J40" s="1"/>
  <c r="B41"/>
  <c r="C41"/>
  <c r="D41"/>
  <c r="F41" s="1"/>
  <c r="E41"/>
  <c r="G41"/>
  <c r="H41"/>
  <c r="I41" s="1"/>
  <c r="J41"/>
  <c r="B42"/>
  <c r="C42"/>
  <c r="D42"/>
  <c r="F42" s="1"/>
  <c r="G42"/>
  <c r="H42"/>
  <c r="J42" s="1"/>
  <c r="B43"/>
  <c r="C43"/>
  <c r="D43"/>
  <c r="F43" s="1"/>
  <c r="E43"/>
  <c r="G43"/>
  <c r="H43"/>
  <c r="I43" s="1"/>
  <c r="J43"/>
  <c r="B44"/>
  <c r="C44"/>
  <c r="D44"/>
  <c r="F44" s="1"/>
  <c r="G44"/>
  <c r="H44"/>
  <c r="J44" s="1"/>
  <c r="C10" i="128"/>
  <c r="G10"/>
  <c r="C13"/>
  <c r="D13"/>
  <c r="F13" s="1"/>
  <c r="G13"/>
  <c r="H13"/>
  <c r="J13" s="1"/>
  <c r="B16"/>
  <c r="C16"/>
  <c r="C15" s="1"/>
  <c r="D16"/>
  <c r="E16" s="1"/>
  <c r="G16"/>
  <c r="G15" s="1"/>
  <c r="G14" s="1"/>
  <c r="G45" s="1"/>
  <c r="H16"/>
  <c r="H15" s="1"/>
  <c r="B17"/>
  <c r="C17"/>
  <c r="D17"/>
  <c r="F17" s="1"/>
  <c r="G17"/>
  <c r="H17"/>
  <c r="I17"/>
  <c r="J17"/>
  <c r="B18"/>
  <c r="C18"/>
  <c r="D18"/>
  <c r="E18" s="1"/>
  <c r="G18"/>
  <c r="I18" s="1"/>
  <c r="H18"/>
  <c r="J18" s="1"/>
  <c r="B20"/>
  <c r="C20"/>
  <c r="C19" s="1"/>
  <c r="D20"/>
  <c r="F20" s="1"/>
  <c r="G20"/>
  <c r="H20"/>
  <c r="H19" s="1"/>
  <c r="B21"/>
  <c r="C21"/>
  <c r="D21"/>
  <c r="F21" s="1"/>
  <c r="E21"/>
  <c r="G21"/>
  <c r="G19" s="1"/>
  <c r="H21"/>
  <c r="I21" s="1"/>
  <c r="B22"/>
  <c r="C22"/>
  <c r="D22"/>
  <c r="F22" s="1"/>
  <c r="G22"/>
  <c r="H22"/>
  <c r="J22" s="1"/>
  <c r="B23"/>
  <c r="C23"/>
  <c r="D23"/>
  <c r="F23" s="1"/>
  <c r="E23"/>
  <c r="G23"/>
  <c r="H23"/>
  <c r="I23" s="1"/>
  <c r="B24"/>
  <c r="C24"/>
  <c r="D24"/>
  <c r="F24" s="1"/>
  <c r="G24"/>
  <c r="H24"/>
  <c r="J24" s="1"/>
  <c r="B25"/>
  <c r="C25"/>
  <c r="D25"/>
  <c r="F25" s="1"/>
  <c r="E25"/>
  <c r="G25"/>
  <c r="H25"/>
  <c r="I25" s="1"/>
  <c r="B26"/>
  <c r="C26"/>
  <c r="D26"/>
  <c r="F26" s="1"/>
  <c r="G26"/>
  <c r="H26"/>
  <c r="J26" s="1"/>
  <c r="B27"/>
  <c r="C27"/>
  <c r="D27"/>
  <c r="F27" s="1"/>
  <c r="E27"/>
  <c r="G27"/>
  <c r="H27"/>
  <c r="I27" s="1"/>
  <c r="B28"/>
  <c r="C28"/>
  <c r="D28"/>
  <c r="F28" s="1"/>
  <c r="G28"/>
  <c r="H28"/>
  <c r="J28" s="1"/>
  <c r="B29"/>
  <c r="C29"/>
  <c r="D29"/>
  <c r="F29" s="1"/>
  <c r="E29"/>
  <c r="G29"/>
  <c r="H29"/>
  <c r="I29" s="1"/>
  <c r="B31"/>
  <c r="C31"/>
  <c r="D31"/>
  <c r="E31"/>
  <c r="F31"/>
  <c r="G31"/>
  <c r="G30" s="1"/>
  <c r="H31"/>
  <c r="J31" s="1"/>
  <c r="B32"/>
  <c r="C32"/>
  <c r="E32" s="1"/>
  <c r="D32"/>
  <c r="F32" s="1"/>
  <c r="G32"/>
  <c r="H32"/>
  <c r="J32" s="1"/>
  <c r="I32"/>
  <c r="B33"/>
  <c r="C33"/>
  <c r="D33"/>
  <c r="E33"/>
  <c r="F33"/>
  <c r="G33"/>
  <c r="H33"/>
  <c r="J33" s="1"/>
  <c r="B34"/>
  <c r="C34"/>
  <c r="E34" s="1"/>
  <c r="D34"/>
  <c r="F34" s="1"/>
  <c r="G34"/>
  <c r="H34"/>
  <c r="J34" s="1"/>
  <c r="I34"/>
  <c r="B35"/>
  <c r="C35"/>
  <c r="D35"/>
  <c r="E35"/>
  <c r="F35"/>
  <c r="G35"/>
  <c r="H35"/>
  <c r="J35" s="1"/>
  <c r="B36"/>
  <c r="C36"/>
  <c r="E36" s="1"/>
  <c r="D36"/>
  <c r="F36" s="1"/>
  <c r="G36"/>
  <c r="H36"/>
  <c r="J36" s="1"/>
  <c r="I36"/>
  <c r="B37"/>
  <c r="C37"/>
  <c r="D37"/>
  <c r="E37"/>
  <c r="F37"/>
  <c r="G37"/>
  <c r="H37"/>
  <c r="J37" s="1"/>
  <c r="B38"/>
  <c r="C38"/>
  <c r="E38" s="1"/>
  <c r="D38"/>
  <c r="F38" s="1"/>
  <c r="G38"/>
  <c r="H38"/>
  <c r="J38" s="1"/>
  <c r="I38"/>
  <c r="B39"/>
  <c r="C39"/>
  <c r="D39"/>
  <c r="E39"/>
  <c r="F39"/>
  <c r="G39"/>
  <c r="H39"/>
  <c r="J39" s="1"/>
  <c r="B40"/>
  <c r="C40"/>
  <c r="E40" s="1"/>
  <c r="D40"/>
  <c r="F40" s="1"/>
  <c r="G40"/>
  <c r="H40"/>
  <c r="J40" s="1"/>
  <c r="I40"/>
  <c r="B41"/>
  <c r="C41"/>
  <c r="D41"/>
  <c r="E41"/>
  <c r="F41"/>
  <c r="G41"/>
  <c r="H41"/>
  <c r="J41" s="1"/>
  <c r="B42"/>
  <c r="C42"/>
  <c r="E42" s="1"/>
  <c r="D42"/>
  <c r="F42" s="1"/>
  <c r="G42"/>
  <c r="H42"/>
  <c r="J42" s="1"/>
  <c r="I42"/>
  <c r="B43"/>
  <c r="C43"/>
  <c r="D43"/>
  <c r="E43"/>
  <c r="F43"/>
  <c r="G43"/>
  <c r="H43"/>
  <c r="J43" s="1"/>
  <c r="B44"/>
  <c r="C44"/>
  <c r="E44" s="1"/>
  <c r="D44"/>
  <c r="F44" s="1"/>
  <c r="G44"/>
  <c r="H44"/>
  <c r="J44" s="1"/>
  <c r="I44"/>
  <c r="C10" i="125"/>
  <c r="G10"/>
  <c r="C13"/>
  <c r="E13" s="1"/>
  <c r="D13"/>
  <c r="F13" s="1"/>
  <c r="G13"/>
  <c r="H13"/>
  <c r="J13" s="1"/>
  <c r="I13"/>
  <c r="B16"/>
  <c r="C16"/>
  <c r="C15" s="1"/>
  <c r="C14" s="1"/>
  <c r="D16"/>
  <c r="F16" s="1"/>
  <c r="G16"/>
  <c r="H16"/>
  <c r="H15" s="1"/>
  <c r="B17"/>
  <c r="C17"/>
  <c r="D17"/>
  <c r="F17" s="1"/>
  <c r="E17"/>
  <c r="G17"/>
  <c r="G15" s="1"/>
  <c r="G14" s="1"/>
  <c r="H17"/>
  <c r="I17" s="1"/>
  <c r="J17"/>
  <c r="B18"/>
  <c r="C18"/>
  <c r="D18"/>
  <c r="F18" s="1"/>
  <c r="G18"/>
  <c r="H18"/>
  <c r="J18" s="1"/>
  <c r="B20"/>
  <c r="C20"/>
  <c r="C19" s="1"/>
  <c r="D20"/>
  <c r="D19" s="1"/>
  <c r="F20"/>
  <c r="G20"/>
  <c r="H20"/>
  <c r="J20" s="1"/>
  <c r="I20"/>
  <c r="B21"/>
  <c r="C21"/>
  <c r="D21"/>
  <c r="E21"/>
  <c r="F21"/>
  <c r="G21"/>
  <c r="G19" s="1"/>
  <c r="H21"/>
  <c r="J21" s="1"/>
  <c r="B22"/>
  <c r="C22"/>
  <c r="E22" s="1"/>
  <c r="D22"/>
  <c r="F22"/>
  <c r="G22"/>
  <c r="H22"/>
  <c r="J22" s="1"/>
  <c r="I22"/>
  <c r="B23"/>
  <c r="C23"/>
  <c r="D23"/>
  <c r="E23"/>
  <c r="F23"/>
  <c r="G23"/>
  <c r="H23"/>
  <c r="J23" s="1"/>
  <c r="B24"/>
  <c r="C24"/>
  <c r="E24" s="1"/>
  <c r="D24"/>
  <c r="F24" s="1"/>
  <c r="G24"/>
  <c r="H24"/>
  <c r="J24" s="1"/>
  <c r="I24"/>
  <c r="B25"/>
  <c r="C25"/>
  <c r="D25"/>
  <c r="E25"/>
  <c r="F25"/>
  <c r="G25"/>
  <c r="H25"/>
  <c r="J25" s="1"/>
  <c r="B26"/>
  <c r="C26"/>
  <c r="E26" s="1"/>
  <c r="D26"/>
  <c r="F26" s="1"/>
  <c r="G26"/>
  <c r="H26"/>
  <c r="J26" s="1"/>
  <c r="I26"/>
  <c r="B27"/>
  <c r="C27"/>
  <c r="D27"/>
  <c r="E27"/>
  <c r="F27"/>
  <c r="G27"/>
  <c r="H27"/>
  <c r="J27" s="1"/>
  <c r="B28"/>
  <c r="C28"/>
  <c r="E28" s="1"/>
  <c r="D28"/>
  <c r="F28" s="1"/>
  <c r="G28"/>
  <c r="H28"/>
  <c r="J28" s="1"/>
  <c r="I28"/>
  <c r="B29"/>
  <c r="C29"/>
  <c r="D29"/>
  <c r="E29"/>
  <c r="F29"/>
  <c r="G29"/>
  <c r="H29"/>
  <c r="J29" s="1"/>
  <c r="B31"/>
  <c r="C31"/>
  <c r="C30" s="1"/>
  <c r="D31"/>
  <c r="E31" s="1"/>
  <c r="F31"/>
  <c r="G31"/>
  <c r="G30" s="1"/>
  <c r="H31"/>
  <c r="H30" s="1"/>
  <c r="B32"/>
  <c r="C32"/>
  <c r="D32"/>
  <c r="F32" s="1"/>
  <c r="G32"/>
  <c r="H32"/>
  <c r="I32"/>
  <c r="J32"/>
  <c r="B33"/>
  <c r="C33"/>
  <c r="D33"/>
  <c r="E33" s="1"/>
  <c r="F33"/>
  <c r="G33"/>
  <c r="I33" s="1"/>
  <c r="H33"/>
  <c r="J33" s="1"/>
  <c r="B34"/>
  <c r="C34"/>
  <c r="D34"/>
  <c r="F34" s="1"/>
  <c r="G34"/>
  <c r="H34"/>
  <c r="I34"/>
  <c r="J34"/>
  <c r="B35"/>
  <c r="C35"/>
  <c r="D35"/>
  <c r="E35" s="1"/>
  <c r="F35"/>
  <c r="G35"/>
  <c r="I35" s="1"/>
  <c r="H35"/>
  <c r="J35" s="1"/>
  <c r="B36"/>
  <c r="C36"/>
  <c r="D36"/>
  <c r="F36" s="1"/>
  <c r="G36"/>
  <c r="H36"/>
  <c r="I36"/>
  <c r="J36"/>
  <c r="B37"/>
  <c r="C37"/>
  <c r="D37"/>
  <c r="E37" s="1"/>
  <c r="F37"/>
  <c r="G37"/>
  <c r="I37" s="1"/>
  <c r="H37"/>
  <c r="J37" s="1"/>
  <c r="B38"/>
  <c r="C38"/>
  <c r="D38"/>
  <c r="F38" s="1"/>
  <c r="G38"/>
  <c r="H38"/>
  <c r="I38"/>
  <c r="J38"/>
  <c r="B39"/>
  <c r="C39"/>
  <c r="D39"/>
  <c r="E39" s="1"/>
  <c r="F39"/>
  <c r="G39"/>
  <c r="I39" s="1"/>
  <c r="H39"/>
  <c r="J39" s="1"/>
  <c r="B40"/>
  <c r="C40"/>
  <c r="D40"/>
  <c r="F40" s="1"/>
  <c r="G40"/>
  <c r="H40"/>
  <c r="I40"/>
  <c r="J40"/>
  <c r="B41"/>
  <c r="C41"/>
  <c r="D41"/>
  <c r="E41" s="1"/>
  <c r="F41"/>
  <c r="G41"/>
  <c r="I41" s="1"/>
  <c r="H41"/>
  <c r="J41" s="1"/>
  <c r="B42"/>
  <c r="C42"/>
  <c r="D42"/>
  <c r="F42" s="1"/>
  <c r="G42"/>
  <c r="H42"/>
  <c r="I42"/>
  <c r="J42"/>
  <c r="B43"/>
  <c r="C43"/>
  <c r="D43"/>
  <c r="E43" s="1"/>
  <c r="F43"/>
  <c r="G43"/>
  <c r="I43" s="1"/>
  <c r="H43"/>
  <c r="J43" s="1"/>
  <c r="B44"/>
  <c r="C44"/>
  <c r="D44"/>
  <c r="F44" s="1"/>
  <c r="G44"/>
  <c r="H44"/>
  <c r="I44"/>
  <c r="J44"/>
  <c r="C10" i="126"/>
  <c r="G10"/>
  <c r="C13"/>
  <c r="D13"/>
  <c r="F13" s="1"/>
  <c r="G13"/>
  <c r="H13"/>
  <c r="I13"/>
  <c r="J13"/>
  <c r="B16"/>
  <c r="C16"/>
  <c r="C15" s="1"/>
  <c r="C14" s="1"/>
  <c r="D16"/>
  <c r="D15" s="1"/>
  <c r="G16"/>
  <c r="H16"/>
  <c r="H15" s="1"/>
  <c r="I16"/>
  <c r="B17"/>
  <c r="C17"/>
  <c r="D17"/>
  <c r="E17"/>
  <c r="F17"/>
  <c r="G17"/>
  <c r="G15" s="1"/>
  <c r="H17"/>
  <c r="J17" s="1"/>
  <c r="B18"/>
  <c r="C18"/>
  <c r="E18" s="1"/>
  <c r="D18"/>
  <c r="F18" s="1"/>
  <c r="G18"/>
  <c r="H18"/>
  <c r="J18" s="1"/>
  <c r="I18"/>
  <c r="B20"/>
  <c r="C20"/>
  <c r="C19" s="1"/>
  <c r="D20"/>
  <c r="G20"/>
  <c r="H20"/>
  <c r="I20"/>
  <c r="J20"/>
  <c r="B21"/>
  <c r="C21"/>
  <c r="D21"/>
  <c r="E21" s="1"/>
  <c r="G21"/>
  <c r="I21" s="1"/>
  <c r="H21"/>
  <c r="J21" s="1"/>
  <c r="B22"/>
  <c r="C22"/>
  <c r="D22"/>
  <c r="G22"/>
  <c r="H22"/>
  <c r="I22"/>
  <c r="J22"/>
  <c r="B23"/>
  <c r="C23"/>
  <c r="D23"/>
  <c r="E23" s="1"/>
  <c r="G23"/>
  <c r="I23" s="1"/>
  <c r="H23"/>
  <c r="J23" s="1"/>
  <c r="B24"/>
  <c r="C24"/>
  <c r="D24"/>
  <c r="G24"/>
  <c r="H24"/>
  <c r="I24"/>
  <c r="J24"/>
  <c r="B25"/>
  <c r="C25"/>
  <c r="D25"/>
  <c r="E25" s="1"/>
  <c r="G25"/>
  <c r="I25" s="1"/>
  <c r="H25"/>
  <c r="J25" s="1"/>
  <c r="B26"/>
  <c r="C26"/>
  <c r="D26"/>
  <c r="G26"/>
  <c r="H26"/>
  <c r="I26"/>
  <c r="J26"/>
  <c r="B27"/>
  <c r="C27"/>
  <c r="D27"/>
  <c r="E27" s="1"/>
  <c r="G27"/>
  <c r="I27" s="1"/>
  <c r="H27"/>
  <c r="J27" s="1"/>
  <c r="B28"/>
  <c r="C28"/>
  <c r="D28"/>
  <c r="G28"/>
  <c r="H28"/>
  <c r="I28"/>
  <c r="J28"/>
  <c r="B29"/>
  <c r="C29"/>
  <c r="D29"/>
  <c r="E29" s="1"/>
  <c r="G29"/>
  <c r="I29" s="1"/>
  <c r="H29"/>
  <c r="J29" s="1"/>
  <c r="B31"/>
  <c r="C31"/>
  <c r="C30" s="1"/>
  <c r="D31"/>
  <c r="F31" s="1"/>
  <c r="G31"/>
  <c r="G30" s="1"/>
  <c r="H31"/>
  <c r="B32"/>
  <c r="C32"/>
  <c r="D32"/>
  <c r="F32" s="1"/>
  <c r="E32"/>
  <c r="G32"/>
  <c r="H32"/>
  <c r="I32" s="1"/>
  <c r="J32"/>
  <c r="B33"/>
  <c r="C33"/>
  <c r="D33"/>
  <c r="F33" s="1"/>
  <c r="G33"/>
  <c r="H33"/>
  <c r="B34"/>
  <c r="C34"/>
  <c r="D34"/>
  <c r="F34" s="1"/>
  <c r="E34"/>
  <c r="G34"/>
  <c r="H34"/>
  <c r="I34" s="1"/>
  <c r="J34"/>
  <c r="B35"/>
  <c r="C35"/>
  <c r="D35"/>
  <c r="F35" s="1"/>
  <c r="G35"/>
  <c r="H35"/>
  <c r="B36"/>
  <c r="C36"/>
  <c r="D36"/>
  <c r="F36" s="1"/>
  <c r="E36"/>
  <c r="G36"/>
  <c r="H36"/>
  <c r="I36" s="1"/>
  <c r="J36"/>
  <c r="B37"/>
  <c r="C37"/>
  <c r="D37"/>
  <c r="F37" s="1"/>
  <c r="G37"/>
  <c r="H37"/>
  <c r="B38"/>
  <c r="C38"/>
  <c r="D38"/>
  <c r="F38" s="1"/>
  <c r="E38"/>
  <c r="G38"/>
  <c r="H38"/>
  <c r="I38" s="1"/>
  <c r="J38"/>
  <c r="B39"/>
  <c r="C39"/>
  <c r="D39"/>
  <c r="F39" s="1"/>
  <c r="G39"/>
  <c r="H39"/>
  <c r="B40"/>
  <c r="C40"/>
  <c r="D40"/>
  <c r="F40" s="1"/>
  <c r="E40"/>
  <c r="G40"/>
  <c r="H40"/>
  <c r="I40" s="1"/>
  <c r="J40"/>
  <c r="B41"/>
  <c r="C41"/>
  <c r="D41"/>
  <c r="F41" s="1"/>
  <c r="G41"/>
  <c r="H41"/>
  <c r="B42"/>
  <c r="C42"/>
  <c r="D42"/>
  <c r="F42" s="1"/>
  <c r="E42"/>
  <c r="G42"/>
  <c r="H42"/>
  <c r="I42" s="1"/>
  <c r="J42"/>
  <c r="B43"/>
  <c r="C43"/>
  <c r="D43"/>
  <c r="F43" s="1"/>
  <c r="G43"/>
  <c r="H43"/>
  <c r="B44"/>
  <c r="C44"/>
  <c r="D44"/>
  <c r="F44" s="1"/>
  <c r="E44"/>
  <c r="G44"/>
  <c r="H44"/>
  <c r="I44" s="1"/>
  <c r="J44"/>
  <c r="C45"/>
  <c r="C10" i="124"/>
  <c r="G10"/>
  <c r="C13"/>
  <c r="D13"/>
  <c r="F31" s="1"/>
  <c r="E13"/>
  <c r="G13"/>
  <c r="H13"/>
  <c r="I13" s="1"/>
  <c r="J13"/>
  <c r="B16"/>
  <c r="C16"/>
  <c r="D16"/>
  <c r="G16"/>
  <c r="H16"/>
  <c r="I16"/>
  <c r="J16"/>
  <c r="B17"/>
  <c r="C17"/>
  <c r="D17"/>
  <c r="E17" s="1"/>
  <c r="F17"/>
  <c r="G17"/>
  <c r="I17" s="1"/>
  <c r="H17"/>
  <c r="J17" s="1"/>
  <c r="B18"/>
  <c r="C18"/>
  <c r="D18"/>
  <c r="G18"/>
  <c r="H18"/>
  <c r="I18"/>
  <c r="J18"/>
  <c r="B20"/>
  <c r="C20"/>
  <c r="D20"/>
  <c r="G20"/>
  <c r="H20"/>
  <c r="I20" s="1"/>
  <c r="J20"/>
  <c r="B21"/>
  <c r="C21"/>
  <c r="C19" s="1"/>
  <c r="D21"/>
  <c r="F21" s="1"/>
  <c r="G21"/>
  <c r="G19" s="1"/>
  <c r="H21"/>
  <c r="B22"/>
  <c r="C22"/>
  <c r="D22"/>
  <c r="F22" s="1"/>
  <c r="G22"/>
  <c r="H22"/>
  <c r="I22" s="1"/>
  <c r="J22"/>
  <c r="B23"/>
  <c r="C23"/>
  <c r="D23"/>
  <c r="F23" s="1"/>
  <c r="G23"/>
  <c r="H23"/>
  <c r="I23" s="1"/>
  <c r="B24"/>
  <c r="C24"/>
  <c r="D24"/>
  <c r="F24" s="1"/>
  <c r="G24"/>
  <c r="H24"/>
  <c r="J24"/>
  <c r="B25"/>
  <c r="C25"/>
  <c r="D25"/>
  <c r="G25"/>
  <c r="H25"/>
  <c r="J25"/>
  <c r="B26"/>
  <c r="C26"/>
  <c r="D26"/>
  <c r="F26" s="1"/>
  <c r="E26"/>
  <c r="G26"/>
  <c r="H26"/>
  <c r="I26" s="1"/>
  <c r="J26"/>
  <c r="B27"/>
  <c r="C27"/>
  <c r="D27"/>
  <c r="G27"/>
  <c r="H27"/>
  <c r="I27" s="1"/>
  <c r="J27"/>
  <c r="B28"/>
  <c r="C28"/>
  <c r="D28"/>
  <c r="F28" s="1"/>
  <c r="G28"/>
  <c r="H28"/>
  <c r="J28"/>
  <c r="B29"/>
  <c r="C29"/>
  <c r="D29"/>
  <c r="G29"/>
  <c r="H29"/>
  <c r="F30"/>
  <c r="B31"/>
  <c r="C31"/>
  <c r="D31"/>
  <c r="D30" s="1"/>
  <c r="G31"/>
  <c r="H31"/>
  <c r="J31" s="1"/>
  <c r="I31"/>
  <c r="B32"/>
  <c r="C32"/>
  <c r="D32"/>
  <c r="E32"/>
  <c r="F32"/>
  <c r="G32"/>
  <c r="G30" s="1"/>
  <c r="H32"/>
  <c r="B33"/>
  <c r="C33"/>
  <c r="E33" s="1"/>
  <c r="D33"/>
  <c r="G33"/>
  <c r="H33"/>
  <c r="J33" s="1"/>
  <c r="B34"/>
  <c r="C34"/>
  <c r="D34"/>
  <c r="E34"/>
  <c r="F34"/>
  <c r="G34"/>
  <c r="H34"/>
  <c r="B35"/>
  <c r="C35"/>
  <c r="D35"/>
  <c r="E35"/>
  <c r="G35"/>
  <c r="H35"/>
  <c r="J35" s="1"/>
  <c r="I35"/>
  <c r="B36"/>
  <c r="C36"/>
  <c r="D36"/>
  <c r="E36"/>
  <c r="F36"/>
  <c r="G36"/>
  <c r="H36"/>
  <c r="B37"/>
  <c r="C37"/>
  <c r="E37" s="1"/>
  <c r="D37"/>
  <c r="G37"/>
  <c r="H37"/>
  <c r="J37" s="1"/>
  <c r="I37"/>
  <c r="B38"/>
  <c r="C38"/>
  <c r="D38"/>
  <c r="E38"/>
  <c r="F38"/>
  <c r="G38"/>
  <c r="H38"/>
  <c r="B39"/>
  <c r="C39"/>
  <c r="E39" s="1"/>
  <c r="D39"/>
  <c r="G39"/>
  <c r="H39"/>
  <c r="J39" s="1"/>
  <c r="B40"/>
  <c r="C40"/>
  <c r="D40"/>
  <c r="E40"/>
  <c r="F40"/>
  <c r="G40"/>
  <c r="H40"/>
  <c r="B41"/>
  <c r="C41"/>
  <c r="D41"/>
  <c r="E41"/>
  <c r="G41"/>
  <c r="H41"/>
  <c r="J41" s="1"/>
  <c r="I41"/>
  <c r="B42"/>
  <c r="C42"/>
  <c r="D42"/>
  <c r="E42"/>
  <c r="F42"/>
  <c r="G42"/>
  <c r="H42"/>
  <c r="B43"/>
  <c r="C43"/>
  <c r="E43" s="1"/>
  <c r="D43"/>
  <c r="F43"/>
  <c r="G43"/>
  <c r="H43"/>
  <c r="J43" s="1"/>
  <c r="I43"/>
  <c r="C10" i="120"/>
  <c r="G10"/>
  <c r="C13"/>
  <c r="D13"/>
  <c r="E13"/>
  <c r="F13"/>
  <c r="G13"/>
  <c r="H13"/>
  <c r="J13" s="1"/>
  <c r="B16"/>
  <c r="C16"/>
  <c r="C15" s="1"/>
  <c r="D16"/>
  <c r="F16" s="1"/>
  <c r="G16"/>
  <c r="G15" s="1"/>
  <c r="G14" s="1"/>
  <c r="H16"/>
  <c r="B17"/>
  <c r="C17"/>
  <c r="D17"/>
  <c r="F17" s="1"/>
  <c r="E17"/>
  <c r="G17"/>
  <c r="H17"/>
  <c r="I17" s="1"/>
  <c r="J17"/>
  <c r="B18"/>
  <c r="C18"/>
  <c r="D18"/>
  <c r="F18" s="1"/>
  <c r="G18"/>
  <c r="H18"/>
  <c r="H15" s="1"/>
  <c r="B20"/>
  <c r="C20"/>
  <c r="D20"/>
  <c r="E20"/>
  <c r="G20"/>
  <c r="H20"/>
  <c r="H19" s="1"/>
  <c r="B21"/>
  <c r="C21"/>
  <c r="D21"/>
  <c r="E21"/>
  <c r="F21"/>
  <c r="G21"/>
  <c r="H21"/>
  <c r="J21" s="1"/>
  <c r="B22"/>
  <c r="C22"/>
  <c r="C19" s="1"/>
  <c r="D22"/>
  <c r="F22"/>
  <c r="G22"/>
  <c r="H22"/>
  <c r="J22" s="1"/>
  <c r="I22"/>
  <c r="B23"/>
  <c r="C23"/>
  <c r="E23" s="1"/>
  <c r="D23"/>
  <c r="F23"/>
  <c r="G23"/>
  <c r="H23"/>
  <c r="J23" s="1"/>
  <c r="I23"/>
  <c r="B24"/>
  <c r="C24"/>
  <c r="D24"/>
  <c r="F24" s="1"/>
  <c r="G24"/>
  <c r="H24"/>
  <c r="I24" s="1"/>
  <c r="J24"/>
  <c r="B25"/>
  <c r="C25"/>
  <c r="E25" s="1"/>
  <c r="D25"/>
  <c r="F25"/>
  <c r="G25"/>
  <c r="G19" s="1"/>
  <c r="H25"/>
  <c r="B26"/>
  <c r="C26"/>
  <c r="D26"/>
  <c r="F26" s="1"/>
  <c r="E26"/>
  <c r="G26"/>
  <c r="H26"/>
  <c r="J26" s="1"/>
  <c r="B27"/>
  <c r="C27"/>
  <c r="D27"/>
  <c r="E27"/>
  <c r="F27"/>
  <c r="G27"/>
  <c r="H27"/>
  <c r="J27" s="1"/>
  <c r="B28"/>
  <c r="C28"/>
  <c r="D28"/>
  <c r="E28" s="1"/>
  <c r="F28"/>
  <c r="G28"/>
  <c r="H28"/>
  <c r="J28" s="1"/>
  <c r="I28"/>
  <c r="B29"/>
  <c r="C29"/>
  <c r="E29" s="1"/>
  <c r="D29"/>
  <c r="F29"/>
  <c r="G29"/>
  <c r="H29"/>
  <c r="J29" s="1"/>
  <c r="I29"/>
  <c r="B31"/>
  <c r="C31"/>
  <c r="C30" s="1"/>
  <c r="D31"/>
  <c r="G31"/>
  <c r="G30" s="1"/>
  <c r="H31"/>
  <c r="J31"/>
  <c r="B32"/>
  <c r="C32"/>
  <c r="D32"/>
  <c r="D30" s="1"/>
  <c r="G32"/>
  <c r="I32" s="1"/>
  <c r="H32"/>
  <c r="J32"/>
  <c r="B33"/>
  <c r="C33"/>
  <c r="D33"/>
  <c r="E33" s="1"/>
  <c r="G33"/>
  <c r="H33"/>
  <c r="J33" s="1"/>
  <c r="B34"/>
  <c r="C34"/>
  <c r="D34"/>
  <c r="F34" s="1"/>
  <c r="E34"/>
  <c r="G34"/>
  <c r="I34" s="1"/>
  <c r="H34"/>
  <c r="J34"/>
  <c r="B35"/>
  <c r="C35"/>
  <c r="D35"/>
  <c r="E35" s="1"/>
  <c r="F35"/>
  <c r="G35"/>
  <c r="H35"/>
  <c r="J35" s="1"/>
  <c r="I35"/>
  <c r="B36"/>
  <c r="C36"/>
  <c r="D36"/>
  <c r="E36" s="1"/>
  <c r="F36"/>
  <c r="G36"/>
  <c r="H36"/>
  <c r="I36"/>
  <c r="J36"/>
  <c r="B37"/>
  <c r="C37"/>
  <c r="D37"/>
  <c r="F37"/>
  <c r="G37"/>
  <c r="H37"/>
  <c r="I37" s="1"/>
  <c r="J37"/>
  <c r="B38"/>
  <c r="C38"/>
  <c r="D38"/>
  <c r="F38" s="1"/>
  <c r="G38"/>
  <c r="I38" s="1"/>
  <c r="H38"/>
  <c r="J38"/>
  <c r="B39"/>
  <c r="C39"/>
  <c r="D39"/>
  <c r="E39" s="1"/>
  <c r="G39"/>
  <c r="H39"/>
  <c r="J39" s="1"/>
  <c r="B40"/>
  <c r="C40"/>
  <c r="D40"/>
  <c r="F40" s="1"/>
  <c r="E40"/>
  <c r="G40"/>
  <c r="I40" s="1"/>
  <c r="H40"/>
  <c r="J40"/>
  <c r="B41"/>
  <c r="C41"/>
  <c r="D41"/>
  <c r="F41"/>
  <c r="G41"/>
  <c r="H41"/>
  <c r="J41" s="1"/>
  <c r="I41"/>
  <c r="B42"/>
  <c r="C42"/>
  <c r="E42" s="1"/>
  <c r="D42"/>
  <c r="F42"/>
  <c r="G42"/>
  <c r="H42"/>
  <c r="I42"/>
  <c r="B43"/>
  <c r="C43"/>
  <c r="D43"/>
  <c r="G43"/>
  <c r="I43" s="1"/>
  <c r="H43"/>
  <c r="J43"/>
  <c r="B44"/>
  <c r="C44"/>
  <c r="D44"/>
  <c r="F44" s="1"/>
  <c r="G44"/>
  <c r="I44" s="1"/>
  <c r="H44"/>
  <c r="J44"/>
  <c r="C10" i="119"/>
  <c r="G10"/>
  <c r="C13"/>
  <c r="D13"/>
  <c r="F13" s="1"/>
  <c r="E13"/>
  <c r="G13"/>
  <c r="I13" s="1"/>
  <c r="H13"/>
  <c r="J13"/>
  <c r="B16"/>
  <c r="C16"/>
  <c r="D16"/>
  <c r="E16" s="1"/>
  <c r="F16"/>
  <c r="G16"/>
  <c r="H16"/>
  <c r="J16" s="1"/>
  <c r="I16"/>
  <c r="B17"/>
  <c r="C17"/>
  <c r="C38" s="1"/>
  <c r="D17"/>
  <c r="E17" s="1"/>
  <c r="F17"/>
  <c r="G17"/>
  <c r="H17"/>
  <c r="I17"/>
  <c r="J17"/>
  <c r="B18"/>
  <c r="C18"/>
  <c r="D18"/>
  <c r="F18"/>
  <c r="G18"/>
  <c r="H18"/>
  <c r="I18" s="1"/>
  <c r="J18"/>
  <c r="B19"/>
  <c r="C19"/>
  <c r="D19"/>
  <c r="F19" s="1"/>
  <c r="G19"/>
  <c r="I19" s="1"/>
  <c r="H19"/>
  <c r="J19"/>
  <c r="B20"/>
  <c r="C20"/>
  <c r="D20"/>
  <c r="E20" s="1"/>
  <c r="G20"/>
  <c r="H20"/>
  <c r="J20" s="1"/>
  <c r="B21"/>
  <c r="C21"/>
  <c r="D21"/>
  <c r="F21" s="1"/>
  <c r="E21"/>
  <c r="G21"/>
  <c r="I21" s="1"/>
  <c r="H21"/>
  <c r="J21"/>
  <c r="B22"/>
  <c r="C22"/>
  <c r="D22"/>
  <c r="F22"/>
  <c r="G22"/>
  <c r="H22"/>
  <c r="J22" s="1"/>
  <c r="I22"/>
  <c r="B23"/>
  <c r="C23"/>
  <c r="E23" s="1"/>
  <c r="D23"/>
  <c r="F23"/>
  <c r="G23"/>
  <c r="H23"/>
  <c r="I23"/>
  <c r="J23"/>
  <c r="B24"/>
  <c r="C24"/>
  <c r="D24"/>
  <c r="G24"/>
  <c r="I24" s="1"/>
  <c r="H24"/>
  <c r="J24"/>
  <c r="B25"/>
  <c r="C25"/>
  <c r="D25"/>
  <c r="F25" s="1"/>
  <c r="G25"/>
  <c r="I25" s="1"/>
  <c r="H25"/>
  <c r="J25"/>
  <c r="B26"/>
  <c r="C26"/>
  <c r="D26"/>
  <c r="E26" s="1"/>
  <c r="G26"/>
  <c r="H26"/>
  <c r="J26" s="1"/>
  <c r="B27"/>
  <c r="C27"/>
  <c r="D27"/>
  <c r="F27" s="1"/>
  <c r="E27"/>
  <c r="G27"/>
  <c r="I27" s="1"/>
  <c r="H27"/>
  <c r="J27"/>
  <c r="B28"/>
  <c r="C28"/>
  <c r="D28"/>
  <c r="E28" s="1"/>
  <c r="F28"/>
  <c r="G28"/>
  <c r="H28"/>
  <c r="J28" s="1"/>
  <c r="I28"/>
  <c r="B29"/>
  <c r="C29"/>
  <c r="D29"/>
  <c r="E29" s="1"/>
  <c r="F29"/>
  <c r="G29"/>
  <c r="H29"/>
  <c r="I29"/>
  <c r="J29"/>
  <c r="B30"/>
  <c r="C30"/>
  <c r="D30"/>
  <c r="F30"/>
  <c r="G30"/>
  <c r="I30" s="1"/>
  <c r="H30"/>
  <c r="J30"/>
  <c r="B31"/>
  <c r="C31"/>
  <c r="D31"/>
  <c r="D38" s="1"/>
  <c r="G31"/>
  <c r="I31" s="1"/>
  <c r="H31"/>
  <c r="J31"/>
  <c r="B32"/>
  <c r="C32"/>
  <c r="D32"/>
  <c r="E32" s="1"/>
  <c r="G32"/>
  <c r="H32"/>
  <c r="J32" s="1"/>
  <c r="B33"/>
  <c r="C33"/>
  <c r="D33"/>
  <c r="F33" s="1"/>
  <c r="E33"/>
  <c r="G33"/>
  <c r="I33" s="1"/>
  <c r="H33"/>
  <c r="J33"/>
  <c r="B34"/>
  <c r="C34"/>
  <c r="D34"/>
  <c r="E34" s="1"/>
  <c r="F34"/>
  <c r="G34"/>
  <c r="H34"/>
  <c r="J34" s="1"/>
  <c r="I34"/>
  <c r="B35"/>
  <c r="C35"/>
  <c r="E35" s="1"/>
  <c r="D35"/>
  <c r="F35"/>
  <c r="G35"/>
  <c r="H35"/>
  <c r="I35"/>
  <c r="J35"/>
  <c r="B36"/>
  <c r="C36"/>
  <c r="D36"/>
  <c r="F36"/>
  <c r="G36"/>
  <c r="I36" s="1"/>
  <c r="H36"/>
  <c r="J36"/>
  <c r="C37"/>
  <c r="D37"/>
  <c r="F37" s="1"/>
  <c r="E37"/>
  <c r="G37"/>
  <c r="H37"/>
  <c r="I37" s="1"/>
  <c r="H38"/>
  <c r="J38" s="1"/>
  <c r="M39"/>
  <c r="C10" i="67"/>
  <c r="G10"/>
  <c r="C13"/>
  <c r="E13" s="1"/>
  <c r="D13"/>
  <c r="F13"/>
  <c r="G13"/>
  <c r="H13"/>
  <c r="I13"/>
  <c r="J13"/>
  <c r="B16"/>
  <c r="C16"/>
  <c r="D16"/>
  <c r="F16"/>
  <c r="G16"/>
  <c r="I16" s="1"/>
  <c r="H16"/>
  <c r="J16"/>
  <c r="B17"/>
  <c r="C17"/>
  <c r="D17"/>
  <c r="F17" s="1"/>
  <c r="G17"/>
  <c r="I17" s="1"/>
  <c r="H17"/>
  <c r="J17"/>
  <c r="B18"/>
  <c r="C18"/>
  <c r="D18"/>
  <c r="E18" s="1"/>
  <c r="G18"/>
  <c r="H18"/>
  <c r="J18" s="1"/>
  <c r="B19"/>
  <c r="C19"/>
  <c r="D19"/>
  <c r="F19" s="1"/>
  <c r="E19"/>
  <c r="G19"/>
  <c r="I19" s="1"/>
  <c r="H19"/>
  <c r="J19"/>
  <c r="B20"/>
  <c r="C20"/>
  <c r="D20"/>
  <c r="E20" s="1"/>
  <c r="F20"/>
  <c r="G20"/>
  <c r="H20"/>
  <c r="J20" s="1"/>
  <c r="I20"/>
  <c r="B21"/>
  <c r="C21"/>
  <c r="E21" s="1"/>
  <c r="D21"/>
  <c r="F21"/>
  <c r="G21"/>
  <c r="H21"/>
  <c r="I21"/>
  <c r="J21"/>
  <c r="B22"/>
  <c r="C22"/>
  <c r="C37" s="1"/>
  <c r="D22"/>
  <c r="F22"/>
  <c r="G22"/>
  <c r="I22" s="1"/>
  <c r="H22"/>
  <c r="J22"/>
  <c r="B23"/>
  <c r="C23"/>
  <c r="D23"/>
  <c r="F23" s="1"/>
  <c r="G23"/>
  <c r="I23" s="1"/>
  <c r="H23"/>
  <c r="J23"/>
  <c r="B24"/>
  <c r="C24"/>
  <c r="D24"/>
  <c r="E24" s="1"/>
  <c r="G24"/>
  <c r="H24"/>
  <c r="J24" s="1"/>
  <c r="B25"/>
  <c r="C25"/>
  <c r="D25"/>
  <c r="F25" s="1"/>
  <c r="E25"/>
  <c r="G25"/>
  <c r="I25" s="1"/>
  <c r="H25"/>
  <c r="J25"/>
  <c r="B26"/>
  <c r="C26"/>
  <c r="D26"/>
  <c r="E26" s="1"/>
  <c r="F26"/>
  <c r="G26"/>
  <c r="H26"/>
  <c r="J26" s="1"/>
  <c r="I26"/>
  <c r="B27"/>
  <c r="C27"/>
  <c r="E27" s="1"/>
  <c r="D27"/>
  <c r="F27"/>
  <c r="G27"/>
  <c r="H27"/>
  <c r="I27"/>
  <c r="J27"/>
  <c r="B28"/>
  <c r="C28"/>
  <c r="D28"/>
  <c r="F28"/>
  <c r="G28"/>
  <c r="I28" s="1"/>
  <c r="H28"/>
  <c r="J28"/>
  <c r="B29"/>
  <c r="C29"/>
  <c r="D29"/>
  <c r="F29" s="1"/>
  <c r="G29"/>
  <c r="I29" s="1"/>
  <c r="H29"/>
  <c r="J29"/>
  <c r="B30"/>
  <c r="C30"/>
  <c r="D30"/>
  <c r="E30" s="1"/>
  <c r="G30"/>
  <c r="H30"/>
  <c r="J30" s="1"/>
  <c r="B31"/>
  <c r="C31"/>
  <c r="D31"/>
  <c r="F31" s="1"/>
  <c r="E31"/>
  <c r="G31"/>
  <c r="I31" s="1"/>
  <c r="H31"/>
  <c r="J31"/>
  <c r="B32"/>
  <c r="C32"/>
  <c r="D32"/>
  <c r="E32" s="1"/>
  <c r="F32"/>
  <c r="G32"/>
  <c r="H32"/>
  <c r="J32" s="1"/>
  <c r="I32"/>
  <c r="B33"/>
  <c r="C33"/>
  <c r="E33" s="1"/>
  <c r="D33"/>
  <c r="F33"/>
  <c r="G33"/>
  <c r="H33"/>
  <c r="I33"/>
  <c r="J33"/>
  <c r="B34"/>
  <c r="C34"/>
  <c r="D34"/>
  <c r="F34"/>
  <c r="G34"/>
  <c r="I34" s="1"/>
  <c r="H34"/>
  <c r="J34"/>
  <c r="B35"/>
  <c r="C35"/>
  <c r="D35"/>
  <c r="F35" s="1"/>
  <c r="G35"/>
  <c r="I35" s="1"/>
  <c r="H35"/>
  <c r="J35"/>
  <c r="C36"/>
  <c r="D36"/>
  <c r="F36" s="1"/>
  <c r="E36"/>
  <c r="G36"/>
  <c r="H36"/>
  <c r="J36" s="1"/>
  <c r="I36"/>
  <c r="M38"/>
  <c r="C10" i="157"/>
  <c r="G10"/>
  <c r="C13"/>
  <c r="C44" s="1"/>
  <c r="D13"/>
  <c r="E13" s="1"/>
  <c r="G13"/>
  <c r="H13"/>
  <c r="J18" s="1"/>
  <c r="B14"/>
  <c r="C14"/>
  <c r="C13" i="158" s="1"/>
  <c r="C44" s="1"/>
  <c r="D14" i="157"/>
  <c r="D13" i="158" s="1"/>
  <c r="E14" i="157"/>
  <c r="G14"/>
  <c r="G13" i="158" s="1"/>
  <c r="G44" s="1"/>
  <c r="H14" i="157"/>
  <c r="H13" i="158" s="1"/>
  <c r="B15" i="157"/>
  <c r="C15"/>
  <c r="C13" i="159" s="1"/>
  <c r="C44" s="1"/>
  <c r="D15" i="157"/>
  <c r="F15"/>
  <c r="G15"/>
  <c r="G13" i="159" s="1"/>
  <c r="G44" s="1"/>
  <c r="H15" i="157"/>
  <c r="H13" i="159" s="1"/>
  <c r="I15" i="157"/>
  <c r="B16"/>
  <c r="C16"/>
  <c r="C13" i="160" s="1"/>
  <c r="C44" s="1"/>
  <c r="D16" i="157"/>
  <c r="D13" i="160" s="1"/>
  <c r="F16" i="157"/>
  <c r="G16"/>
  <c r="G13" i="160" s="1"/>
  <c r="G44" s="1"/>
  <c r="H16" i="157"/>
  <c r="H13" i="160" s="1"/>
  <c r="J15" s="1"/>
  <c r="I16" i="157"/>
  <c r="B17"/>
  <c r="C17"/>
  <c r="C13" i="161" s="1"/>
  <c r="C44" s="1"/>
  <c r="D17" i="157"/>
  <c r="G17"/>
  <c r="G13" i="161" s="1"/>
  <c r="G44" s="1"/>
  <c r="H17" i="157"/>
  <c r="H13" i="161" s="1"/>
  <c r="J17" i="157"/>
  <c r="B18"/>
  <c r="C18"/>
  <c r="C13" i="162" s="1"/>
  <c r="C44" s="1"/>
  <c r="D18" i="157"/>
  <c r="D13" i="162" s="1"/>
  <c r="G18" i="157"/>
  <c r="G13" i="162" s="1"/>
  <c r="G44" s="1"/>
  <c r="H18" i="157"/>
  <c r="H13" i="162" s="1"/>
  <c r="B19" i="157"/>
  <c r="C19"/>
  <c r="D19"/>
  <c r="E19" s="1"/>
  <c r="G19"/>
  <c r="H19"/>
  <c r="J19" s="1"/>
  <c r="B20"/>
  <c r="C20"/>
  <c r="D20"/>
  <c r="F20" s="1"/>
  <c r="E20"/>
  <c r="G20"/>
  <c r="I20" s="1"/>
  <c r="H20"/>
  <c r="B21"/>
  <c r="C21"/>
  <c r="D21"/>
  <c r="E21" s="1"/>
  <c r="F21"/>
  <c r="G21"/>
  <c r="H21"/>
  <c r="J21" s="1"/>
  <c r="I21"/>
  <c r="B22"/>
  <c r="C22"/>
  <c r="E22" s="1"/>
  <c r="D22"/>
  <c r="F22"/>
  <c r="G22"/>
  <c r="H22"/>
  <c r="I22"/>
  <c r="B23"/>
  <c r="C23"/>
  <c r="D23"/>
  <c r="F23"/>
  <c r="G23"/>
  <c r="I23" s="1"/>
  <c r="H23"/>
  <c r="B24"/>
  <c r="C24"/>
  <c r="D24"/>
  <c r="F24" s="1"/>
  <c r="G24"/>
  <c r="I24" s="1"/>
  <c r="H24"/>
  <c r="J24"/>
  <c r="B25"/>
  <c r="C25"/>
  <c r="D25"/>
  <c r="F25" s="1"/>
  <c r="G25"/>
  <c r="I25" s="1"/>
  <c r="H25"/>
  <c r="B26"/>
  <c r="C26"/>
  <c r="D26"/>
  <c r="F26" s="1"/>
  <c r="G26"/>
  <c r="I26" s="1"/>
  <c r="H26"/>
  <c r="J26"/>
  <c r="B27"/>
  <c r="C27"/>
  <c r="D27"/>
  <c r="F27" s="1"/>
  <c r="G27"/>
  <c r="I27" s="1"/>
  <c r="H27"/>
  <c r="B28"/>
  <c r="C28"/>
  <c r="D28"/>
  <c r="F28" s="1"/>
  <c r="G28"/>
  <c r="I28" s="1"/>
  <c r="H28"/>
  <c r="J28"/>
  <c r="B29"/>
  <c r="C29"/>
  <c r="D29"/>
  <c r="F29" s="1"/>
  <c r="G29"/>
  <c r="I29" s="1"/>
  <c r="H29"/>
  <c r="B30"/>
  <c r="C30"/>
  <c r="D30"/>
  <c r="F30" s="1"/>
  <c r="G30"/>
  <c r="I30" s="1"/>
  <c r="H30"/>
  <c r="J30"/>
  <c r="B31"/>
  <c r="C31"/>
  <c r="D31"/>
  <c r="F31" s="1"/>
  <c r="G31"/>
  <c r="I31" s="1"/>
  <c r="H31"/>
  <c r="B32"/>
  <c r="C32"/>
  <c r="D32"/>
  <c r="F32" s="1"/>
  <c r="G32"/>
  <c r="I32" s="1"/>
  <c r="H32"/>
  <c r="J32"/>
  <c r="B33"/>
  <c r="C33"/>
  <c r="D33"/>
  <c r="F33" s="1"/>
  <c r="G33"/>
  <c r="H33"/>
  <c r="I33" s="1"/>
  <c r="B34"/>
  <c r="C34"/>
  <c r="D34"/>
  <c r="F34" s="1"/>
  <c r="G34"/>
  <c r="I34" s="1"/>
  <c r="H34"/>
  <c r="J34"/>
  <c r="B35"/>
  <c r="C35"/>
  <c r="D35"/>
  <c r="F35" s="1"/>
  <c r="G35"/>
  <c r="H35"/>
  <c r="I35" s="1"/>
  <c r="B36"/>
  <c r="C36"/>
  <c r="D36"/>
  <c r="F36" s="1"/>
  <c r="G36"/>
  <c r="I36" s="1"/>
  <c r="H36"/>
  <c r="J36"/>
  <c r="B37"/>
  <c r="C37"/>
  <c r="D37"/>
  <c r="F37" s="1"/>
  <c r="G37"/>
  <c r="H37"/>
  <c r="I37" s="1"/>
  <c r="B38"/>
  <c r="C38"/>
  <c r="D38"/>
  <c r="F38" s="1"/>
  <c r="G38"/>
  <c r="I38" s="1"/>
  <c r="H38"/>
  <c r="J38"/>
  <c r="B39"/>
  <c r="C39"/>
  <c r="D39"/>
  <c r="F39" s="1"/>
  <c r="G39"/>
  <c r="H39"/>
  <c r="J39" s="1"/>
  <c r="B40"/>
  <c r="C40"/>
  <c r="D40"/>
  <c r="F40" s="1"/>
  <c r="G40"/>
  <c r="I40" s="1"/>
  <c r="H40"/>
  <c r="J40"/>
  <c r="B41"/>
  <c r="C41"/>
  <c r="D41"/>
  <c r="F41" s="1"/>
  <c r="G41"/>
  <c r="H41"/>
  <c r="I41" s="1"/>
  <c r="B42"/>
  <c r="C42"/>
  <c r="D42"/>
  <c r="F42" s="1"/>
  <c r="G42"/>
  <c r="I42" s="1"/>
  <c r="H42"/>
  <c r="J42"/>
  <c r="B43"/>
  <c r="C43"/>
  <c r="D43"/>
  <c r="F43" s="1"/>
  <c r="G43"/>
  <c r="H43"/>
  <c r="J43" s="1"/>
  <c r="J19" i="120" l="1"/>
  <c r="I19"/>
  <c r="C45"/>
  <c r="F30"/>
  <c r="E30"/>
  <c r="C14"/>
  <c r="F38" i="119"/>
  <c r="E38"/>
  <c r="G45" i="120"/>
  <c r="I15"/>
  <c r="H14"/>
  <c r="J15"/>
  <c r="I13" i="158"/>
  <c r="J17"/>
  <c r="J29"/>
  <c r="J41"/>
  <c r="H44"/>
  <c r="J23"/>
  <c r="J35"/>
  <c r="J13"/>
  <c r="J13" i="161"/>
  <c r="J19"/>
  <c r="J25"/>
  <c r="J31"/>
  <c r="J37"/>
  <c r="J43"/>
  <c r="I13"/>
  <c r="J15"/>
  <c r="J21"/>
  <c r="J27"/>
  <c r="J33"/>
  <c r="J39"/>
  <c r="H44"/>
  <c r="J17"/>
  <c r="J23"/>
  <c r="J29"/>
  <c r="J35"/>
  <c r="J41"/>
  <c r="F13" i="160"/>
  <c r="F14"/>
  <c r="F22"/>
  <c r="F34"/>
  <c r="E13"/>
  <c r="F24"/>
  <c r="F29"/>
  <c r="F36"/>
  <c r="F41"/>
  <c r="F16"/>
  <c r="F19"/>
  <c r="F26"/>
  <c r="F31"/>
  <c r="F38"/>
  <c r="F43"/>
  <c r="D44"/>
  <c r="F21"/>
  <c r="F28"/>
  <c r="F33"/>
  <c r="F40"/>
  <c r="F15"/>
  <c r="F18"/>
  <c r="F23"/>
  <c r="F30"/>
  <c r="F35"/>
  <c r="F42"/>
  <c r="F20"/>
  <c r="F32"/>
  <c r="E16" i="67"/>
  <c r="D37"/>
  <c r="J42" i="124"/>
  <c r="I42"/>
  <c r="J36"/>
  <c r="I36"/>
  <c r="F29"/>
  <c r="E29"/>
  <c r="F15" i="126"/>
  <c r="E15"/>
  <c r="J30" i="125"/>
  <c r="I30"/>
  <c r="H44" i="157"/>
  <c r="J41"/>
  <c r="J37"/>
  <c r="J35"/>
  <c r="J31"/>
  <c r="J27"/>
  <c r="J23"/>
  <c r="H37" i="67"/>
  <c r="E43" i="157"/>
  <c r="E41"/>
  <c r="E39"/>
  <c r="E37"/>
  <c r="E35"/>
  <c r="E33"/>
  <c r="E31"/>
  <c r="E29"/>
  <c r="E27"/>
  <c r="E25"/>
  <c r="E23"/>
  <c r="I19"/>
  <c r="E18"/>
  <c r="J16"/>
  <c r="I14"/>
  <c r="F13"/>
  <c r="E35" i="67"/>
  <c r="F30"/>
  <c r="E28"/>
  <c r="I24"/>
  <c r="E23"/>
  <c r="F18"/>
  <c r="F32" i="119"/>
  <c r="E30"/>
  <c r="I26"/>
  <c r="E25"/>
  <c r="F20"/>
  <c r="E18"/>
  <c r="E44" i="120"/>
  <c r="J42"/>
  <c r="F39"/>
  <c r="E37"/>
  <c r="I33"/>
  <c r="E32"/>
  <c r="H30"/>
  <c r="I27"/>
  <c r="J25"/>
  <c r="E24"/>
  <c r="I20"/>
  <c r="E18"/>
  <c r="I16"/>
  <c r="H30" i="124"/>
  <c r="E28"/>
  <c r="I25"/>
  <c r="I24"/>
  <c r="J23"/>
  <c r="C14" i="128"/>
  <c r="F43" i="158"/>
  <c r="J33"/>
  <c r="J19"/>
  <c r="J43" i="159"/>
  <c r="J13"/>
  <c r="I13"/>
  <c r="J15"/>
  <c r="J27"/>
  <c r="J39"/>
  <c r="J17"/>
  <c r="J29"/>
  <c r="J19"/>
  <c r="J21"/>
  <c r="J33"/>
  <c r="H44"/>
  <c r="F14" i="158"/>
  <c r="F26"/>
  <c r="F38"/>
  <c r="D44"/>
  <c r="F16"/>
  <c r="F21"/>
  <c r="F28"/>
  <c r="F33"/>
  <c r="F40"/>
  <c r="F13"/>
  <c r="F18"/>
  <c r="F30"/>
  <c r="F42"/>
  <c r="E13"/>
  <c r="F20"/>
  <c r="F32"/>
  <c r="F15"/>
  <c r="F22"/>
  <c r="F27"/>
  <c r="F34"/>
  <c r="F39"/>
  <c r="F24"/>
  <c r="F36"/>
  <c r="D44" i="157"/>
  <c r="F18"/>
  <c r="I17"/>
  <c r="E16"/>
  <c r="J14"/>
  <c r="F32" i="120"/>
  <c r="I31"/>
  <c r="I25"/>
  <c r="E22"/>
  <c r="J20"/>
  <c r="D19"/>
  <c r="J16"/>
  <c r="G15" i="124"/>
  <c r="G14" s="1"/>
  <c r="G44" s="1"/>
  <c r="J31" i="158"/>
  <c r="F25"/>
  <c r="J41" i="159"/>
  <c r="F27" i="162"/>
  <c r="J38" i="124"/>
  <c r="I38"/>
  <c r="J32"/>
  <c r="I32"/>
  <c r="D19"/>
  <c r="F20"/>
  <c r="F28" i="126"/>
  <c r="E28"/>
  <c r="F26"/>
  <c r="E26"/>
  <c r="F24"/>
  <c r="E24"/>
  <c r="F22"/>
  <c r="E22"/>
  <c r="D19"/>
  <c r="D14" s="1"/>
  <c r="F20"/>
  <c r="E20"/>
  <c r="J15"/>
  <c r="I15"/>
  <c r="F19" i="125"/>
  <c r="E19"/>
  <c r="I19" i="128"/>
  <c r="J19"/>
  <c r="E15" i="130"/>
  <c r="D14"/>
  <c r="F15"/>
  <c r="D15" i="120"/>
  <c r="C30" i="124"/>
  <c r="E30" s="1"/>
  <c r="I29"/>
  <c r="I28"/>
  <c r="J43" i="158"/>
  <c r="F37"/>
  <c r="F23"/>
  <c r="J15"/>
  <c r="F39" i="160"/>
  <c r="F37" i="162"/>
  <c r="F25"/>
  <c r="E17" i="157"/>
  <c r="D13" i="161"/>
  <c r="F21" s="1"/>
  <c r="H14" i="128"/>
  <c r="J15"/>
  <c r="I15"/>
  <c r="E42" i="157"/>
  <c r="E40"/>
  <c r="E38"/>
  <c r="E36"/>
  <c r="E34"/>
  <c r="E32"/>
  <c r="E30"/>
  <c r="E28"/>
  <c r="E26"/>
  <c r="E24"/>
  <c r="J22"/>
  <c r="F19"/>
  <c r="I13" i="162"/>
  <c r="J15" i="157"/>
  <c r="F14"/>
  <c r="I13"/>
  <c r="E34" i="67"/>
  <c r="I30"/>
  <c r="E29"/>
  <c r="F24"/>
  <c r="E22"/>
  <c r="I18"/>
  <c r="E17"/>
  <c r="J37" i="119"/>
  <c r="E36"/>
  <c r="I32"/>
  <c r="E31"/>
  <c r="F26"/>
  <c r="E24"/>
  <c r="I20"/>
  <c r="E19"/>
  <c r="G38"/>
  <c r="I38" s="1"/>
  <c r="E43" i="120"/>
  <c r="I39"/>
  <c r="E38"/>
  <c r="F33"/>
  <c r="E31"/>
  <c r="I26"/>
  <c r="I21"/>
  <c r="F20"/>
  <c r="I18"/>
  <c r="I13"/>
  <c r="I39" i="124"/>
  <c r="I33"/>
  <c r="J29"/>
  <c r="E22"/>
  <c r="E20"/>
  <c r="C15"/>
  <c r="C14" s="1"/>
  <c r="C44" s="1"/>
  <c r="F35" i="158"/>
  <c r="J27"/>
  <c r="J37" i="159"/>
  <c r="F27" i="160"/>
  <c r="F33" i="161"/>
  <c r="E15" i="157"/>
  <c r="D13" i="159"/>
  <c r="F35" s="1"/>
  <c r="J40" i="124"/>
  <c r="I40"/>
  <c r="J34"/>
  <c r="I34"/>
  <c r="F25"/>
  <c r="E25"/>
  <c r="D15"/>
  <c r="F16"/>
  <c r="E16"/>
  <c r="E29" i="130"/>
  <c r="F29"/>
  <c r="G44" i="157"/>
  <c r="I43"/>
  <c r="I39"/>
  <c r="J20"/>
  <c r="I18"/>
  <c r="F17"/>
  <c r="J13"/>
  <c r="G37" i="67"/>
  <c r="F31" i="119"/>
  <c r="F24"/>
  <c r="E22"/>
  <c r="F43" i="120"/>
  <c r="E41"/>
  <c r="F31"/>
  <c r="J18"/>
  <c r="E16"/>
  <c r="E31" i="124"/>
  <c r="E24"/>
  <c r="G45" i="125"/>
  <c r="J39" i="158"/>
  <c r="F19"/>
  <c r="J31" i="159"/>
  <c r="F17" i="160"/>
  <c r="F21" i="162"/>
  <c r="E13"/>
  <c r="F22"/>
  <c r="F28"/>
  <c r="F34"/>
  <c r="F40"/>
  <c r="D44"/>
  <c r="F13"/>
  <c r="F14"/>
  <c r="F18"/>
  <c r="F24"/>
  <c r="F30"/>
  <c r="F33"/>
  <c r="F36"/>
  <c r="F39"/>
  <c r="F42"/>
  <c r="F16"/>
  <c r="F20"/>
  <c r="F23"/>
  <c r="F26"/>
  <c r="F29"/>
  <c r="F32"/>
  <c r="F35"/>
  <c r="F38"/>
  <c r="F41"/>
  <c r="F27" i="124"/>
  <c r="E27"/>
  <c r="J21"/>
  <c r="I21"/>
  <c r="F18"/>
  <c r="E18"/>
  <c r="J43" i="126"/>
  <c r="I43"/>
  <c r="J41"/>
  <c r="I41"/>
  <c r="J39"/>
  <c r="I39"/>
  <c r="J37"/>
  <c r="I37"/>
  <c r="J35"/>
  <c r="I35"/>
  <c r="J33"/>
  <c r="I33"/>
  <c r="H30"/>
  <c r="J31"/>
  <c r="I31"/>
  <c r="I15" i="125"/>
  <c r="J15"/>
  <c r="J19" i="129"/>
  <c r="I19"/>
  <c r="F18" i="130"/>
  <c r="E18"/>
  <c r="J33" i="157"/>
  <c r="J29"/>
  <c r="J25"/>
  <c r="H19" i="124"/>
  <c r="G19" i="126"/>
  <c r="G14" s="1"/>
  <c r="G45" s="1"/>
  <c r="C44" i="130"/>
  <c r="F31" i="158"/>
  <c r="J21"/>
  <c r="F41" i="159"/>
  <c r="J25"/>
  <c r="F43" i="162"/>
  <c r="F31"/>
  <c r="E44" i="107"/>
  <c r="F44"/>
  <c r="E32"/>
  <c r="F32"/>
  <c r="E20"/>
  <c r="F20"/>
  <c r="D30" i="126"/>
  <c r="F29"/>
  <c r="F27"/>
  <c r="F25"/>
  <c r="F23"/>
  <c r="F21"/>
  <c r="D15" i="125"/>
  <c r="H30" i="128"/>
  <c r="J29"/>
  <c r="J27"/>
  <c r="J25"/>
  <c r="J23"/>
  <c r="J21"/>
  <c r="D19"/>
  <c r="F18"/>
  <c r="F16"/>
  <c r="H15" i="129"/>
  <c r="H18" i="130"/>
  <c r="F41" i="158"/>
  <c r="J40"/>
  <c r="J37"/>
  <c r="F29"/>
  <c r="J28"/>
  <c r="J25"/>
  <c r="F17"/>
  <c r="J16"/>
  <c r="F39" i="159"/>
  <c r="J38"/>
  <c r="J35"/>
  <c r="F27"/>
  <c r="J26"/>
  <c r="J23"/>
  <c r="F15"/>
  <c r="J14"/>
  <c r="H44" i="160"/>
  <c r="F37"/>
  <c r="J36"/>
  <c r="J33"/>
  <c r="F25"/>
  <c r="J24"/>
  <c r="J21"/>
  <c r="I13"/>
  <c r="J18" i="162"/>
  <c r="J17"/>
  <c r="J14"/>
  <c r="J13"/>
  <c r="F28" i="145"/>
  <c r="E46" i="107"/>
  <c r="F46"/>
  <c r="E34"/>
  <c r="F34"/>
  <c r="E22"/>
  <c r="F22"/>
  <c r="I43" i="138"/>
  <c r="J43"/>
  <c r="I37"/>
  <c r="J37"/>
  <c r="I31"/>
  <c r="J31"/>
  <c r="I25"/>
  <c r="J25"/>
  <c r="I19"/>
  <c r="J19"/>
  <c r="I13"/>
  <c r="J13"/>
  <c r="I31" i="132"/>
  <c r="J31"/>
  <c r="D30" i="125"/>
  <c r="C30" i="128"/>
  <c r="D15"/>
  <c r="H30" i="129"/>
  <c r="D19"/>
  <c r="C15"/>
  <c r="C14" s="1"/>
  <c r="C45" s="1"/>
  <c r="G29" i="130"/>
  <c r="J38" i="158"/>
  <c r="J26"/>
  <c r="J14"/>
  <c r="J36" i="159"/>
  <c r="J24"/>
  <c r="J43" i="160"/>
  <c r="J34"/>
  <c r="J31"/>
  <c r="J22"/>
  <c r="J19"/>
  <c r="J14"/>
  <c r="J13"/>
  <c r="J42" i="161"/>
  <c r="J36"/>
  <c r="J30"/>
  <c r="J24"/>
  <c r="J18"/>
  <c r="H44" i="162"/>
  <c r="J40"/>
  <c r="J39"/>
  <c r="J34"/>
  <c r="J33"/>
  <c r="J28"/>
  <c r="J27"/>
  <c r="J22"/>
  <c r="J21"/>
  <c r="E26" i="144"/>
  <c r="E48" i="107"/>
  <c r="F48"/>
  <c r="E36"/>
  <c r="F36"/>
  <c r="E24"/>
  <c r="F24"/>
  <c r="H15" i="124"/>
  <c r="F13"/>
  <c r="H19" i="126"/>
  <c r="J16"/>
  <c r="E13"/>
  <c r="C45" i="125"/>
  <c r="E44"/>
  <c r="E42"/>
  <c r="E40"/>
  <c r="E38"/>
  <c r="E36"/>
  <c r="E34"/>
  <c r="E32"/>
  <c r="I18"/>
  <c r="I16"/>
  <c r="H45" i="128"/>
  <c r="D30"/>
  <c r="I28"/>
  <c r="I26"/>
  <c r="I24"/>
  <c r="I22"/>
  <c r="I20"/>
  <c r="E17"/>
  <c r="I13"/>
  <c r="G45" i="129"/>
  <c r="I44"/>
  <c r="I42"/>
  <c r="I40"/>
  <c r="I38"/>
  <c r="I36"/>
  <c r="I34"/>
  <c r="I32"/>
  <c r="E29"/>
  <c r="E27"/>
  <c r="E25"/>
  <c r="E23"/>
  <c r="E21"/>
  <c r="D15"/>
  <c r="E42" i="130"/>
  <c r="E40"/>
  <c r="E38"/>
  <c r="E36"/>
  <c r="E34"/>
  <c r="E32"/>
  <c r="E30"/>
  <c r="H29"/>
  <c r="I28"/>
  <c r="I23"/>
  <c r="E20"/>
  <c r="G18"/>
  <c r="G14" s="1"/>
  <c r="G44" s="1"/>
  <c r="H15"/>
  <c r="I43" i="158"/>
  <c r="I38"/>
  <c r="J36"/>
  <c r="E35"/>
  <c r="I31"/>
  <c r="I26"/>
  <c r="J24"/>
  <c r="E23"/>
  <c r="I19"/>
  <c r="I14"/>
  <c r="I41" i="159"/>
  <c r="I36"/>
  <c r="J34"/>
  <c r="I24"/>
  <c r="J22"/>
  <c r="J41" i="160"/>
  <c r="I34"/>
  <c r="J32"/>
  <c r="J29"/>
  <c r="I22"/>
  <c r="J20"/>
  <c r="I14"/>
  <c r="I42" i="161"/>
  <c r="I36"/>
  <c r="I30"/>
  <c r="I24"/>
  <c r="I18"/>
  <c r="I40" i="162"/>
  <c r="I34"/>
  <c r="I28"/>
  <c r="E27"/>
  <c r="I22"/>
  <c r="E21"/>
  <c r="F17"/>
  <c r="E47" i="107"/>
  <c r="I44"/>
  <c r="J42"/>
  <c r="E35"/>
  <c r="I32"/>
  <c r="J30"/>
  <c r="E23"/>
  <c r="I20"/>
  <c r="J18"/>
  <c r="I44" i="138"/>
  <c r="G28" i="145"/>
  <c r="E38" i="107"/>
  <c r="F38"/>
  <c r="E26"/>
  <c r="F26"/>
  <c r="E14"/>
  <c r="F14"/>
  <c r="I45" i="138"/>
  <c r="J45"/>
  <c r="I39"/>
  <c r="J39"/>
  <c r="I33"/>
  <c r="J33"/>
  <c r="I27"/>
  <c r="J27"/>
  <c r="I21"/>
  <c r="J21"/>
  <c r="I15"/>
  <c r="J15"/>
  <c r="I33" i="132"/>
  <c r="J33"/>
  <c r="E16" i="126"/>
  <c r="I31" i="125"/>
  <c r="E20"/>
  <c r="H19"/>
  <c r="H14" s="1"/>
  <c r="J16"/>
  <c r="J20" i="128"/>
  <c r="I16"/>
  <c r="D30" i="129"/>
  <c r="I20"/>
  <c r="F30" i="130"/>
  <c r="F20"/>
  <c r="E13"/>
  <c r="J34" i="158"/>
  <c r="J22"/>
  <c r="J32" i="159"/>
  <c r="J20"/>
  <c r="J42" i="160"/>
  <c r="J39"/>
  <c r="J30"/>
  <c r="J27"/>
  <c r="J18"/>
  <c r="J17"/>
  <c r="J40" i="161"/>
  <c r="J34"/>
  <c r="J28"/>
  <c r="J22"/>
  <c r="J16"/>
  <c r="J43" i="162"/>
  <c r="J38"/>
  <c r="J37"/>
  <c r="J32"/>
  <c r="J31"/>
  <c r="J26"/>
  <c r="J25"/>
  <c r="J20"/>
  <c r="J19"/>
  <c r="J16"/>
  <c r="J15"/>
  <c r="C28" i="145"/>
  <c r="E40" i="107"/>
  <c r="F40"/>
  <c r="E28"/>
  <c r="F28"/>
  <c r="E16"/>
  <c r="F16"/>
  <c r="F41" i="124"/>
  <c r="F39"/>
  <c r="F37"/>
  <c r="F35"/>
  <c r="F33"/>
  <c r="E23"/>
  <c r="E21"/>
  <c r="E43" i="126"/>
  <c r="E41"/>
  <c r="E39"/>
  <c r="E37"/>
  <c r="E35"/>
  <c r="E33"/>
  <c r="E31"/>
  <c r="I17"/>
  <c r="F16"/>
  <c r="J31" i="125"/>
  <c r="I29"/>
  <c r="I27"/>
  <c r="I25"/>
  <c r="I23"/>
  <c r="I21"/>
  <c r="E18"/>
  <c r="E16"/>
  <c r="I43" i="128"/>
  <c r="I41"/>
  <c r="I39"/>
  <c r="I37"/>
  <c r="I35"/>
  <c r="I33"/>
  <c r="I31"/>
  <c r="E28"/>
  <c r="E26"/>
  <c r="E24"/>
  <c r="E22"/>
  <c r="E20"/>
  <c r="J16"/>
  <c r="E13"/>
  <c r="E44" i="129"/>
  <c r="E42"/>
  <c r="E40"/>
  <c r="E38"/>
  <c r="E36"/>
  <c r="E34"/>
  <c r="E32"/>
  <c r="J20"/>
  <c r="I18"/>
  <c r="I16"/>
  <c r="E28" i="130"/>
  <c r="I24"/>
  <c r="I19"/>
  <c r="I16"/>
  <c r="E43" i="158"/>
  <c r="I39"/>
  <c r="I34"/>
  <c r="J32"/>
  <c r="E31"/>
  <c r="I27"/>
  <c r="I22"/>
  <c r="J20"/>
  <c r="E19"/>
  <c r="I15"/>
  <c r="J42" i="159"/>
  <c r="E41"/>
  <c r="I37"/>
  <c r="I32"/>
  <c r="J30"/>
  <c r="E29"/>
  <c r="I25"/>
  <c r="I20"/>
  <c r="J18"/>
  <c r="E17"/>
  <c r="I42" i="160"/>
  <c r="J40"/>
  <c r="E39"/>
  <c r="J37"/>
  <c r="I35"/>
  <c r="I30"/>
  <c r="J28"/>
  <c r="E27"/>
  <c r="J25"/>
  <c r="I23"/>
  <c r="I18"/>
  <c r="E17"/>
  <c r="I40" i="161"/>
  <c r="E39"/>
  <c r="I34"/>
  <c r="E33"/>
  <c r="I28"/>
  <c r="E27"/>
  <c r="I22"/>
  <c r="E21"/>
  <c r="I16"/>
  <c r="E15"/>
  <c r="E43" i="162"/>
  <c r="I38"/>
  <c r="E37"/>
  <c r="I32"/>
  <c r="E31"/>
  <c r="I26"/>
  <c r="E25"/>
  <c r="I20"/>
  <c r="E19"/>
  <c r="E15"/>
  <c r="I48" i="107"/>
  <c r="J46"/>
  <c r="E39"/>
  <c r="I36"/>
  <c r="J34"/>
  <c r="E27"/>
  <c r="I24"/>
  <c r="J22"/>
  <c r="E15"/>
  <c r="I46" i="138"/>
  <c r="E42" i="107"/>
  <c r="F42"/>
  <c r="E30"/>
  <c r="F30"/>
  <c r="E18"/>
  <c r="F18"/>
  <c r="I41" i="138"/>
  <c r="J41"/>
  <c r="I35"/>
  <c r="J35"/>
  <c r="I29"/>
  <c r="J29"/>
  <c r="I23"/>
  <c r="J23"/>
  <c r="I17"/>
  <c r="J17"/>
  <c r="I29" i="132"/>
  <c r="J29"/>
  <c r="J27" i="130"/>
  <c r="J42" i="158"/>
  <c r="I32"/>
  <c r="J30"/>
  <c r="I20"/>
  <c r="J18"/>
  <c r="I42" i="159"/>
  <c r="J40"/>
  <c r="I30"/>
  <c r="J28"/>
  <c r="I18"/>
  <c r="J16"/>
  <c r="I40" i="160"/>
  <c r="J38"/>
  <c r="I28"/>
  <c r="J26"/>
  <c r="J16"/>
  <c r="J38" i="161"/>
  <c r="J32"/>
  <c r="J26"/>
  <c r="J20"/>
  <c r="J14"/>
  <c r="J42" i="162"/>
  <c r="J41"/>
  <c r="J36"/>
  <c r="J35"/>
  <c r="J30"/>
  <c r="J29"/>
  <c r="J24"/>
  <c r="J23"/>
  <c r="F19"/>
  <c r="F15"/>
  <c r="J48" i="107"/>
  <c r="F43"/>
  <c r="E41"/>
  <c r="I38"/>
  <c r="J36"/>
  <c r="F31"/>
  <c r="E29"/>
  <c r="I26"/>
  <c r="J24"/>
  <c r="F19"/>
  <c r="E17"/>
  <c r="I14"/>
  <c r="J42" i="138"/>
  <c r="J36"/>
  <c r="J30"/>
  <c r="J24"/>
  <c r="J18"/>
  <c r="H22" i="148"/>
  <c r="M22"/>
  <c r="H16"/>
  <c r="M16"/>
  <c r="E13" i="153"/>
  <c r="F13"/>
  <c r="H34" i="132"/>
  <c r="J27"/>
  <c r="J25"/>
  <c r="J23"/>
  <c r="J21"/>
  <c r="J19"/>
  <c r="J17"/>
  <c r="J15"/>
  <c r="J13"/>
  <c r="J48" i="156"/>
  <c r="F47"/>
  <c r="J45"/>
  <c r="F44"/>
  <c r="J42"/>
  <c r="F41"/>
  <c r="J39"/>
  <c r="F38"/>
  <c r="D36"/>
  <c r="F35"/>
  <c r="J33"/>
  <c r="F32"/>
  <c r="J30"/>
  <c r="F29"/>
  <c r="D27"/>
  <c r="F26"/>
  <c r="J24"/>
  <c r="F23"/>
  <c r="J21"/>
  <c r="F20"/>
  <c r="J18"/>
  <c r="F17"/>
  <c r="J15"/>
  <c r="H23" i="64"/>
  <c r="M22"/>
  <c r="H21"/>
  <c r="M20"/>
  <c r="H19"/>
  <c r="M18"/>
  <c r="G28" s="1"/>
  <c r="H17"/>
  <c r="M16"/>
  <c r="H15"/>
  <c r="M14"/>
  <c r="H13"/>
  <c r="G25" i="139"/>
  <c r="J24"/>
  <c r="I22"/>
  <c r="I20"/>
  <c r="I18"/>
  <c r="I16"/>
  <c r="I14"/>
  <c r="J23" i="140"/>
  <c r="J21"/>
  <c r="J19"/>
  <c r="J17"/>
  <c r="J15"/>
  <c r="J13"/>
  <c r="H23" i="141"/>
  <c r="M22"/>
  <c r="H21"/>
  <c r="M20"/>
  <c r="H19"/>
  <c r="M18"/>
  <c r="H17"/>
  <c r="I14"/>
  <c r="I21" i="142"/>
  <c r="J18"/>
  <c r="I15"/>
  <c r="I22" i="143"/>
  <c r="J17"/>
  <c r="H15"/>
  <c r="M14"/>
  <c r="H23" i="144"/>
  <c r="I20"/>
  <c r="H18"/>
  <c r="J16"/>
  <c r="J15"/>
  <c r="E28" i="145"/>
  <c r="H23"/>
  <c r="I20"/>
  <c r="J19"/>
  <c r="H17"/>
  <c r="I14"/>
  <c r="J13"/>
  <c r="D28"/>
  <c r="D29" s="1"/>
  <c r="J23" i="147"/>
  <c r="H21"/>
  <c r="M20"/>
  <c r="J18"/>
  <c r="I16"/>
  <c r="D25"/>
  <c r="D26" s="1"/>
  <c r="I24" i="146"/>
  <c r="J22"/>
  <c r="J21"/>
  <c r="I19"/>
  <c r="H17"/>
  <c r="I14"/>
  <c r="I21" i="148"/>
  <c r="I15"/>
  <c r="F26" i="149"/>
  <c r="M23" i="148"/>
  <c r="H23"/>
  <c r="M17"/>
  <c r="H17"/>
  <c r="E28" i="149"/>
  <c r="E29" s="1"/>
  <c r="E25"/>
  <c r="E26" s="1"/>
  <c r="J13" i="153"/>
  <c r="J15"/>
  <c r="J17"/>
  <c r="J19"/>
  <c r="J21"/>
  <c r="J23"/>
  <c r="J25"/>
  <c r="J27"/>
  <c r="J29"/>
  <c r="J31"/>
  <c r="J33"/>
  <c r="J35"/>
  <c r="J37"/>
  <c r="J39"/>
  <c r="J41"/>
  <c r="J43"/>
  <c r="J14"/>
  <c r="J16"/>
  <c r="J18"/>
  <c r="J20"/>
  <c r="J22"/>
  <c r="J24"/>
  <c r="J26"/>
  <c r="J28"/>
  <c r="J30"/>
  <c r="J32"/>
  <c r="J34"/>
  <c r="J36"/>
  <c r="J38"/>
  <c r="J40"/>
  <c r="J42"/>
  <c r="J44"/>
  <c r="D25" i="64"/>
  <c r="D26" s="1"/>
  <c r="I23"/>
  <c r="I21"/>
  <c r="I19"/>
  <c r="I17"/>
  <c r="I15"/>
  <c r="I13"/>
  <c r="J22" i="139"/>
  <c r="J20"/>
  <c r="J18"/>
  <c r="J16"/>
  <c r="J14"/>
  <c r="F25" i="140"/>
  <c r="F26" s="1"/>
  <c r="M23"/>
  <c r="M21"/>
  <c r="M19"/>
  <c r="M17"/>
  <c r="M15"/>
  <c r="M13"/>
  <c r="E28" s="1"/>
  <c r="D25" i="141"/>
  <c r="D26" s="1"/>
  <c r="I23"/>
  <c r="I21"/>
  <c r="I19"/>
  <c r="I17"/>
  <c r="M14"/>
  <c r="E28" s="1"/>
  <c r="J21" i="142"/>
  <c r="M18"/>
  <c r="J15"/>
  <c r="C28" i="143"/>
  <c r="J22"/>
  <c r="M17"/>
  <c r="J15"/>
  <c r="I23" i="144"/>
  <c r="M20"/>
  <c r="J13"/>
  <c r="I23" i="145"/>
  <c r="I17"/>
  <c r="G25" i="147"/>
  <c r="M23"/>
  <c r="M18"/>
  <c r="J16"/>
  <c r="G25" i="146"/>
  <c r="J24"/>
  <c r="J19"/>
  <c r="I17"/>
  <c r="M14"/>
  <c r="F28" s="1"/>
  <c r="H18" i="148"/>
  <c r="M18"/>
  <c r="H14" i="156"/>
  <c r="J13" i="64"/>
  <c r="M22" i="139"/>
  <c r="M20"/>
  <c r="M18"/>
  <c r="M16"/>
  <c r="M14"/>
  <c r="E28" s="1"/>
  <c r="J16" i="142"/>
  <c r="M22" i="143"/>
  <c r="J13"/>
  <c r="F25" i="145"/>
  <c r="F26" s="1"/>
  <c r="M16" i="147"/>
  <c r="F25" i="148"/>
  <c r="F26" s="1"/>
  <c r="M19"/>
  <c r="H19"/>
  <c r="M13"/>
  <c r="H13"/>
  <c r="I45" i="70"/>
  <c r="I44"/>
  <c r="I43"/>
  <c r="I42"/>
  <c r="I41"/>
  <c r="I40"/>
  <c r="I39"/>
  <c r="I38"/>
  <c r="I37"/>
  <c r="I36"/>
  <c r="I35"/>
  <c r="I34"/>
  <c r="I33"/>
  <c r="I32"/>
  <c r="I31"/>
  <c r="I30"/>
  <c r="I29"/>
  <c r="I27"/>
  <c r="I25"/>
  <c r="I23"/>
  <c r="F13" i="154"/>
  <c r="F15"/>
  <c r="F17"/>
  <c r="F19"/>
  <c r="F21"/>
  <c r="F23"/>
  <c r="F25"/>
  <c r="F27"/>
  <c r="F29"/>
  <c r="F31"/>
  <c r="F33"/>
  <c r="F35"/>
  <c r="F37"/>
  <c r="F39"/>
  <c r="F41"/>
  <c r="F43"/>
  <c r="F14"/>
  <c r="F16"/>
  <c r="F18"/>
  <c r="F20"/>
  <c r="F22"/>
  <c r="F24"/>
  <c r="F26"/>
  <c r="F28"/>
  <c r="F30"/>
  <c r="F32"/>
  <c r="F34"/>
  <c r="F36"/>
  <c r="F38"/>
  <c r="F40"/>
  <c r="F42"/>
  <c r="F44"/>
  <c r="J18" i="132"/>
  <c r="J16"/>
  <c r="J14"/>
  <c r="F25" i="64"/>
  <c r="F26" s="1"/>
  <c r="H22"/>
  <c r="H20"/>
  <c r="H18"/>
  <c r="H16"/>
  <c r="H14"/>
  <c r="D25" i="139"/>
  <c r="D26" s="1"/>
  <c r="H22" i="141"/>
  <c r="H20"/>
  <c r="H18"/>
  <c r="J16"/>
  <c r="H23" i="142"/>
  <c r="I20"/>
  <c r="H17"/>
  <c r="I14"/>
  <c r="J23" i="143"/>
  <c r="H21"/>
  <c r="I19"/>
  <c r="I16"/>
  <c r="H14"/>
  <c r="D25"/>
  <c r="D26" s="1"/>
  <c r="F25" i="144"/>
  <c r="F26" s="1"/>
  <c r="J22"/>
  <c r="H17"/>
  <c r="I14"/>
  <c r="F28"/>
  <c r="H22" i="145"/>
  <c r="I21"/>
  <c r="J18"/>
  <c r="H16"/>
  <c r="I15"/>
  <c r="H20" i="147"/>
  <c r="H15"/>
  <c r="I13"/>
  <c r="H18" i="146"/>
  <c r="J16"/>
  <c r="I18" i="148"/>
  <c r="F37" i="150"/>
  <c r="F31"/>
  <c r="F25"/>
  <c r="F19"/>
  <c r="H20" i="148"/>
  <c r="M20"/>
  <c r="H14"/>
  <c r="M14"/>
  <c r="J14" i="150"/>
  <c r="J16"/>
  <c r="J18"/>
  <c r="J20"/>
  <c r="J22"/>
  <c r="J24"/>
  <c r="J26"/>
  <c r="J28"/>
  <c r="J30"/>
  <c r="J32"/>
  <c r="J34"/>
  <c r="J36"/>
  <c r="J38"/>
  <c r="J40"/>
  <c r="J42"/>
  <c r="J13"/>
  <c r="J15"/>
  <c r="J17"/>
  <c r="J19"/>
  <c r="J21"/>
  <c r="J23"/>
  <c r="J25"/>
  <c r="J27"/>
  <c r="J29"/>
  <c r="J31"/>
  <c r="J33"/>
  <c r="J35"/>
  <c r="J37"/>
  <c r="J39"/>
  <c r="J41"/>
  <c r="I13"/>
  <c r="F13" i="155"/>
  <c r="E13"/>
  <c r="F40"/>
  <c r="F42"/>
  <c r="H36" i="156"/>
  <c r="H27"/>
  <c r="D14"/>
  <c r="H15" i="144"/>
  <c r="D26" i="146"/>
  <c r="J18" i="148"/>
  <c r="I13"/>
  <c r="F22" i="153"/>
  <c r="F16"/>
  <c r="M21" i="148"/>
  <c r="H21"/>
  <c r="M15"/>
  <c r="H15"/>
  <c r="F28" i="149"/>
  <c r="F29" s="1"/>
  <c r="C28"/>
  <c r="D29" s="1"/>
  <c r="F13" i="151"/>
  <c r="F15"/>
  <c r="F17"/>
  <c r="F19"/>
  <c r="F21"/>
  <c r="F23"/>
  <c r="F25"/>
  <c r="F27"/>
  <c r="F29"/>
  <c r="F31"/>
  <c r="F33"/>
  <c r="F35"/>
  <c r="F37"/>
  <c r="F39"/>
  <c r="F41"/>
  <c r="F43"/>
  <c r="F45"/>
  <c r="F14"/>
  <c r="F16"/>
  <c r="F18"/>
  <c r="F20"/>
  <c r="F22"/>
  <c r="F24"/>
  <c r="F26"/>
  <c r="F28"/>
  <c r="F30"/>
  <c r="F32"/>
  <c r="F34"/>
  <c r="F36"/>
  <c r="F38"/>
  <c r="F40"/>
  <c r="F42"/>
  <c r="F44"/>
  <c r="I13" i="152"/>
  <c r="J13"/>
  <c r="I16" i="141"/>
  <c r="H14"/>
  <c r="J24" i="142"/>
  <c r="J23"/>
  <c r="H21"/>
  <c r="M20"/>
  <c r="I18"/>
  <c r="J17"/>
  <c r="H15"/>
  <c r="M14"/>
  <c r="G28" s="1"/>
  <c r="F25"/>
  <c r="F26" s="1"/>
  <c r="M21" i="143"/>
  <c r="J19"/>
  <c r="H17"/>
  <c r="I15"/>
  <c r="I22" i="144"/>
  <c r="H20"/>
  <c r="J18"/>
  <c r="H13"/>
  <c r="D25" i="145"/>
  <c r="D26" s="1"/>
  <c r="J22"/>
  <c r="H20"/>
  <c r="I19"/>
  <c r="J16"/>
  <c r="H14"/>
  <c r="I13"/>
  <c r="H23" i="147"/>
  <c r="I21"/>
  <c r="M15"/>
  <c r="E28" s="1"/>
  <c r="J13"/>
  <c r="M18" i="146"/>
  <c r="I16"/>
  <c r="H14"/>
  <c r="D25" i="148"/>
  <c r="I20"/>
  <c r="J19"/>
  <c r="I14"/>
  <c r="J13"/>
  <c r="C25"/>
  <c r="F41" i="150"/>
  <c r="F35"/>
  <c r="F23"/>
  <c r="F17"/>
  <c r="J44" i="154"/>
  <c r="J43"/>
  <c r="J42"/>
  <c r="J40"/>
  <c r="J39"/>
  <c r="J38"/>
  <c r="J37"/>
  <c r="J36"/>
  <c r="J34"/>
  <c r="J33"/>
  <c r="J32"/>
  <c r="J31"/>
  <c r="J30"/>
  <c r="J28"/>
  <c r="J27"/>
  <c r="J26"/>
  <c r="J25"/>
  <c r="J24"/>
  <c r="J22"/>
  <c r="J21"/>
  <c r="J20"/>
  <c r="J19"/>
  <c r="J18"/>
  <c r="J16"/>
  <c r="J15"/>
  <c r="J14"/>
  <c r="J23" i="149"/>
  <c r="J21"/>
  <c r="J19"/>
  <c r="J17"/>
  <c r="J15"/>
  <c r="J13"/>
  <c r="J24" i="70"/>
  <c r="J22"/>
  <c r="J20"/>
  <c r="J18"/>
  <c r="F42" i="150"/>
  <c r="F40"/>
  <c r="F38"/>
  <c r="F36"/>
  <c r="F34"/>
  <c r="F30"/>
  <c r="F28"/>
  <c r="F26"/>
  <c r="F24"/>
  <c r="F22"/>
  <c r="F18"/>
  <c r="F16"/>
  <c r="F14"/>
  <c r="H13" i="151"/>
  <c r="J34" s="1"/>
  <c r="J43" i="152"/>
  <c r="J41"/>
  <c r="J39"/>
  <c r="J37"/>
  <c r="J35"/>
  <c r="J33"/>
  <c r="J31"/>
  <c r="J29"/>
  <c r="J27"/>
  <c r="J25"/>
  <c r="J23"/>
  <c r="J21"/>
  <c r="J19"/>
  <c r="J17"/>
  <c r="J15"/>
  <c r="D13"/>
  <c r="F44" s="1"/>
  <c r="F43" i="153"/>
  <c r="F41"/>
  <c r="F39"/>
  <c r="F37"/>
  <c r="F35"/>
  <c r="F33"/>
  <c r="F31"/>
  <c r="F29"/>
  <c r="F27"/>
  <c r="F25"/>
  <c r="F23"/>
  <c r="F21"/>
  <c r="F19"/>
  <c r="F17"/>
  <c r="F15"/>
  <c r="H13" i="154"/>
  <c r="J40" i="155"/>
  <c r="J38"/>
  <c r="J28"/>
  <c r="J26"/>
  <c r="H13" i="70"/>
  <c r="D13" i="150"/>
  <c r="C13" i="151"/>
  <c r="E13" s="1"/>
  <c r="G13" i="153"/>
  <c r="I13" s="1"/>
  <c r="C13" i="154"/>
  <c r="E13" s="1"/>
  <c r="H13" i="155"/>
  <c r="G25" i="149"/>
  <c r="I21" i="70"/>
  <c r="I19"/>
  <c r="I17"/>
  <c r="I15"/>
  <c r="E41" i="150"/>
  <c r="E39"/>
  <c r="E37"/>
  <c r="E35"/>
  <c r="E33"/>
  <c r="E31"/>
  <c r="E29"/>
  <c r="E27"/>
  <c r="E25"/>
  <c r="E23"/>
  <c r="E21"/>
  <c r="E19"/>
  <c r="E17"/>
  <c r="E15"/>
  <c r="I44" i="152"/>
  <c r="I42"/>
  <c r="I40"/>
  <c r="I38"/>
  <c r="I36"/>
  <c r="I34"/>
  <c r="I32"/>
  <c r="I30"/>
  <c r="I28"/>
  <c r="I26"/>
  <c r="I24"/>
  <c r="I22"/>
  <c r="I20"/>
  <c r="I18"/>
  <c r="I16"/>
  <c r="I14"/>
  <c r="E44" i="153"/>
  <c r="E42"/>
  <c r="E40"/>
  <c r="E38"/>
  <c r="E36"/>
  <c r="E34"/>
  <c r="E32"/>
  <c r="E30"/>
  <c r="E28"/>
  <c r="E26"/>
  <c r="E24"/>
  <c r="E22"/>
  <c r="E20"/>
  <c r="E18"/>
  <c r="E16"/>
  <c r="E14"/>
  <c r="I43" i="155"/>
  <c r="I41"/>
  <c r="I39"/>
  <c r="I37"/>
  <c r="I35"/>
  <c r="I33"/>
  <c r="I31"/>
  <c r="I29"/>
  <c r="I27"/>
  <c r="I25"/>
  <c r="I23"/>
  <c r="I21"/>
  <c r="I19"/>
  <c r="I17"/>
  <c r="I15"/>
  <c r="F14"/>
  <c r="D13" i="70"/>
  <c r="I14" i="150"/>
  <c r="J14" i="152"/>
  <c r="F14" i="153"/>
  <c r="E15" i="155"/>
  <c r="C28" i="19"/>
  <c r="C27"/>
  <c r="C26"/>
  <c r="C25"/>
  <c r="C24"/>
  <c r="C22"/>
  <c r="G18"/>
  <c r="G17"/>
  <c r="G16"/>
  <c r="D28"/>
  <c r="D27"/>
  <c r="D26"/>
  <c r="D25"/>
  <c r="D22"/>
  <c r="D18"/>
  <c r="D17"/>
  <c r="D16"/>
  <c r="D15"/>
  <c r="D14"/>
  <c r="D13"/>
  <c r="C18"/>
  <c r="C17"/>
  <c r="C16"/>
  <c r="C15"/>
  <c r="C14"/>
  <c r="B14"/>
  <c r="H18"/>
  <c r="J14" i="125" l="1"/>
  <c r="I14"/>
  <c r="H45"/>
  <c r="F14" i="126"/>
  <c r="E14"/>
  <c r="D45"/>
  <c r="J13" i="155"/>
  <c r="I13"/>
  <c r="J14"/>
  <c r="J16"/>
  <c r="J18"/>
  <c r="J20"/>
  <c r="J22"/>
  <c r="J13" i="70"/>
  <c r="I13"/>
  <c r="F13"/>
  <c r="E13"/>
  <c r="F14"/>
  <c r="F16"/>
  <c r="F18"/>
  <c r="F20"/>
  <c r="F22"/>
  <c r="F24"/>
  <c r="F26"/>
  <c r="F28"/>
  <c r="F30"/>
  <c r="F32"/>
  <c r="F34"/>
  <c r="F36"/>
  <c r="F38"/>
  <c r="F40"/>
  <c r="F42"/>
  <c r="F44"/>
  <c r="F13" i="150"/>
  <c r="E13"/>
  <c r="J13" i="154"/>
  <c r="I13"/>
  <c r="F28" i="143"/>
  <c r="D28"/>
  <c r="D29" s="1"/>
  <c r="J34" i="132"/>
  <c r="I34"/>
  <c r="D14" i="120"/>
  <c r="F15"/>
  <c r="E15"/>
  <c r="E44" i="160"/>
  <c r="F44"/>
  <c r="J32" i="155"/>
  <c r="F20" i="150"/>
  <c r="F32"/>
  <c r="J14" i="70"/>
  <c r="J26"/>
  <c r="J17" i="154"/>
  <c r="J23"/>
  <c r="J29"/>
  <c r="J35"/>
  <c r="J41"/>
  <c r="F29" i="150"/>
  <c r="J19" i="155"/>
  <c r="J31"/>
  <c r="J43"/>
  <c r="J17" i="70"/>
  <c r="E28" i="142"/>
  <c r="J32" i="70"/>
  <c r="J38"/>
  <c r="J44"/>
  <c r="F22" i="152"/>
  <c r="F34"/>
  <c r="J16" i="151"/>
  <c r="J28"/>
  <c r="J40"/>
  <c r="F33" i="150"/>
  <c r="F28" i="147"/>
  <c r="F29" s="1"/>
  <c r="F15" i="70"/>
  <c r="F27"/>
  <c r="F39"/>
  <c r="E29" i="145"/>
  <c r="E28" i="64"/>
  <c r="F28"/>
  <c r="H28" s="1"/>
  <c r="E26" i="141"/>
  <c r="D28" i="139"/>
  <c r="F17" i="159"/>
  <c r="G28" i="148"/>
  <c r="E28"/>
  <c r="C28"/>
  <c r="F28"/>
  <c r="F15" i="129"/>
  <c r="E15"/>
  <c r="D14"/>
  <c r="D14" i="128"/>
  <c r="F15"/>
  <c r="E15"/>
  <c r="J44" i="160"/>
  <c r="I44"/>
  <c r="H14" i="129"/>
  <c r="J15"/>
  <c r="I15"/>
  <c r="F18" i="161"/>
  <c r="F24"/>
  <c r="F30"/>
  <c r="F36"/>
  <c r="F42"/>
  <c r="F13"/>
  <c r="F14"/>
  <c r="F17"/>
  <c r="F20"/>
  <c r="F23"/>
  <c r="F26"/>
  <c r="F29"/>
  <c r="F32"/>
  <c r="F35"/>
  <c r="F38"/>
  <c r="F41"/>
  <c r="E13"/>
  <c r="F16"/>
  <c r="F19"/>
  <c r="F22"/>
  <c r="F25"/>
  <c r="F28"/>
  <c r="F31"/>
  <c r="F34"/>
  <c r="F37"/>
  <c r="F40"/>
  <c r="F43"/>
  <c r="D44"/>
  <c r="F19" i="124"/>
  <c r="E19"/>
  <c r="F19" i="120"/>
  <c r="E19"/>
  <c r="E44" i="158"/>
  <c r="F44"/>
  <c r="J30" i="155"/>
  <c r="J42"/>
  <c r="J29"/>
  <c r="J41"/>
  <c r="J15" i="70"/>
  <c r="J27"/>
  <c r="J31"/>
  <c r="J37"/>
  <c r="J43"/>
  <c r="F20" i="152"/>
  <c r="F32"/>
  <c r="J14" i="151"/>
  <c r="J26"/>
  <c r="J38"/>
  <c r="F27" i="150"/>
  <c r="J15" i="155"/>
  <c r="F25" i="70"/>
  <c r="F37"/>
  <c r="D28" i="148"/>
  <c r="D29" s="1"/>
  <c r="F28" i="140"/>
  <c r="F29" s="1"/>
  <c r="D28" i="141"/>
  <c r="F28" i="139"/>
  <c r="F29" s="1"/>
  <c r="F13" i="152"/>
  <c r="F15"/>
  <c r="F17"/>
  <c r="F19"/>
  <c r="F21"/>
  <c r="F23"/>
  <c r="F25"/>
  <c r="F27"/>
  <c r="F29"/>
  <c r="F31"/>
  <c r="F33"/>
  <c r="F35"/>
  <c r="F37"/>
  <c r="F39"/>
  <c r="F41"/>
  <c r="F43"/>
  <c r="E13"/>
  <c r="G28" i="144"/>
  <c r="D28"/>
  <c r="I15" i="130"/>
  <c r="J15"/>
  <c r="H14"/>
  <c r="J19" i="126"/>
  <c r="I19"/>
  <c r="J30" i="129"/>
  <c r="I30"/>
  <c r="J18" i="130"/>
  <c r="I18"/>
  <c r="E44" i="162"/>
  <c r="F44"/>
  <c r="F24" i="159"/>
  <c r="F36"/>
  <c r="F14"/>
  <c r="F19"/>
  <c r="F26"/>
  <c r="F31"/>
  <c r="F38"/>
  <c r="F43"/>
  <c r="D44"/>
  <c r="F16"/>
  <c r="F21"/>
  <c r="F28"/>
  <c r="F33"/>
  <c r="F40"/>
  <c r="F13"/>
  <c r="F18"/>
  <c r="F23"/>
  <c r="F30"/>
  <c r="F42"/>
  <c r="E13"/>
  <c r="F20"/>
  <c r="F25"/>
  <c r="F32"/>
  <c r="F37"/>
  <c r="F22"/>
  <c r="F34"/>
  <c r="J14" i="128"/>
  <c r="I14"/>
  <c r="I30" i="120"/>
  <c r="J30"/>
  <c r="J44" i="157"/>
  <c r="I44"/>
  <c r="F37" i="67"/>
  <c r="E37"/>
  <c r="J27" i="155"/>
  <c r="J39"/>
  <c r="J34" i="70"/>
  <c r="J40"/>
  <c r="F18" i="152"/>
  <c r="F30"/>
  <c r="F42"/>
  <c r="J24" i="151"/>
  <c r="J36"/>
  <c r="F21" i="150"/>
  <c r="F23" i="70"/>
  <c r="F35"/>
  <c r="E28" i="146"/>
  <c r="C28" i="139"/>
  <c r="H28" i="149"/>
  <c r="E26" i="143"/>
  <c r="C28" i="64"/>
  <c r="D28" i="147"/>
  <c r="D29" s="1"/>
  <c r="F28" i="141"/>
  <c r="F29" s="1"/>
  <c r="F29" i="159"/>
  <c r="F39" i="161"/>
  <c r="I36" i="156"/>
  <c r="J36"/>
  <c r="F30" i="129"/>
  <c r="E30"/>
  <c r="J29" i="130"/>
  <c r="I29"/>
  <c r="J45" i="128"/>
  <c r="I45"/>
  <c r="F19" i="129"/>
  <c r="E19"/>
  <c r="D14" i="125"/>
  <c r="F15"/>
  <c r="E15"/>
  <c r="F30" i="126"/>
  <c r="E30"/>
  <c r="I30"/>
  <c r="J30"/>
  <c r="E15" i="124"/>
  <c r="D14"/>
  <c r="F15"/>
  <c r="E44" i="157"/>
  <c r="F44"/>
  <c r="J44" i="159"/>
  <c r="I44"/>
  <c r="J30" i="124"/>
  <c r="I30"/>
  <c r="J37" i="67"/>
  <c r="I37"/>
  <c r="J44" i="161"/>
  <c r="I44"/>
  <c r="J25" i="155"/>
  <c r="J37"/>
  <c r="J25" i="70"/>
  <c r="J33"/>
  <c r="J39"/>
  <c r="J45"/>
  <c r="F16" i="152"/>
  <c r="F28"/>
  <c r="F40"/>
  <c r="G28" i="147"/>
  <c r="J22" i="151"/>
  <c r="F15" i="150"/>
  <c r="F21" i="70"/>
  <c r="F33"/>
  <c r="F45"/>
  <c r="G28" i="141"/>
  <c r="C28" i="144"/>
  <c r="G28" i="139"/>
  <c r="G29" i="149"/>
  <c r="E28" i="143"/>
  <c r="E29" s="1"/>
  <c r="C28" i="141"/>
  <c r="C28" i="147"/>
  <c r="G28" i="143"/>
  <c r="F27" i="161"/>
  <c r="C45" i="128"/>
  <c r="J13" i="151"/>
  <c r="J15"/>
  <c r="J17"/>
  <c r="J19"/>
  <c r="J21"/>
  <c r="J23"/>
  <c r="J25"/>
  <c r="J27"/>
  <c r="J29"/>
  <c r="J31"/>
  <c r="J33"/>
  <c r="J35"/>
  <c r="J37"/>
  <c r="J39"/>
  <c r="J41"/>
  <c r="J43"/>
  <c r="J45"/>
  <c r="I13"/>
  <c r="F28" i="142"/>
  <c r="F29" s="1"/>
  <c r="C28"/>
  <c r="I27" i="156"/>
  <c r="J27"/>
  <c r="J14"/>
  <c r="I14"/>
  <c r="J28" i="145"/>
  <c r="I28"/>
  <c r="H28"/>
  <c r="G29"/>
  <c r="F30" i="128"/>
  <c r="E30"/>
  <c r="F19"/>
  <c r="E19"/>
  <c r="J30"/>
  <c r="I30"/>
  <c r="J19" i="124"/>
  <c r="I19"/>
  <c r="E14" i="130"/>
  <c r="F14"/>
  <c r="D44"/>
  <c r="J36" i="155"/>
  <c r="J17"/>
  <c r="D26" i="148"/>
  <c r="J23" i="155"/>
  <c r="J35"/>
  <c r="J21" i="70"/>
  <c r="J30"/>
  <c r="J36"/>
  <c r="J42"/>
  <c r="F14" i="152"/>
  <c r="F26"/>
  <c r="F38"/>
  <c r="J20" i="151"/>
  <c r="J32"/>
  <c r="J44"/>
  <c r="C28" i="146"/>
  <c r="F19" i="70"/>
  <c r="F31"/>
  <c r="F43"/>
  <c r="E26" i="148"/>
  <c r="E26" i="145"/>
  <c r="J28" i="149"/>
  <c r="E26" i="64"/>
  <c r="E28" i="144"/>
  <c r="E29" s="1"/>
  <c r="H14" i="126"/>
  <c r="F15" i="161"/>
  <c r="E14" i="156"/>
  <c r="F14"/>
  <c r="G28" i="140"/>
  <c r="D28"/>
  <c r="D29" s="1"/>
  <c r="C28"/>
  <c r="F27" i="156"/>
  <c r="E27"/>
  <c r="F36"/>
  <c r="E36"/>
  <c r="J19" i="125"/>
  <c r="I19"/>
  <c r="J15" i="124"/>
  <c r="I15"/>
  <c r="H14"/>
  <c r="J44" i="162"/>
  <c r="I44"/>
  <c r="F30" i="125"/>
  <c r="E30"/>
  <c r="E19" i="126"/>
  <c r="F19"/>
  <c r="J44" i="158"/>
  <c r="I44"/>
  <c r="J14" i="120"/>
  <c r="H45"/>
  <c r="I14"/>
  <c r="J24" i="155"/>
  <c r="J34"/>
  <c r="J16" i="70"/>
  <c r="J28"/>
  <c r="J21" i="155"/>
  <c r="J33"/>
  <c r="J19" i="70"/>
  <c r="D28" i="142"/>
  <c r="D29" s="1"/>
  <c r="J23" i="70"/>
  <c r="J29"/>
  <c r="J35"/>
  <c r="J41"/>
  <c r="F24" i="152"/>
  <c r="F36"/>
  <c r="J18" i="151"/>
  <c r="J30"/>
  <c r="J42"/>
  <c r="F39" i="150"/>
  <c r="G28" i="146"/>
  <c r="E29" i="141"/>
  <c r="F17" i="70"/>
  <c r="F29"/>
  <c r="F41"/>
  <c r="E26" i="147"/>
  <c r="I28" i="149"/>
  <c r="E26" i="139"/>
  <c r="D28" i="146"/>
  <c r="D29" s="1"/>
  <c r="D28" i="64"/>
  <c r="D29" s="1"/>
  <c r="F29" i="145"/>
  <c r="D21" i="19"/>
  <c r="F14"/>
  <c r="F16"/>
  <c r="F18"/>
  <c r="F15"/>
  <c r="F17"/>
  <c r="D19"/>
  <c r="F19" s="1"/>
  <c r="C23"/>
  <c r="H27"/>
  <c r="G27"/>
  <c r="H26"/>
  <c r="G26"/>
  <c r="H25"/>
  <c r="G25"/>
  <c r="J28" i="146" l="1"/>
  <c r="I28"/>
  <c r="H28"/>
  <c r="G29"/>
  <c r="J14" i="124"/>
  <c r="H44"/>
  <c r="I14"/>
  <c r="H28" i="140"/>
  <c r="G29"/>
  <c r="J28"/>
  <c r="I28"/>
  <c r="F44" i="130"/>
  <c r="E44"/>
  <c r="J28" i="141"/>
  <c r="I28"/>
  <c r="H28"/>
  <c r="G29"/>
  <c r="H28" i="147"/>
  <c r="G29"/>
  <c r="J28"/>
  <c r="I28"/>
  <c r="E29" i="146"/>
  <c r="D29" i="141"/>
  <c r="F29" i="148"/>
  <c r="E29" i="140"/>
  <c r="E29" i="147"/>
  <c r="H28" i="143"/>
  <c r="G29"/>
  <c r="J28"/>
  <c r="I28"/>
  <c r="E14" i="125"/>
  <c r="D45"/>
  <c r="F14"/>
  <c r="H28" i="144"/>
  <c r="G29"/>
  <c r="J28"/>
  <c r="I28"/>
  <c r="F45" i="126"/>
  <c r="E45"/>
  <c r="D29" i="139"/>
  <c r="E29" i="142"/>
  <c r="F29" i="143"/>
  <c r="J28" i="142"/>
  <c r="F29" i="146"/>
  <c r="J14" i="126"/>
  <c r="I14"/>
  <c r="H45"/>
  <c r="J28" i="139"/>
  <c r="I28"/>
  <c r="H28"/>
  <c r="G29"/>
  <c r="F29" i="144"/>
  <c r="D29"/>
  <c r="J28" i="64"/>
  <c r="G29" i="142"/>
  <c r="J45" i="120"/>
  <c r="I45"/>
  <c r="F14" i="124"/>
  <c r="D44"/>
  <c r="E14"/>
  <c r="E44" i="161"/>
  <c r="F44"/>
  <c r="I14" i="129"/>
  <c r="H45"/>
  <c r="J14"/>
  <c r="F14"/>
  <c r="E14"/>
  <c r="D45"/>
  <c r="J28" i="148"/>
  <c r="G29"/>
  <c r="I28"/>
  <c r="H28"/>
  <c r="I28" i="64"/>
  <c r="I28" i="142"/>
  <c r="E44" i="159"/>
  <c r="F44"/>
  <c r="D45" i="128"/>
  <c r="F14"/>
  <c r="E14"/>
  <c r="J45" i="125"/>
  <c r="I45"/>
  <c r="E29" i="148"/>
  <c r="E29" i="64"/>
  <c r="H28" i="142"/>
  <c r="H44" i="130"/>
  <c r="J14"/>
  <c r="I14"/>
  <c r="E14" i="120"/>
  <c r="F14"/>
  <c r="D45"/>
  <c r="F29" i="64"/>
  <c r="G29"/>
  <c r="E29" i="139"/>
  <c r="H28" i="19"/>
  <c r="G28"/>
  <c r="H24"/>
  <c r="H23" s="1"/>
  <c r="G24"/>
  <c r="G23" s="1"/>
  <c r="D44"/>
  <c r="D24"/>
  <c r="H22"/>
  <c r="G22"/>
  <c r="D42"/>
  <c r="H17"/>
  <c r="H16"/>
  <c r="H15"/>
  <c r="G15"/>
  <c r="H14"/>
  <c r="G14"/>
  <c r="H13"/>
  <c r="G13"/>
  <c r="C13"/>
  <c r="B18"/>
  <c r="B17"/>
  <c r="B16"/>
  <c r="B15"/>
  <c r="I44" i="130" l="1"/>
  <c r="J44"/>
  <c r="F45" i="129"/>
  <c r="E45"/>
  <c r="F45" i="125"/>
  <c r="E45"/>
  <c r="J45" i="129"/>
  <c r="I45"/>
  <c r="E45" i="128"/>
  <c r="F45"/>
  <c r="E44" i="124"/>
  <c r="F44"/>
  <c r="J45" i="126"/>
  <c r="I45"/>
  <c r="F45" i="120"/>
  <c r="E45"/>
  <c r="J44" i="124"/>
  <c r="I44"/>
  <c r="H21" i="19"/>
  <c r="G21"/>
  <c r="C19"/>
  <c r="G19"/>
  <c r="D23"/>
  <c r="D43" s="1"/>
  <c r="H19"/>
  <c r="C21"/>
  <c r="E18" l="1"/>
  <c r="E17"/>
  <c r="E16"/>
  <c r="E15"/>
  <c r="E14"/>
  <c r="J16" l="1"/>
  <c r="J18"/>
  <c r="J19"/>
  <c r="J14"/>
  <c r="I15"/>
  <c r="I17"/>
  <c r="E19"/>
  <c r="I18"/>
  <c r="I16"/>
  <c r="I14"/>
  <c r="J17"/>
  <c r="J15"/>
  <c r="J21" l="1"/>
  <c r="J28"/>
  <c r="J27"/>
  <c r="J26"/>
  <c r="J25"/>
  <c r="J24"/>
  <c r="J23"/>
  <c r="J22"/>
  <c r="F23"/>
  <c r="F24"/>
  <c r="F25"/>
  <c r="F26"/>
  <c r="F27"/>
  <c r="F28"/>
  <c r="F22"/>
  <c r="F21"/>
  <c r="M29"/>
  <c r="I28"/>
  <c r="E28"/>
  <c r="I27"/>
  <c r="E27"/>
  <c r="I26"/>
  <c r="E26"/>
  <c r="I25"/>
  <c r="E25"/>
  <c r="I24"/>
  <c r="E24"/>
  <c r="I23"/>
  <c r="E23"/>
  <c r="I22"/>
  <c r="E22"/>
  <c r="I21"/>
  <c r="E21"/>
  <c r="I19" l="1"/>
  <c r="L30" i="68" l="1"/>
  <c r="L29"/>
  <c r="L28"/>
  <c r="L27"/>
  <c r="J13" i="19" l="1"/>
  <c r="F13"/>
  <c r="E13"/>
  <c r="I13"/>
  <c r="M20" l="1"/>
</calcChain>
</file>

<file path=xl/sharedStrings.xml><?xml version="1.0" encoding="utf-8"?>
<sst xmlns="http://schemas.openxmlformats.org/spreadsheetml/2006/main" count="819" uniqueCount="150">
  <si>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</si>
  <si>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</si>
  <si>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</si>
  <si>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</si>
  <si>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</si>
  <si>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</si>
  <si>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</si>
  <si>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</si>
  <si>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</si>
  <si>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</si>
  <si>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</si>
  <si>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</si>
  <si>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</si>
  <si>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</si>
  <si>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</si>
  <si>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</si>
  <si>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</si>
  <si>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</si>
  <si>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</si>
  <si>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</si>
  <si>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</si>
  <si>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</si>
  <si>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</si>
  <si>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</si>
  <si>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</si>
  <si>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</si>
  <si>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</si>
  <si>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</si>
  <si>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</si>
  <si>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</si>
  <si>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</si>
  <si>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</si>
  <si>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</si>
  <si>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</si>
  <si>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</si>
  <si>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</si>
  <si>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</si>
  <si>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</si>
  <si>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</si>
  <si>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</si>
  <si>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</si>
  <si>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</si>
  <si>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</si>
  <si>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</si>
  <si>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</si>
  <si>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</si>
  <si>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</si>
  <si>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</si>
  <si>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</si>
  <si>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</si>
  <si>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</si>
  <si>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</si>
  <si>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</si>
  <si>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</si>
  <si>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</si>
  <si>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</si>
  <si>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</si>
  <si>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</si>
  <si>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</si>
  <si>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</si>
  <si>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</si>
  <si>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</si>
  <si>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</si>
  <si>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</si>
  <si>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</si>
  <si>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</si>
  <si>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</si>
  <si>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</si>
  <si>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</si>
  <si>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</si>
  <si>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</si>
  <si>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</si>
  <si>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</si>
  <si>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</si>
  <si>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</si>
  <si>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</si>
  <si>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</si>
  <si>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</si>
  <si>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</si>
  <si>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</si>
  <si>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</si>
  <si>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</si>
  <si>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</si>
  <si>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</si>
  <si>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</si>
  <si>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</si>
  <si>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</si>
  <si>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</si>
  <si>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</si>
  <si>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</si>
  <si>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</si>
  <si>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</si>
  <si>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</si>
  <si>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</si>
  <si>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</si>
  <si>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</si>
  <si>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</si>
  <si>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</si>
  <si>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</si>
  <si>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</si>
  <si>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</si>
  <si>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</si>
  <si>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</si>
  <si>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</si>
  <si>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</si>
  <si>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</si>
  <si>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</si>
  <si>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</si>
  <si>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</si>
  <si>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</si>
  <si>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</si>
  <si>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</si>
  <si>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</si>
  <si>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</si>
  <si>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</si>
  <si>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</si>
  <si>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</si>
  <si>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</si>
  <si>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</si>
  <si>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</si>
  <si>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</si>
  <si>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</si>
  <si>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</si>
  <si>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</si>
  <si>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% Cambio   '11/'10</t>
  </si>
  <si>
    <t>% del total '11</t>
  </si>
  <si>
    <t xml:space="preserve"> '11 como % de '10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</si>
  <si>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</si>
  <si>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</si>
  <si>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</si>
  <si>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</si>
  <si>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</si>
  <si>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</si>
  <si>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</si>
  <si>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</si>
  <si>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</si>
  <si>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</si>
  <si>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</si>
  <si>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</si>
  <si>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</si>
  <si>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</si>
  <si>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</si>
  <si>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</si>
  <si>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</si>
  <si>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Año corrido a noviembre</t>
  </si>
  <si>
    <t>Noviembre</t>
  </si>
  <si>
    <t>Fuente: The Economist. Edición impresa 21 de enero de 2012.</t>
  </si>
  <si>
    <t>Tercer trimestre de 2011: Argentina, Canadá, Chile, Colombia, Estados Unidos, Gran Bretaña, México, Perú y Venezuela.</t>
  </si>
  <si>
    <t>Octubre 2011: Zona Euro y Japón.</t>
  </si>
  <si>
    <t>Noviembre de 2011: Brasil y Japón.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</si>
</sst>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2" borderId="1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externalLink" Target="externalLinks/externalLink9.xml"/><Relationship Id="rId55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13.xml"/><Relationship Id="rId62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3" Type="http://schemas.openxmlformats.org/officeDocument/2006/relationships/externalLink" Target="externalLinks/externalLink12.xml"/><Relationship Id="rId58" Type="http://schemas.openxmlformats.org/officeDocument/2006/relationships/externalLink" Target="externalLinks/externalLink1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8.xml"/><Relationship Id="rId57" Type="http://schemas.openxmlformats.org/officeDocument/2006/relationships/externalLink" Target="externalLinks/externalLink16.xml"/><Relationship Id="rId61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52" Type="http://schemas.openxmlformats.org/officeDocument/2006/relationships/externalLink" Target="externalLinks/externalLink11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externalLink" Target="externalLinks/externalLink7.xml"/><Relationship Id="rId56" Type="http://schemas.openxmlformats.org/officeDocument/2006/relationships/externalLink" Target="externalLinks/externalLink15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5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604E-2"/>
                  <c:y val="0.12010258991598725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760.56178642999885</c:v>
                </c:pt>
                <c:pt idx="1">
                  <c:v>22184.330939319705</c:v>
                </c:pt>
                <c:pt idx="2">
                  <c:v>94.01155403000044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2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[15]Total!$E$24:$E$72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[15]Total!$F$24:$F$72</c:f>
              <c:numCache>
                <c:formatCode>General</c:formatCode>
                <c:ptCount val="49"/>
                <c:pt idx="0">
                  <c:v>1015.235861142498</c:v>
                </c:pt>
                <c:pt idx="1">
                  <c:v>1028.4102508308304</c:v>
                </c:pt>
                <c:pt idx="2">
                  <c:v>1038.308153130831</c:v>
                </c:pt>
                <c:pt idx="3">
                  <c:v>1047.9742476799968</c:v>
                </c:pt>
                <c:pt idx="4">
                  <c:v>1049.4366528008311</c:v>
                </c:pt>
                <c:pt idx="5">
                  <c:v>1080.4477975649966</c:v>
                </c:pt>
                <c:pt idx="6">
                  <c:v>1091.4520261358291</c:v>
                </c:pt>
                <c:pt idx="7">
                  <c:v>1110.4243578849955</c:v>
                </c:pt>
                <c:pt idx="8">
                  <c:v>1137.038923029163</c:v>
                </c:pt>
                <c:pt idx="9">
                  <c:v>1141.1440030349966</c:v>
                </c:pt>
                <c:pt idx="10">
                  <c:v>1157.5519290824961</c:v>
                </c:pt>
                <c:pt idx="11">
                  <c:v>1171.4173721791628</c:v>
                </c:pt>
                <c:pt idx="12">
                  <c:v>1188.0382741933313</c:v>
                </c:pt>
                <c:pt idx="13">
                  <c:v>1200.6809488824979</c:v>
                </c:pt>
                <c:pt idx="14">
                  <c:v>1231.8601098166662</c:v>
                </c:pt>
                <c:pt idx="15">
                  <c:v>1231.4811107208336</c:v>
                </c:pt>
                <c:pt idx="16">
                  <c:v>1229.990619600834</c:v>
                </c:pt>
                <c:pt idx="17">
                  <c:v>1223.4315620333364</c:v>
                </c:pt>
                <c:pt idx="18">
                  <c:v>1207.9435425225049</c:v>
                </c:pt>
                <c:pt idx="19">
                  <c:v>1192.3156023775059</c:v>
                </c:pt>
                <c:pt idx="20">
                  <c:v>1198.3028991725064</c:v>
                </c:pt>
                <c:pt idx="21">
                  <c:v>1195.9863133375059</c:v>
                </c:pt>
                <c:pt idx="22">
                  <c:v>1190.8347042625062</c:v>
                </c:pt>
                <c:pt idx="23">
                  <c:v>1183.8303715883378</c:v>
                </c:pt>
                <c:pt idx="24">
                  <c:v>1158.6841218266707</c:v>
                </c:pt>
                <c:pt idx="25">
                  <c:v>1164.3470357383383</c:v>
                </c:pt>
                <c:pt idx="26">
                  <c:v>1148.5453219616711</c:v>
                </c:pt>
                <c:pt idx="27">
                  <c:v>1155.3038296425041</c:v>
                </c:pt>
                <c:pt idx="28">
                  <c:v>1196.3089286683351</c:v>
                </c:pt>
                <c:pt idx="29">
                  <c:v>1209.6937527841653</c:v>
                </c:pt>
                <c:pt idx="30">
                  <c:v>1244.5338117974961</c:v>
                </c:pt>
                <c:pt idx="31">
                  <c:v>1274.8309969716615</c:v>
                </c:pt>
                <c:pt idx="32">
                  <c:v>1287.2568402033266</c:v>
                </c:pt>
                <c:pt idx="33">
                  <c:v>1325.1180212066618</c:v>
                </c:pt>
                <c:pt idx="34">
                  <c:v>1377.3994433024955</c:v>
                </c:pt>
                <c:pt idx="35">
                  <c:v>1406.842911835832</c:v>
                </c:pt>
                <c:pt idx="36">
                  <c:v>1460.3990005349979</c:v>
                </c:pt>
                <c:pt idx="37">
                  <c:v>1507.1219952916642</c:v>
                </c:pt>
                <c:pt idx="38">
                  <c:v>1540.8399958133298</c:v>
                </c:pt>
                <c:pt idx="39">
                  <c:v>1570.8813455183288</c:v>
                </c:pt>
                <c:pt idx="40">
                  <c:v>1621.121542658331</c:v>
                </c:pt>
                <c:pt idx="41">
                  <c:v>1687.3633215699995</c:v>
                </c:pt>
                <c:pt idx="42">
                  <c:v>1780.4431327333323</c:v>
                </c:pt>
                <c:pt idx="43">
                  <c:v>1821.97472029917</c:v>
                </c:pt>
                <c:pt idx="44">
                  <c:v>1849.2704841583381</c:v>
                </c:pt>
                <c:pt idx="45">
                  <c:v>1882.252460441671</c:v>
                </c:pt>
                <c:pt idx="46">
                  <c:v>1937.4334861383375</c:v>
                </c:pt>
                <c:pt idx="47">
                  <c:v>2004.0219793183358</c:v>
                </c:pt>
                <c:pt idx="48">
                  <c:v>2077.3516533033367</c:v>
                </c:pt>
              </c:numCache>
            </c:numRef>
          </c:val>
        </c:ser>
        <c:marker val="1"/>
        <c:axId val="75217920"/>
        <c:axId val="84772352"/>
      </c:lineChart>
      <c:catAx>
        <c:axId val="7521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72352"/>
        <c:crosses val="autoZero"/>
        <c:auto val="1"/>
        <c:lblAlgn val="ctr"/>
        <c:lblOffset val="100"/>
        <c:tickLblSkip val="12"/>
        <c:tickMarkSkip val="12"/>
      </c:catAx>
      <c:valAx>
        <c:axId val="84772352"/>
        <c:scaling>
          <c:orientation val="minMax"/>
          <c:max val="22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21792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[15]Primarios!$E$24:$E$72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[15]Primarios!$F$24:$F$72</c:f>
              <c:numCache>
                <c:formatCode>General</c:formatCode>
                <c:ptCount val="49"/>
                <c:pt idx="0">
                  <c:v>31.328622681666644</c:v>
                </c:pt>
                <c:pt idx="1">
                  <c:v>31.25876753999998</c:v>
                </c:pt>
                <c:pt idx="2">
                  <c:v>31.426830765833319</c:v>
                </c:pt>
                <c:pt idx="3">
                  <c:v>31.834376709999987</c:v>
                </c:pt>
                <c:pt idx="4">
                  <c:v>31.649222727499989</c:v>
                </c:pt>
                <c:pt idx="5">
                  <c:v>32.051521303333338</c:v>
                </c:pt>
                <c:pt idx="6">
                  <c:v>32.622718589166666</c:v>
                </c:pt>
                <c:pt idx="7">
                  <c:v>34.250823239166664</c:v>
                </c:pt>
                <c:pt idx="8">
                  <c:v>35.550994947499994</c:v>
                </c:pt>
                <c:pt idx="9">
                  <c:v>37.985220570833334</c:v>
                </c:pt>
                <c:pt idx="10">
                  <c:v>38.969456431666664</c:v>
                </c:pt>
                <c:pt idx="11">
                  <c:v>40.357121055833339</c:v>
                </c:pt>
                <c:pt idx="12">
                  <c:v>42.859747333333338</c:v>
                </c:pt>
                <c:pt idx="13">
                  <c:v>43.980465499166677</c:v>
                </c:pt>
                <c:pt idx="14">
                  <c:v>43.758092452500016</c:v>
                </c:pt>
                <c:pt idx="15">
                  <c:v>42.809184508333345</c:v>
                </c:pt>
                <c:pt idx="16">
                  <c:v>44.470191533333349</c:v>
                </c:pt>
                <c:pt idx="17">
                  <c:v>44.62484049083335</c:v>
                </c:pt>
                <c:pt idx="18">
                  <c:v>44.548843210000022</c:v>
                </c:pt>
                <c:pt idx="19">
                  <c:v>44.595237090000033</c:v>
                </c:pt>
                <c:pt idx="20">
                  <c:v>45.160477275000012</c:v>
                </c:pt>
                <c:pt idx="21">
                  <c:v>43.913446645000015</c:v>
                </c:pt>
                <c:pt idx="22">
                  <c:v>43.735495691666692</c:v>
                </c:pt>
                <c:pt idx="23">
                  <c:v>42.699637239166684</c:v>
                </c:pt>
                <c:pt idx="24">
                  <c:v>39.972839045833339</c:v>
                </c:pt>
                <c:pt idx="25">
                  <c:v>41.034956977500009</c:v>
                </c:pt>
                <c:pt idx="26">
                  <c:v>41.475832010833336</c:v>
                </c:pt>
                <c:pt idx="27">
                  <c:v>43.019197867500004</c:v>
                </c:pt>
                <c:pt idx="28">
                  <c:v>44.083188125000014</c:v>
                </c:pt>
                <c:pt idx="29">
                  <c:v>46.568289399999998</c:v>
                </c:pt>
                <c:pt idx="30">
                  <c:v>47.317843987500005</c:v>
                </c:pt>
                <c:pt idx="31">
                  <c:v>48.090786568333336</c:v>
                </c:pt>
                <c:pt idx="32">
                  <c:v>48.336971965833335</c:v>
                </c:pt>
                <c:pt idx="33">
                  <c:v>49.375460670000002</c:v>
                </c:pt>
                <c:pt idx="34">
                  <c:v>51.466746475000001</c:v>
                </c:pt>
                <c:pt idx="35">
                  <c:v>51.237090330000001</c:v>
                </c:pt>
                <c:pt idx="36">
                  <c:v>52.61521853833333</c:v>
                </c:pt>
                <c:pt idx="37">
                  <c:v>52.961488959166665</c:v>
                </c:pt>
                <c:pt idx="38">
                  <c:v>53.909681253333332</c:v>
                </c:pt>
                <c:pt idx="39">
                  <c:v>53.986736871666665</c:v>
                </c:pt>
                <c:pt idx="40">
                  <c:v>53.406843819999999</c:v>
                </c:pt>
                <c:pt idx="41">
                  <c:v>54.25845285916666</c:v>
                </c:pt>
                <c:pt idx="42">
                  <c:v>57.694838892500009</c:v>
                </c:pt>
                <c:pt idx="43">
                  <c:v>59.619350425000015</c:v>
                </c:pt>
                <c:pt idx="44">
                  <c:v>60.250522963333339</c:v>
                </c:pt>
                <c:pt idx="45">
                  <c:v>61.371806063333359</c:v>
                </c:pt>
                <c:pt idx="46">
                  <c:v>63.120787590000013</c:v>
                </c:pt>
                <c:pt idx="47">
                  <c:v>65.813949255833322</c:v>
                </c:pt>
                <c:pt idx="48">
                  <c:v>68.045285174166665</c:v>
                </c:pt>
              </c:numCache>
            </c:numRef>
          </c:val>
        </c:ser>
        <c:marker val="1"/>
        <c:axId val="86515712"/>
        <c:axId val="86517248"/>
      </c:lineChart>
      <c:catAx>
        <c:axId val="8651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517248"/>
        <c:crosses val="autoZero"/>
        <c:auto val="1"/>
        <c:lblAlgn val="ctr"/>
        <c:lblOffset val="100"/>
        <c:tickLblSkip val="12"/>
        <c:tickMarkSkip val="12"/>
      </c:catAx>
      <c:valAx>
        <c:axId val="86517248"/>
        <c:scaling>
          <c:orientation val="minMax"/>
          <c:max val="7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5157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[15]Manufacturas!$E$24:$E$72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[15]Manufacturas!$F$24:$F$72</c:f>
              <c:numCache>
                <c:formatCode>General</c:formatCode>
                <c:ptCount val="49"/>
                <c:pt idx="0">
                  <c:v>977.96973478333223</c:v>
                </c:pt>
                <c:pt idx="1">
                  <c:v>991.41045951666558</c:v>
                </c:pt>
                <c:pt idx="2">
                  <c:v>1001.0404711383331</c:v>
                </c:pt>
                <c:pt idx="3">
                  <c:v>1010.1422376008326</c:v>
                </c:pt>
                <c:pt idx="4">
                  <c:v>1011.7254297500002</c:v>
                </c:pt>
                <c:pt idx="5">
                  <c:v>1042.097377227499</c:v>
                </c:pt>
                <c:pt idx="6">
                  <c:v>1052.4749484424985</c:v>
                </c:pt>
                <c:pt idx="7">
                  <c:v>1069.6280287358315</c:v>
                </c:pt>
                <c:pt idx="8">
                  <c:v>1094.6888055116647</c:v>
                </c:pt>
                <c:pt idx="9">
                  <c:v>1096.1201078141646</c:v>
                </c:pt>
                <c:pt idx="10">
                  <c:v>1111.4301208174977</c:v>
                </c:pt>
                <c:pt idx="11">
                  <c:v>1123.7663016558306</c:v>
                </c:pt>
                <c:pt idx="12">
                  <c:v>1137.8793818374968</c:v>
                </c:pt>
                <c:pt idx="13">
                  <c:v>1149.3723861449969</c:v>
                </c:pt>
                <c:pt idx="14">
                  <c:v>1180.6695096991643</c:v>
                </c:pt>
                <c:pt idx="15">
                  <c:v>1181.2938958208308</c:v>
                </c:pt>
                <c:pt idx="16">
                  <c:v>1178.1189611499983</c:v>
                </c:pt>
                <c:pt idx="17">
                  <c:v>1171.5661133625001</c:v>
                </c:pt>
                <c:pt idx="18">
                  <c:v>1156.282566889168</c:v>
                </c:pt>
                <c:pt idx="19">
                  <c:v>1140.6264679458359</c:v>
                </c:pt>
                <c:pt idx="20">
                  <c:v>1146.1626471058362</c:v>
                </c:pt>
                <c:pt idx="21">
                  <c:v>1145.345223225836</c:v>
                </c:pt>
                <c:pt idx="22">
                  <c:v>1140.645325560836</c:v>
                </c:pt>
                <c:pt idx="23">
                  <c:v>1134.9840937975005</c:v>
                </c:pt>
                <c:pt idx="24">
                  <c:v>1112.4658086566671</c:v>
                </c:pt>
                <c:pt idx="25">
                  <c:v>1116.9253928916676</c:v>
                </c:pt>
                <c:pt idx="26">
                  <c:v>1100.7957556533336</c:v>
                </c:pt>
                <c:pt idx="27">
                  <c:v>1105.9672416666667</c:v>
                </c:pt>
                <c:pt idx="28">
                  <c:v>1145.4753260208324</c:v>
                </c:pt>
                <c:pt idx="29">
                  <c:v>1155.8517391141634</c:v>
                </c:pt>
                <c:pt idx="30">
                  <c:v>1189.4416231024961</c:v>
                </c:pt>
                <c:pt idx="31">
                  <c:v>1218.8178287749947</c:v>
                </c:pt>
                <c:pt idx="32">
                  <c:v>1230.9299242574953</c:v>
                </c:pt>
                <c:pt idx="33">
                  <c:v>1267.5009736533289</c:v>
                </c:pt>
                <c:pt idx="34">
                  <c:v>1317.5360240174948</c:v>
                </c:pt>
                <c:pt idx="35">
                  <c:v>1347.1003699649978</c:v>
                </c:pt>
                <c:pt idx="36">
                  <c:v>1399.2168487874978</c:v>
                </c:pt>
                <c:pt idx="37">
                  <c:v>1445.4646576641642</c:v>
                </c:pt>
                <c:pt idx="38">
                  <c:v>1478.1185033266645</c:v>
                </c:pt>
                <c:pt idx="39">
                  <c:v>1507.9789291358304</c:v>
                </c:pt>
                <c:pt idx="40">
                  <c:v>1558.8831709441629</c:v>
                </c:pt>
                <c:pt idx="41">
                  <c:v>1624.5581797983323</c:v>
                </c:pt>
                <c:pt idx="42">
                  <c:v>1714.4574000041678</c:v>
                </c:pt>
                <c:pt idx="43">
                  <c:v>1754.2557543758394</c:v>
                </c:pt>
                <c:pt idx="44">
                  <c:v>1780.7037461000064</c:v>
                </c:pt>
                <c:pt idx="45">
                  <c:v>1812.4469017466736</c:v>
                </c:pt>
                <c:pt idx="46">
                  <c:v>1865.9771529550062</c:v>
                </c:pt>
                <c:pt idx="47">
                  <c:v>1929.8488546625056</c:v>
                </c:pt>
                <c:pt idx="48">
                  <c:v>2000.6574675983375</c:v>
                </c:pt>
              </c:numCache>
            </c:numRef>
          </c:val>
        </c:ser>
        <c:marker val="1"/>
        <c:axId val="86541824"/>
        <c:axId val="86618496"/>
      </c:lineChart>
      <c:catAx>
        <c:axId val="8654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618496"/>
        <c:crosses val="autoZero"/>
        <c:auto val="1"/>
        <c:lblAlgn val="ctr"/>
        <c:lblOffset val="100"/>
        <c:tickLblSkip val="12"/>
        <c:tickMarkSkip val="12"/>
      </c:catAx>
      <c:valAx>
        <c:axId val="86618496"/>
        <c:scaling>
          <c:orientation val="minMax"/>
          <c:max val="22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541824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[15]Rec_naturales!$E$24:$E$72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[15]Rec_naturales!$F$24:$F$72</c:f>
              <c:numCache>
                <c:formatCode>General</c:formatCode>
                <c:ptCount val="49"/>
                <c:pt idx="0">
                  <c:v>94.7534642108334</c:v>
                </c:pt>
                <c:pt idx="1">
                  <c:v>93.522593147500103</c:v>
                </c:pt>
                <c:pt idx="2">
                  <c:v>93.354524720000086</c:v>
                </c:pt>
                <c:pt idx="3">
                  <c:v>94.96709377166674</c:v>
                </c:pt>
                <c:pt idx="4">
                  <c:v>95.316325866666773</c:v>
                </c:pt>
                <c:pt idx="5">
                  <c:v>97.390565758333437</c:v>
                </c:pt>
                <c:pt idx="6">
                  <c:v>98.241542709166765</c:v>
                </c:pt>
                <c:pt idx="7">
                  <c:v>99.279721545833368</c:v>
                </c:pt>
                <c:pt idx="8">
                  <c:v>102.18514320583341</c:v>
                </c:pt>
                <c:pt idx="9">
                  <c:v>104.02524109333338</c:v>
                </c:pt>
                <c:pt idx="10">
                  <c:v>105.1677848275</c:v>
                </c:pt>
                <c:pt idx="11">
                  <c:v>107.11847862333333</c:v>
                </c:pt>
                <c:pt idx="12">
                  <c:v>107.71619387500004</c:v>
                </c:pt>
                <c:pt idx="13">
                  <c:v>110.10004946083336</c:v>
                </c:pt>
                <c:pt idx="14">
                  <c:v>110.63134699000007</c:v>
                </c:pt>
                <c:pt idx="15">
                  <c:v>109.76634230333339</c:v>
                </c:pt>
                <c:pt idx="16">
                  <c:v>109.9923728683334</c:v>
                </c:pt>
                <c:pt idx="17">
                  <c:v>108.23684813750005</c:v>
                </c:pt>
                <c:pt idx="18">
                  <c:v>106.97367766666669</c:v>
                </c:pt>
                <c:pt idx="19">
                  <c:v>105.87983048250008</c:v>
                </c:pt>
                <c:pt idx="20">
                  <c:v>104.12723220916673</c:v>
                </c:pt>
                <c:pt idx="21">
                  <c:v>103.66602865750006</c:v>
                </c:pt>
                <c:pt idx="22">
                  <c:v>103.4893415825001</c:v>
                </c:pt>
                <c:pt idx="23">
                  <c:v>102.42527277333342</c:v>
                </c:pt>
                <c:pt idx="24">
                  <c:v>103.33189182916674</c:v>
                </c:pt>
                <c:pt idx="25">
                  <c:v>104.12603738500009</c:v>
                </c:pt>
                <c:pt idx="26">
                  <c:v>103.82772087750008</c:v>
                </c:pt>
                <c:pt idx="27">
                  <c:v>104.89518587666674</c:v>
                </c:pt>
                <c:pt idx="28">
                  <c:v>107.85928405833334</c:v>
                </c:pt>
                <c:pt idx="29">
                  <c:v>111.49330946249997</c:v>
                </c:pt>
                <c:pt idx="30">
                  <c:v>115.52916600749995</c:v>
                </c:pt>
                <c:pt idx="31">
                  <c:v>119.53197662416665</c:v>
                </c:pt>
                <c:pt idx="32">
                  <c:v>123.14866238833328</c:v>
                </c:pt>
                <c:pt idx="33">
                  <c:v>128.0163443316666</c:v>
                </c:pt>
                <c:pt idx="34">
                  <c:v>134.85259019749978</c:v>
                </c:pt>
                <c:pt idx="35">
                  <c:v>144.73154127749982</c:v>
                </c:pt>
                <c:pt idx="36">
                  <c:v>147.22029632499977</c:v>
                </c:pt>
                <c:pt idx="37">
                  <c:v>164.24988747083299</c:v>
                </c:pt>
                <c:pt idx="38">
                  <c:v>170.929256795833</c:v>
                </c:pt>
                <c:pt idx="39">
                  <c:v>174.6890551624997</c:v>
                </c:pt>
                <c:pt idx="40">
                  <c:v>178.0624197049998</c:v>
                </c:pt>
                <c:pt idx="41">
                  <c:v>208.26957367416648</c:v>
                </c:pt>
                <c:pt idx="42">
                  <c:v>232.61806543500006</c:v>
                </c:pt>
                <c:pt idx="43">
                  <c:v>234.65228583666669</c:v>
                </c:pt>
                <c:pt idx="44">
                  <c:v>235.29082795750011</c:v>
                </c:pt>
                <c:pt idx="45">
                  <c:v>235.94544352666682</c:v>
                </c:pt>
                <c:pt idx="46">
                  <c:v>256.27566247750025</c:v>
                </c:pt>
                <c:pt idx="47">
                  <c:v>269.19820449583358</c:v>
                </c:pt>
                <c:pt idx="48">
                  <c:v>301.07814570333375</c:v>
                </c:pt>
              </c:numCache>
            </c:numRef>
          </c:val>
        </c:ser>
        <c:marker val="1"/>
        <c:axId val="86519168"/>
        <c:axId val="86621184"/>
      </c:lineChart>
      <c:catAx>
        <c:axId val="8651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621184"/>
        <c:crosses val="autoZero"/>
        <c:auto val="1"/>
        <c:lblAlgn val="ctr"/>
        <c:lblOffset val="100"/>
        <c:tickLblSkip val="12"/>
        <c:tickMarkSkip val="12"/>
      </c:catAx>
      <c:valAx>
        <c:axId val="86621184"/>
        <c:scaling>
          <c:orientation val="minMax"/>
          <c:max val="3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51916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[15]Baja_tek!$E$24:$E$72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[15]Baja_tek!$F$24:$F$72</c:f>
              <c:numCache>
                <c:formatCode>General</c:formatCode>
                <c:ptCount val="49"/>
                <c:pt idx="0">
                  <c:v>127.44579716666651</c:v>
                </c:pt>
                <c:pt idx="1">
                  <c:v>129.94811133416661</c:v>
                </c:pt>
                <c:pt idx="2">
                  <c:v>133.6351832516666</c:v>
                </c:pt>
                <c:pt idx="3">
                  <c:v>135.83387558583317</c:v>
                </c:pt>
                <c:pt idx="4">
                  <c:v>136.5761779466666</c:v>
                </c:pt>
                <c:pt idx="5">
                  <c:v>140.31702460833321</c:v>
                </c:pt>
                <c:pt idx="6">
                  <c:v>142.14489762749977</c:v>
                </c:pt>
                <c:pt idx="7">
                  <c:v>143.09391338999984</c:v>
                </c:pt>
                <c:pt idx="8">
                  <c:v>145.99228662499993</c:v>
                </c:pt>
                <c:pt idx="9">
                  <c:v>146.88168347916644</c:v>
                </c:pt>
                <c:pt idx="10">
                  <c:v>149.45656653333296</c:v>
                </c:pt>
                <c:pt idx="11">
                  <c:v>152.60456747916643</c:v>
                </c:pt>
                <c:pt idx="12">
                  <c:v>154.89910203583301</c:v>
                </c:pt>
                <c:pt idx="13">
                  <c:v>157.28877759416645</c:v>
                </c:pt>
                <c:pt idx="14">
                  <c:v>160.6009867399998</c:v>
                </c:pt>
                <c:pt idx="15">
                  <c:v>160.85963094333314</c:v>
                </c:pt>
                <c:pt idx="16">
                  <c:v>160.73238543583315</c:v>
                </c:pt>
                <c:pt idx="17">
                  <c:v>158.44464894916658</c:v>
                </c:pt>
                <c:pt idx="18">
                  <c:v>155.45096442749994</c:v>
                </c:pt>
                <c:pt idx="19">
                  <c:v>154.58004805916664</c:v>
                </c:pt>
                <c:pt idx="20">
                  <c:v>152.33286942166671</c:v>
                </c:pt>
                <c:pt idx="21">
                  <c:v>149.79457146166683</c:v>
                </c:pt>
                <c:pt idx="22">
                  <c:v>148.30078338833363</c:v>
                </c:pt>
                <c:pt idx="23">
                  <c:v>145.31851997583348</c:v>
                </c:pt>
                <c:pt idx="24">
                  <c:v>140.89374188250022</c:v>
                </c:pt>
                <c:pt idx="25">
                  <c:v>141.71161079333353</c:v>
                </c:pt>
                <c:pt idx="26">
                  <c:v>136.93899356083358</c:v>
                </c:pt>
                <c:pt idx="27">
                  <c:v>139.53094131500026</c:v>
                </c:pt>
                <c:pt idx="28">
                  <c:v>145.54691871666691</c:v>
                </c:pt>
                <c:pt idx="29">
                  <c:v>148.45631624166683</c:v>
                </c:pt>
                <c:pt idx="30">
                  <c:v>152.53509310250024</c:v>
                </c:pt>
                <c:pt idx="31">
                  <c:v>158.65980679166691</c:v>
                </c:pt>
                <c:pt idx="32">
                  <c:v>165.53823414250004</c:v>
                </c:pt>
                <c:pt idx="33">
                  <c:v>173.2021787149998</c:v>
                </c:pt>
                <c:pt idx="34">
                  <c:v>182.12112057083323</c:v>
                </c:pt>
                <c:pt idx="35">
                  <c:v>190.57028911083307</c:v>
                </c:pt>
                <c:pt idx="36">
                  <c:v>199.76443132333301</c:v>
                </c:pt>
                <c:pt idx="37">
                  <c:v>204.82857695166635</c:v>
                </c:pt>
                <c:pt idx="38">
                  <c:v>211.31790591833308</c:v>
                </c:pt>
                <c:pt idx="39">
                  <c:v>215.77044458499995</c:v>
                </c:pt>
                <c:pt idx="40">
                  <c:v>220.10886486083328</c:v>
                </c:pt>
                <c:pt idx="41">
                  <c:v>227.9459226433332</c:v>
                </c:pt>
                <c:pt idx="42">
                  <c:v>241.01367808999996</c:v>
                </c:pt>
                <c:pt idx="43">
                  <c:v>246.99465243083321</c:v>
                </c:pt>
                <c:pt idx="44">
                  <c:v>251.61491688166666</c:v>
                </c:pt>
                <c:pt idx="45">
                  <c:v>258.82514893083373</c:v>
                </c:pt>
                <c:pt idx="46">
                  <c:v>263.01789049083362</c:v>
                </c:pt>
                <c:pt idx="47">
                  <c:v>269.75378371250036</c:v>
                </c:pt>
                <c:pt idx="48">
                  <c:v>276.36208953916702</c:v>
                </c:pt>
              </c:numCache>
            </c:numRef>
          </c:val>
        </c:ser>
        <c:marker val="1"/>
        <c:axId val="75157504"/>
        <c:axId val="75159040"/>
      </c:lineChart>
      <c:catAx>
        <c:axId val="75157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159040"/>
        <c:crosses val="autoZero"/>
        <c:auto val="1"/>
        <c:lblAlgn val="ctr"/>
        <c:lblOffset val="100"/>
        <c:tickLblSkip val="12"/>
        <c:tickMarkSkip val="12"/>
      </c:catAx>
      <c:valAx>
        <c:axId val="75159040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1575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[15]Media_tek!$E$24:$E$72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[15]Media_tek!$F$24:$F$72</c:f>
              <c:numCache>
                <c:formatCode>General</c:formatCode>
                <c:ptCount val="49"/>
                <c:pt idx="0">
                  <c:v>348.55810527166688</c:v>
                </c:pt>
                <c:pt idx="1">
                  <c:v>352.18037798500035</c:v>
                </c:pt>
                <c:pt idx="2">
                  <c:v>352.21270690083355</c:v>
                </c:pt>
                <c:pt idx="3">
                  <c:v>352.57399761166681</c:v>
                </c:pt>
                <c:pt idx="4">
                  <c:v>350.61757686416678</c:v>
                </c:pt>
                <c:pt idx="5">
                  <c:v>358.25151746250009</c:v>
                </c:pt>
                <c:pt idx="6">
                  <c:v>359.1528418066668</c:v>
                </c:pt>
                <c:pt idx="7">
                  <c:v>361.75783371500029</c:v>
                </c:pt>
                <c:pt idx="8">
                  <c:v>369.62999210000038</c:v>
                </c:pt>
                <c:pt idx="9">
                  <c:v>368.56476899500029</c:v>
                </c:pt>
                <c:pt idx="10">
                  <c:v>368.89207527833361</c:v>
                </c:pt>
                <c:pt idx="11">
                  <c:v>373.53840721333353</c:v>
                </c:pt>
                <c:pt idx="12">
                  <c:v>377.33015905416687</c:v>
                </c:pt>
                <c:pt idx="13">
                  <c:v>378.97926059249994</c:v>
                </c:pt>
                <c:pt idx="14">
                  <c:v>385.45377826999993</c:v>
                </c:pt>
                <c:pt idx="15">
                  <c:v>384.55844090666625</c:v>
                </c:pt>
                <c:pt idx="16">
                  <c:v>383.76775680833265</c:v>
                </c:pt>
                <c:pt idx="17">
                  <c:v>374.47317700999974</c:v>
                </c:pt>
                <c:pt idx="18">
                  <c:v>364.67342921249946</c:v>
                </c:pt>
                <c:pt idx="19">
                  <c:v>355.77475204749936</c:v>
                </c:pt>
                <c:pt idx="20">
                  <c:v>348.87273567749907</c:v>
                </c:pt>
                <c:pt idx="21">
                  <c:v>342.13970659833257</c:v>
                </c:pt>
                <c:pt idx="22">
                  <c:v>340.69288011916564</c:v>
                </c:pt>
                <c:pt idx="23">
                  <c:v>335.70715674999911</c:v>
                </c:pt>
                <c:pt idx="24">
                  <c:v>330.20521351499877</c:v>
                </c:pt>
                <c:pt idx="25">
                  <c:v>331.9236998724989</c:v>
                </c:pt>
                <c:pt idx="26">
                  <c:v>327.515061234999</c:v>
                </c:pt>
                <c:pt idx="27">
                  <c:v>330.24981929249924</c:v>
                </c:pt>
                <c:pt idx="28">
                  <c:v>340.44759326666582</c:v>
                </c:pt>
                <c:pt idx="29">
                  <c:v>349.72462327499926</c:v>
                </c:pt>
                <c:pt idx="30">
                  <c:v>361.39553611749926</c:v>
                </c:pt>
                <c:pt idx="31">
                  <c:v>378.41429268166604</c:v>
                </c:pt>
                <c:pt idx="32">
                  <c:v>387.00800214833265</c:v>
                </c:pt>
                <c:pt idx="33">
                  <c:v>401.67378689083245</c:v>
                </c:pt>
                <c:pt idx="34">
                  <c:v>416.30677683999903</c:v>
                </c:pt>
                <c:pt idx="35">
                  <c:v>436.30894215583248</c:v>
                </c:pt>
                <c:pt idx="36">
                  <c:v>457.63758531499889</c:v>
                </c:pt>
                <c:pt idx="37">
                  <c:v>483.10762549833288</c:v>
                </c:pt>
                <c:pt idx="38">
                  <c:v>499.76333721999936</c:v>
                </c:pt>
                <c:pt idx="39">
                  <c:v>516.93423619999976</c:v>
                </c:pt>
                <c:pt idx="40">
                  <c:v>537.60255921333419</c:v>
                </c:pt>
                <c:pt idx="41">
                  <c:v>559.44047551083452</c:v>
                </c:pt>
                <c:pt idx="42">
                  <c:v>591.45196241666736</c:v>
                </c:pt>
                <c:pt idx="43">
                  <c:v>603.64728310000055</c:v>
                </c:pt>
                <c:pt idx="44">
                  <c:v>619.12943766166791</c:v>
                </c:pt>
                <c:pt idx="45">
                  <c:v>639.95656529000109</c:v>
                </c:pt>
                <c:pt idx="46">
                  <c:v>665.88445407750146</c:v>
                </c:pt>
                <c:pt idx="47">
                  <c:v>677.69682605500179</c:v>
                </c:pt>
                <c:pt idx="48">
                  <c:v>701.2790299816678</c:v>
                </c:pt>
              </c:numCache>
            </c:numRef>
          </c:val>
        </c:ser>
        <c:marker val="1"/>
        <c:axId val="86655744"/>
        <c:axId val="86851968"/>
      </c:lineChart>
      <c:catAx>
        <c:axId val="86655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851968"/>
        <c:crosses val="autoZero"/>
        <c:auto val="1"/>
        <c:lblAlgn val="ctr"/>
        <c:lblOffset val="100"/>
        <c:tickLblSkip val="12"/>
        <c:tickMarkSkip val="12"/>
      </c:catAx>
      <c:valAx>
        <c:axId val="86851968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65574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[15]Alta_tek!$E$24:$E$72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[15]Alta_tek!$F$24:$F$72</c:f>
              <c:numCache>
                <c:formatCode>General</c:formatCode>
                <c:ptCount val="49"/>
                <c:pt idx="0">
                  <c:v>407.21236813416613</c:v>
                </c:pt>
                <c:pt idx="1">
                  <c:v>415.75937704999927</c:v>
                </c:pt>
                <c:pt idx="2">
                  <c:v>421.83805626583262</c:v>
                </c:pt>
                <c:pt idx="3">
                  <c:v>426.76727063166601</c:v>
                </c:pt>
                <c:pt idx="4">
                  <c:v>429.21534907249958</c:v>
                </c:pt>
                <c:pt idx="5">
                  <c:v>446.13826939833285</c:v>
                </c:pt>
                <c:pt idx="6">
                  <c:v>452.9356662991666</c:v>
                </c:pt>
                <c:pt idx="7">
                  <c:v>465.49656008499989</c:v>
                </c:pt>
                <c:pt idx="8">
                  <c:v>476.88138358083353</c:v>
                </c:pt>
                <c:pt idx="9">
                  <c:v>476.64841424666656</c:v>
                </c:pt>
                <c:pt idx="10">
                  <c:v>487.91369417833317</c:v>
                </c:pt>
                <c:pt idx="11">
                  <c:v>490.50484833999991</c:v>
                </c:pt>
                <c:pt idx="12">
                  <c:v>497.93392687250008</c:v>
                </c:pt>
                <c:pt idx="13">
                  <c:v>503.00429849750026</c:v>
                </c:pt>
                <c:pt idx="14">
                  <c:v>523.98339769916686</c:v>
                </c:pt>
                <c:pt idx="15">
                  <c:v>526.10948166750029</c:v>
                </c:pt>
                <c:pt idx="16">
                  <c:v>523.62644603750016</c:v>
                </c:pt>
                <c:pt idx="17">
                  <c:v>530.41143926583311</c:v>
                </c:pt>
                <c:pt idx="18">
                  <c:v>529.18449558249961</c:v>
                </c:pt>
                <c:pt idx="19">
                  <c:v>524.39183735666654</c:v>
                </c:pt>
                <c:pt idx="20">
                  <c:v>540.82980979749948</c:v>
                </c:pt>
                <c:pt idx="21">
                  <c:v>549.74491650833295</c:v>
                </c:pt>
                <c:pt idx="22">
                  <c:v>548.16232047083304</c:v>
                </c:pt>
                <c:pt idx="23">
                  <c:v>551.53314429833324</c:v>
                </c:pt>
                <c:pt idx="24">
                  <c:v>538.03496142999973</c:v>
                </c:pt>
                <c:pt idx="25">
                  <c:v>539.16404484083375</c:v>
                </c:pt>
                <c:pt idx="26">
                  <c:v>532.51397998000027</c:v>
                </c:pt>
                <c:pt idx="27">
                  <c:v>531.29129518250022</c:v>
                </c:pt>
                <c:pt idx="28">
                  <c:v>551.62152997916701</c:v>
                </c:pt>
                <c:pt idx="29">
                  <c:v>546.17749013500099</c:v>
                </c:pt>
                <c:pt idx="30">
                  <c:v>559.98182787500082</c:v>
                </c:pt>
                <c:pt idx="31">
                  <c:v>562.21175267750095</c:v>
                </c:pt>
                <c:pt idx="32">
                  <c:v>555.23502557833478</c:v>
                </c:pt>
                <c:pt idx="33">
                  <c:v>564.60866371583484</c:v>
                </c:pt>
                <c:pt idx="34">
                  <c:v>584.25553640916803</c:v>
                </c:pt>
                <c:pt idx="35">
                  <c:v>575.48959742083412</c:v>
                </c:pt>
                <c:pt idx="36">
                  <c:v>594.59453582416711</c:v>
                </c:pt>
                <c:pt idx="37">
                  <c:v>593.27856774333361</c:v>
                </c:pt>
                <c:pt idx="38">
                  <c:v>596.10800339250022</c:v>
                </c:pt>
                <c:pt idx="39">
                  <c:v>600.58519318833339</c:v>
                </c:pt>
                <c:pt idx="40">
                  <c:v>623.10932716499985</c:v>
                </c:pt>
                <c:pt idx="41">
                  <c:v>628.90220796999984</c:v>
                </c:pt>
                <c:pt idx="42">
                  <c:v>649.37369406249945</c:v>
                </c:pt>
                <c:pt idx="43">
                  <c:v>668.96153300833305</c:v>
                </c:pt>
                <c:pt idx="44">
                  <c:v>674.6685635991663</c:v>
                </c:pt>
                <c:pt idx="45">
                  <c:v>677.7197439991661</c:v>
                </c:pt>
                <c:pt idx="46">
                  <c:v>680.79914590916621</c:v>
                </c:pt>
                <c:pt idx="47">
                  <c:v>713.20004039916591</c:v>
                </c:pt>
                <c:pt idx="48">
                  <c:v>721.9382023741656</c:v>
                </c:pt>
              </c:numCache>
            </c:numRef>
          </c:val>
        </c:ser>
        <c:marker val="1"/>
        <c:axId val="86902272"/>
        <c:axId val="86903808"/>
      </c:lineChart>
      <c:catAx>
        <c:axId val="86902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903808"/>
        <c:crosses val="autoZero"/>
        <c:auto val="1"/>
        <c:lblAlgn val="ctr"/>
        <c:lblOffset val="100"/>
        <c:tickLblSkip val="12"/>
        <c:tickMarkSkip val="12"/>
      </c:catAx>
      <c:valAx>
        <c:axId val="86903808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90227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[15]Pais1!$E$24:$E$72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[15]Pais1!$F$24:$F$72</c:f>
              <c:numCache>
                <c:formatCode>General</c:formatCode>
                <c:ptCount val="49"/>
                <c:pt idx="0">
                  <c:v>304.46309201916574</c:v>
                </c:pt>
                <c:pt idx="1">
                  <c:v>312.9339198124992</c:v>
                </c:pt>
                <c:pt idx="2">
                  <c:v>316.61522833999936</c:v>
                </c:pt>
                <c:pt idx="3">
                  <c:v>315.80843955916617</c:v>
                </c:pt>
                <c:pt idx="4">
                  <c:v>319.57213816666621</c:v>
                </c:pt>
                <c:pt idx="5">
                  <c:v>330.97161332749943</c:v>
                </c:pt>
                <c:pt idx="6">
                  <c:v>334.24636439833324</c:v>
                </c:pt>
                <c:pt idx="7">
                  <c:v>340.11207670499971</c:v>
                </c:pt>
                <c:pt idx="8">
                  <c:v>349.69709709833336</c:v>
                </c:pt>
                <c:pt idx="9">
                  <c:v>349.98880695083335</c:v>
                </c:pt>
                <c:pt idx="10">
                  <c:v>351.98014086416691</c:v>
                </c:pt>
                <c:pt idx="11">
                  <c:v>351.72062270250052</c:v>
                </c:pt>
                <c:pt idx="12">
                  <c:v>351.15440042333381</c:v>
                </c:pt>
                <c:pt idx="13">
                  <c:v>354.94134151750058</c:v>
                </c:pt>
                <c:pt idx="14">
                  <c:v>355.72066081333338</c:v>
                </c:pt>
                <c:pt idx="15">
                  <c:v>355.77814447916677</c:v>
                </c:pt>
                <c:pt idx="16">
                  <c:v>356.72806626583338</c:v>
                </c:pt>
                <c:pt idx="17">
                  <c:v>352.03138725750023</c:v>
                </c:pt>
                <c:pt idx="18">
                  <c:v>344.78040985999996</c:v>
                </c:pt>
                <c:pt idx="19">
                  <c:v>339.79456982333346</c:v>
                </c:pt>
                <c:pt idx="20">
                  <c:v>333.3820280383332</c:v>
                </c:pt>
                <c:pt idx="21">
                  <c:v>327.72500387999992</c:v>
                </c:pt>
                <c:pt idx="22">
                  <c:v>326.96103067666678</c:v>
                </c:pt>
                <c:pt idx="23">
                  <c:v>324.9406803683334</c:v>
                </c:pt>
                <c:pt idx="24">
                  <c:v>321.48808217666658</c:v>
                </c:pt>
                <c:pt idx="25">
                  <c:v>320.13657507833335</c:v>
                </c:pt>
                <c:pt idx="26">
                  <c:v>320.10793020500017</c:v>
                </c:pt>
                <c:pt idx="27">
                  <c:v>321.62069941250007</c:v>
                </c:pt>
                <c:pt idx="28">
                  <c:v>326.49380637583346</c:v>
                </c:pt>
                <c:pt idx="29">
                  <c:v>329.1904680300002</c:v>
                </c:pt>
                <c:pt idx="30">
                  <c:v>336.21825692333363</c:v>
                </c:pt>
                <c:pt idx="31">
                  <c:v>339.1213948925004</c:v>
                </c:pt>
                <c:pt idx="32">
                  <c:v>342.28787585750047</c:v>
                </c:pt>
                <c:pt idx="33">
                  <c:v>359.30579001250061</c:v>
                </c:pt>
                <c:pt idx="34">
                  <c:v>369.05362511416729</c:v>
                </c:pt>
                <c:pt idx="35">
                  <c:v>376.29247970666705</c:v>
                </c:pt>
                <c:pt idx="36">
                  <c:v>386.95801358250083</c:v>
                </c:pt>
                <c:pt idx="37">
                  <c:v>407.98442705583489</c:v>
                </c:pt>
                <c:pt idx="38">
                  <c:v>418.49388753333477</c:v>
                </c:pt>
                <c:pt idx="39">
                  <c:v>429.7024303400014</c:v>
                </c:pt>
                <c:pt idx="40">
                  <c:v>443.20615414750154</c:v>
                </c:pt>
                <c:pt idx="41">
                  <c:v>473.07456379750221</c:v>
                </c:pt>
                <c:pt idx="42">
                  <c:v>514.010173694169</c:v>
                </c:pt>
                <c:pt idx="43">
                  <c:v>527.80104611583556</c:v>
                </c:pt>
                <c:pt idx="44">
                  <c:v>536.41126456250231</c:v>
                </c:pt>
                <c:pt idx="45">
                  <c:v>540.60739737000233</c:v>
                </c:pt>
                <c:pt idx="46">
                  <c:v>559.2720999816687</c:v>
                </c:pt>
                <c:pt idx="47">
                  <c:v>575.55421812583484</c:v>
                </c:pt>
                <c:pt idx="48">
                  <c:v>598.55344696750115</c:v>
                </c:pt>
              </c:numCache>
            </c:numRef>
          </c:val>
        </c:ser>
        <c:marker val="1"/>
        <c:axId val="87118208"/>
        <c:axId val="87119744"/>
      </c:lineChart>
      <c:catAx>
        <c:axId val="87118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119744"/>
        <c:crosses val="autoZero"/>
        <c:auto val="1"/>
        <c:lblAlgn val="ctr"/>
        <c:lblOffset val="100"/>
        <c:tickLblSkip val="12"/>
        <c:tickMarkSkip val="12"/>
      </c:catAx>
      <c:valAx>
        <c:axId val="87119744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1182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[15]Pais2!$E$24:$E$72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[15]Pais2!$F$24:$F$72</c:f>
              <c:numCache>
                <c:formatCode>General</c:formatCode>
                <c:ptCount val="49"/>
                <c:pt idx="0">
                  <c:v>91.279617054166749</c:v>
                </c:pt>
                <c:pt idx="1">
                  <c:v>93.435844630000091</c:v>
                </c:pt>
                <c:pt idx="2">
                  <c:v>94.034481665833439</c:v>
                </c:pt>
                <c:pt idx="3">
                  <c:v>94.768779571666755</c:v>
                </c:pt>
                <c:pt idx="4">
                  <c:v>94.802430794166739</c:v>
                </c:pt>
                <c:pt idx="5">
                  <c:v>98.367047167500075</c:v>
                </c:pt>
                <c:pt idx="6">
                  <c:v>98.865373124166766</c:v>
                </c:pt>
                <c:pt idx="7">
                  <c:v>96.913330728333392</c:v>
                </c:pt>
                <c:pt idx="8">
                  <c:v>97.675597549166753</c:v>
                </c:pt>
                <c:pt idx="9">
                  <c:v>95.745012895000073</c:v>
                </c:pt>
                <c:pt idx="10">
                  <c:v>93.056462040000056</c:v>
                </c:pt>
                <c:pt idx="11">
                  <c:v>93.845989350000039</c:v>
                </c:pt>
                <c:pt idx="12">
                  <c:v>92.473427422499995</c:v>
                </c:pt>
                <c:pt idx="13">
                  <c:v>91.892090585833316</c:v>
                </c:pt>
                <c:pt idx="14">
                  <c:v>92.883973913333321</c:v>
                </c:pt>
                <c:pt idx="15">
                  <c:v>91.579659411666668</c:v>
                </c:pt>
                <c:pt idx="16">
                  <c:v>89.298613134166644</c:v>
                </c:pt>
                <c:pt idx="17">
                  <c:v>85.435554377499955</c:v>
                </c:pt>
                <c:pt idx="18">
                  <c:v>79.62767802499998</c:v>
                </c:pt>
                <c:pt idx="19">
                  <c:v>77.680766097499983</c:v>
                </c:pt>
                <c:pt idx="20">
                  <c:v>74.735023849999962</c:v>
                </c:pt>
                <c:pt idx="21">
                  <c:v>73.477183166666649</c:v>
                </c:pt>
                <c:pt idx="22">
                  <c:v>72.947535848333317</c:v>
                </c:pt>
                <c:pt idx="23">
                  <c:v>74.236160620833346</c:v>
                </c:pt>
                <c:pt idx="24">
                  <c:v>72.631681218333327</c:v>
                </c:pt>
                <c:pt idx="25">
                  <c:v>72.392592035833346</c:v>
                </c:pt>
                <c:pt idx="26">
                  <c:v>70.526520132500025</c:v>
                </c:pt>
                <c:pt idx="27">
                  <c:v>73.009929453333328</c:v>
                </c:pt>
                <c:pt idx="28">
                  <c:v>79.357017137500023</c:v>
                </c:pt>
                <c:pt idx="29">
                  <c:v>85.939218159999996</c:v>
                </c:pt>
                <c:pt idx="30">
                  <c:v>93.299301968333296</c:v>
                </c:pt>
                <c:pt idx="31">
                  <c:v>101.0320785583333</c:v>
                </c:pt>
                <c:pt idx="32">
                  <c:v>107.34914444666664</c:v>
                </c:pt>
                <c:pt idx="33">
                  <c:v>113.75989245166666</c:v>
                </c:pt>
                <c:pt idx="34">
                  <c:v>121.43138750583334</c:v>
                </c:pt>
                <c:pt idx="35">
                  <c:v>125.84692743500004</c:v>
                </c:pt>
                <c:pt idx="36">
                  <c:v>131.77708382500006</c:v>
                </c:pt>
                <c:pt idx="37">
                  <c:v>140.65366833833335</c:v>
                </c:pt>
                <c:pt idx="38">
                  <c:v>147.5309907491667</c:v>
                </c:pt>
                <c:pt idx="39">
                  <c:v>151.74448595250007</c:v>
                </c:pt>
                <c:pt idx="40">
                  <c:v>156.6013168075001</c:v>
                </c:pt>
                <c:pt idx="41">
                  <c:v>163.59264496916691</c:v>
                </c:pt>
                <c:pt idx="42">
                  <c:v>179.10190338333359</c:v>
                </c:pt>
                <c:pt idx="43">
                  <c:v>188.93938525500027</c:v>
                </c:pt>
                <c:pt idx="44">
                  <c:v>194.67301969250028</c:v>
                </c:pt>
                <c:pt idx="45">
                  <c:v>202.92316523166696</c:v>
                </c:pt>
                <c:pt idx="46">
                  <c:v>221.80796176666686</c:v>
                </c:pt>
                <c:pt idx="47">
                  <c:v>239.377506679167</c:v>
                </c:pt>
                <c:pt idx="48">
                  <c:v>260.96935176333358</c:v>
                </c:pt>
              </c:numCache>
            </c:numRef>
          </c:val>
        </c:ser>
        <c:marker val="1"/>
        <c:axId val="87137280"/>
        <c:axId val="88269568"/>
      </c:lineChart>
      <c:catAx>
        <c:axId val="87137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69568"/>
        <c:crosses val="autoZero"/>
        <c:auto val="1"/>
        <c:lblAlgn val="ctr"/>
        <c:lblOffset val="100"/>
        <c:tickLblSkip val="12"/>
        <c:tickMarkSkip val="12"/>
      </c:catAx>
      <c:valAx>
        <c:axId val="88269568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13728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[15]Pais3!$E$24:$E$72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[15]Pais3!$F$24:$F$72</c:f>
              <c:numCache>
                <c:formatCode>General</c:formatCode>
                <c:ptCount val="49"/>
                <c:pt idx="0">
                  <c:v>78.058007160833299</c:v>
                </c:pt>
                <c:pt idx="1">
                  <c:v>80.356023007499957</c:v>
                </c:pt>
                <c:pt idx="2">
                  <c:v>83.994612023333246</c:v>
                </c:pt>
                <c:pt idx="3">
                  <c:v>86.158757009166607</c:v>
                </c:pt>
                <c:pt idx="4">
                  <c:v>86.731489594999971</c:v>
                </c:pt>
                <c:pt idx="5">
                  <c:v>89.368003406666631</c:v>
                </c:pt>
                <c:pt idx="6">
                  <c:v>91.196514994166662</c:v>
                </c:pt>
                <c:pt idx="7">
                  <c:v>94.851429723333368</c:v>
                </c:pt>
                <c:pt idx="8">
                  <c:v>98.630762911666693</c:v>
                </c:pt>
                <c:pt idx="9">
                  <c:v>98.920612649166671</c:v>
                </c:pt>
                <c:pt idx="10">
                  <c:v>100.870345245</c:v>
                </c:pt>
                <c:pt idx="11">
                  <c:v>104.02688808333328</c:v>
                </c:pt>
                <c:pt idx="12">
                  <c:v>108.9341577675</c:v>
                </c:pt>
                <c:pt idx="13">
                  <c:v>111.81329665250003</c:v>
                </c:pt>
                <c:pt idx="14">
                  <c:v>112.85010229916672</c:v>
                </c:pt>
                <c:pt idx="15">
                  <c:v>113.70508636416673</c:v>
                </c:pt>
                <c:pt idx="16">
                  <c:v>113.54511165416672</c:v>
                </c:pt>
                <c:pt idx="17">
                  <c:v>112.08798124750005</c:v>
                </c:pt>
                <c:pt idx="18">
                  <c:v>110.78793853250001</c:v>
                </c:pt>
                <c:pt idx="19">
                  <c:v>109.02052584083332</c:v>
                </c:pt>
                <c:pt idx="20">
                  <c:v>106.70825967083334</c:v>
                </c:pt>
                <c:pt idx="21">
                  <c:v>104.51094372750002</c:v>
                </c:pt>
                <c:pt idx="22">
                  <c:v>103.12191220500011</c:v>
                </c:pt>
                <c:pt idx="23">
                  <c:v>101.2919916900001</c:v>
                </c:pt>
                <c:pt idx="24">
                  <c:v>97.066552281666745</c:v>
                </c:pt>
                <c:pt idx="25">
                  <c:v>98.182995955000081</c:v>
                </c:pt>
                <c:pt idx="26">
                  <c:v>97.082120467500104</c:v>
                </c:pt>
                <c:pt idx="27">
                  <c:v>97.908852493333441</c:v>
                </c:pt>
                <c:pt idx="28">
                  <c:v>101.88989509666679</c:v>
                </c:pt>
                <c:pt idx="29">
                  <c:v>105.20356637750014</c:v>
                </c:pt>
                <c:pt idx="30">
                  <c:v>108.60814835000015</c:v>
                </c:pt>
                <c:pt idx="31">
                  <c:v>113.71424204666687</c:v>
                </c:pt>
                <c:pt idx="32">
                  <c:v>119.44333249833346</c:v>
                </c:pt>
                <c:pt idx="33">
                  <c:v>127.03428351083342</c:v>
                </c:pt>
                <c:pt idx="34">
                  <c:v>133.52194592333339</c:v>
                </c:pt>
                <c:pt idx="35">
                  <c:v>141.39329050666683</c:v>
                </c:pt>
                <c:pt idx="36">
                  <c:v>149.58843158833346</c:v>
                </c:pt>
                <c:pt idx="37">
                  <c:v>153.82022122833348</c:v>
                </c:pt>
                <c:pt idx="38">
                  <c:v>158.14711102500016</c:v>
                </c:pt>
                <c:pt idx="39">
                  <c:v>161.94596784416674</c:v>
                </c:pt>
                <c:pt idx="40">
                  <c:v>166.19610749833345</c:v>
                </c:pt>
                <c:pt idx="41">
                  <c:v>172.60482185250018</c:v>
                </c:pt>
                <c:pt idx="42">
                  <c:v>185.33663533916686</c:v>
                </c:pt>
                <c:pt idx="43">
                  <c:v>191.25388151750022</c:v>
                </c:pt>
                <c:pt idx="44">
                  <c:v>197.53871672083355</c:v>
                </c:pt>
                <c:pt idx="45">
                  <c:v>201.86704152750022</c:v>
                </c:pt>
                <c:pt idx="46">
                  <c:v>208.36004752916699</c:v>
                </c:pt>
                <c:pt idx="47">
                  <c:v>215.66030798416682</c:v>
                </c:pt>
                <c:pt idx="48">
                  <c:v>223.8701952800003</c:v>
                </c:pt>
              </c:numCache>
            </c:numRef>
          </c:val>
        </c:ser>
        <c:marker val="1"/>
        <c:axId val="88271488"/>
        <c:axId val="88273280"/>
      </c:lineChart>
      <c:catAx>
        <c:axId val="88271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73280"/>
        <c:crosses val="autoZero"/>
        <c:auto val="1"/>
        <c:lblAlgn val="ctr"/>
        <c:lblOffset val="100"/>
        <c:tickLblSkip val="12"/>
        <c:tickMarkSkip val="12"/>
      </c:catAx>
      <c:valAx>
        <c:axId val="88273280"/>
        <c:scaling>
          <c:orientation val="minMax"/>
          <c:max val="2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714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[15]Pais4!$E$24:$E$72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[15]Pais4!$F$24:$F$72</c:f>
              <c:numCache>
                <c:formatCode>General</c:formatCode>
                <c:ptCount val="49"/>
                <c:pt idx="0">
                  <c:v>83.280119561666709</c:v>
                </c:pt>
                <c:pt idx="1">
                  <c:v>82.055186277500013</c:v>
                </c:pt>
                <c:pt idx="2">
                  <c:v>84.311942880833328</c:v>
                </c:pt>
                <c:pt idx="3">
                  <c:v>79.782511964166645</c:v>
                </c:pt>
                <c:pt idx="4">
                  <c:v>78.465914168333299</c:v>
                </c:pt>
                <c:pt idx="5">
                  <c:v>78.024885872499979</c:v>
                </c:pt>
                <c:pt idx="6">
                  <c:v>76.585612319166643</c:v>
                </c:pt>
                <c:pt idx="7">
                  <c:v>79.950033521666654</c:v>
                </c:pt>
                <c:pt idx="8">
                  <c:v>80.581819585833316</c:v>
                </c:pt>
                <c:pt idx="9">
                  <c:v>85.8169887108333</c:v>
                </c:pt>
                <c:pt idx="10">
                  <c:v>85.978968886666621</c:v>
                </c:pt>
                <c:pt idx="11">
                  <c:v>84.157302770833283</c:v>
                </c:pt>
                <c:pt idx="12">
                  <c:v>80.29409957833326</c:v>
                </c:pt>
                <c:pt idx="13">
                  <c:v>79.778622040833298</c:v>
                </c:pt>
                <c:pt idx="14">
                  <c:v>77.266641381666645</c:v>
                </c:pt>
                <c:pt idx="15">
                  <c:v>80.596752348333325</c:v>
                </c:pt>
                <c:pt idx="16">
                  <c:v>83.205848108333285</c:v>
                </c:pt>
                <c:pt idx="17">
                  <c:v>82.652263418333305</c:v>
                </c:pt>
                <c:pt idx="18">
                  <c:v>82.122681517499998</c:v>
                </c:pt>
                <c:pt idx="19">
                  <c:v>80.342326788333295</c:v>
                </c:pt>
                <c:pt idx="20">
                  <c:v>81.418849500833304</c:v>
                </c:pt>
                <c:pt idx="21">
                  <c:v>76.080557766666658</c:v>
                </c:pt>
                <c:pt idx="22">
                  <c:v>72.951270123333316</c:v>
                </c:pt>
                <c:pt idx="23">
                  <c:v>71.526291714999971</c:v>
                </c:pt>
                <c:pt idx="24">
                  <c:v>71.286146210833323</c:v>
                </c:pt>
                <c:pt idx="25">
                  <c:v>69.411983321666654</c:v>
                </c:pt>
                <c:pt idx="26">
                  <c:v>67.988808959999986</c:v>
                </c:pt>
                <c:pt idx="27">
                  <c:v>63.315062850833279</c:v>
                </c:pt>
                <c:pt idx="28">
                  <c:v>62.402437743333337</c:v>
                </c:pt>
                <c:pt idx="29">
                  <c:v>62.619014565833346</c:v>
                </c:pt>
                <c:pt idx="30">
                  <c:v>63.79107577416665</c:v>
                </c:pt>
                <c:pt idx="31">
                  <c:v>64.048084387499998</c:v>
                </c:pt>
                <c:pt idx="32">
                  <c:v>62.574637084166689</c:v>
                </c:pt>
                <c:pt idx="33">
                  <c:v>65.03886086</c:v>
                </c:pt>
                <c:pt idx="34">
                  <c:v>67.785553770833317</c:v>
                </c:pt>
                <c:pt idx="35">
                  <c:v>69.669394058333282</c:v>
                </c:pt>
                <c:pt idx="36">
                  <c:v>70.135036880833283</c:v>
                </c:pt>
                <c:pt idx="37">
                  <c:v>71.574962658333291</c:v>
                </c:pt>
                <c:pt idx="38">
                  <c:v>73.637805949999986</c:v>
                </c:pt>
                <c:pt idx="39">
                  <c:v>75.692673034166631</c:v>
                </c:pt>
                <c:pt idx="40">
                  <c:v>74.848398260833292</c:v>
                </c:pt>
                <c:pt idx="41">
                  <c:v>76.083223141666636</c:v>
                </c:pt>
                <c:pt idx="42">
                  <c:v>77.636490446666613</c:v>
                </c:pt>
                <c:pt idx="43">
                  <c:v>77.66508792166664</c:v>
                </c:pt>
                <c:pt idx="44">
                  <c:v>79.039237392499999</c:v>
                </c:pt>
                <c:pt idx="45">
                  <c:v>78.519465890833331</c:v>
                </c:pt>
                <c:pt idx="46">
                  <c:v>77.702193466666714</c:v>
                </c:pt>
                <c:pt idx="47">
                  <c:v>77.015525953333409</c:v>
                </c:pt>
                <c:pt idx="48">
                  <c:v>78.186566747500052</c:v>
                </c:pt>
              </c:numCache>
            </c:numRef>
          </c:val>
        </c:ser>
        <c:marker val="1"/>
        <c:axId val="88568576"/>
        <c:axId val="88570112"/>
      </c:lineChart>
      <c:catAx>
        <c:axId val="8856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570112"/>
        <c:crosses val="autoZero"/>
        <c:auto val="1"/>
        <c:lblAlgn val="ctr"/>
        <c:lblOffset val="100"/>
        <c:tickLblSkip val="12"/>
        <c:tickMarkSkip val="12"/>
      </c:catAx>
      <c:valAx>
        <c:axId val="88570112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5685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[15]Pais5!$E$24:$E$72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[15]Pais5!$F$24:$F$72</c:f>
              <c:numCache>
                <c:formatCode>General</c:formatCode>
                <c:ptCount val="49"/>
                <c:pt idx="0">
                  <c:v>39.460032181666669</c:v>
                </c:pt>
                <c:pt idx="1">
                  <c:v>38.614335614166663</c:v>
                </c:pt>
                <c:pt idx="2">
                  <c:v>39.147204689166671</c:v>
                </c:pt>
                <c:pt idx="3">
                  <c:v>40.105219527500012</c:v>
                </c:pt>
                <c:pt idx="4">
                  <c:v>40.885402650000017</c:v>
                </c:pt>
                <c:pt idx="5">
                  <c:v>43.260239520000006</c:v>
                </c:pt>
                <c:pt idx="6">
                  <c:v>47.530323236666696</c:v>
                </c:pt>
                <c:pt idx="7">
                  <c:v>48.562629949166706</c:v>
                </c:pt>
                <c:pt idx="8">
                  <c:v>49.324651929166713</c:v>
                </c:pt>
                <c:pt idx="9">
                  <c:v>48.374825852500017</c:v>
                </c:pt>
                <c:pt idx="10">
                  <c:v>51.791682795833367</c:v>
                </c:pt>
                <c:pt idx="11">
                  <c:v>52.24012897583335</c:v>
                </c:pt>
                <c:pt idx="12">
                  <c:v>56.012514226666703</c:v>
                </c:pt>
                <c:pt idx="13">
                  <c:v>56.427148755000026</c:v>
                </c:pt>
                <c:pt idx="14">
                  <c:v>56.91999309166669</c:v>
                </c:pt>
                <c:pt idx="15">
                  <c:v>56.312125363333344</c:v>
                </c:pt>
                <c:pt idx="16">
                  <c:v>55.380076637500004</c:v>
                </c:pt>
                <c:pt idx="17">
                  <c:v>53.917667687500007</c:v>
                </c:pt>
                <c:pt idx="18">
                  <c:v>50.068127644166644</c:v>
                </c:pt>
                <c:pt idx="19">
                  <c:v>49.244126375833304</c:v>
                </c:pt>
                <c:pt idx="20">
                  <c:v>48.447113450833292</c:v>
                </c:pt>
                <c:pt idx="21">
                  <c:v>48.341758004166643</c:v>
                </c:pt>
                <c:pt idx="22">
                  <c:v>44.710403694166644</c:v>
                </c:pt>
                <c:pt idx="23">
                  <c:v>47.90960065499997</c:v>
                </c:pt>
                <c:pt idx="24">
                  <c:v>44.057779269999976</c:v>
                </c:pt>
                <c:pt idx="25">
                  <c:v>44.547287956666651</c:v>
                </c:pt>
                <c:pt idx="26">
                  <c:v>44.425481353333318</c:v>
                </c:pt>
                <c:pt idx="27">
                  <c:v>49.279371994166645</c:v>
                </c:pt>
                <c:pt idx="28">
                  <c:v>55.033160605000006</c:v>
                </c:pt>
                <c:pt idx="29">
                  <c:v>55.593348081666669</c:v>
                </c:pt>
                <c:pt idx="30">
                  <c:v>56.232214746666706</c:v>
                </c:pt>
                <c:pt idx="31">
                  <c:v>57.345756594166716</c:v>
                </c:pt>
                <c:pt idx="32">
                  <c:v>58.23411854750006</c:v>
                </c:pt>
                <c:pt idx="33">
                  <c:v>58.766111830000057</c:v>
                </c:pt>
                <c:pt idx="34">
                  <c:v>60.451189672500043</c:v>
                </c:pt>
                <c:pt idx="35">
                  <c:v>57.366885135000054</c:v>
                </c:pt>
                <c:pt idx="36">
                  <c:v>58.904810800000043</c:v>
                </c:pt>
                <c:pt idx="37">
                  <c:v>60.8588771741667</c:v>
                </c:pt>
                <c:pt idx="38">
                  <c:v>61.560355245833364</c:v>
                </c:pt>
                <c:pt idx="39">
                  <c:v>59.726141107500041</c:v>
                </c:pt>
                <c:pt idx="40">
                  <c:v>56.839206722500016</c:v>
                </c:pt>
                <c:pt idx="41">
                  <c:v>58.197212753333339</c:v>
                </c:pt>
                <c:pt idx="42">
                  <c:v>60.23647279916667</c:v>
                </c:pt>
                <c:pt idx="43">
                  <c:v>62.287085368333294</c:v>
                </c:pt>
                <c:pt idx="44">
                  <c:v>63.59510261749994</c:v>
                </c:pt>
                <c:pt idx="45">
                  <c:v>64.787370785833289</c:v>
                </c:pt>
                <c:pt idx="46">
                  <c:v>65.894333999999958</c:v>
                </c:pt>
                <c:pt idx="47">
                  <c:v>68.022796237499961</c:v>
                </c:pt>
                <c:pt idx="48">
                  <c:v>70.439528012499991</c:v>
                </c:pt>
              </c:numCache>
            </c:numRef>
          </c:val>
        </c:ser>
        <c:marker val="1"/>
        <c:axId val="88604032"/>
        <c:axId val="88716416"/>
      </c:lineChart>
      <c:catAx>
        <c:axId val="88604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16416"/>
        <c:crosses val="autoZero"/>
        <c:auto val="1"/>
        <c:lblAlgn val="ctr"/>
        <c:lblOffset val="100"/>
        <c:tickLblSkip val="12"/>
        <c:tickMarkSkip val="12"/>
      </c:catAx>
      <c:valAx>
        <c:axId val="88716416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6040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381001</xdr:colOff>
      <xdr:row>7</xdr:row>
      <xdr:rowOff>0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12001501" cy="1411941"/>
        </a:xfrm>
        <a:prstGeom prst="rect">
          <a:avLst/>
        </a:prstGeom>
      </xdr:spPr>
    </xdr:pic>
    <xdr:clientData/>
  </xdr:twoCellAnchor>
  <xdr:twoCellAnchor>
    <xdr:from>
      <xdr:col>7</xdr:col>
      <xdr:colOff>33619</xdr:colOff>
      <xdr:row>2</xdr:row>
      <xdr:rowOff>11207</xdr:rowOff>
    </xdr:from>
    <xdr:to>
      <xdr:col>14</xdr:col>
      <xdr:colOff>414621</xdr:colOff>
      <xdr:row>6</xdr:row>
      <xdr:rowOff>112061</xdr:rowOff>
    </xdr:to>
    <xdr:sp macro="" textlink="">
      <xdr:nvSpPr>
        <xdr:cNvPr id="8" name="3 CuadroTexto"/>
        <xdr:cNvSpPr txBox="1"/>
      </xdr:nvSpPr>
      <xdr:spPr>
        <a:xfrm>
          <a:off x="4594413" y="414619"/>
          <a:ext cx="5322796" cy="90767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-1,2%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-466,8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-49,7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259,3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130,8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-10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323850</xdr:colOff>
      <xdr:row>15</xdr:row>
      <xdr:rowOff>190500</xdr:rowOff>
    </xdr:from>
    <xdr:to>
      <xdr:col>3</xdr:col>
      <xdr:colOff>476250</xdr:colOff>
      <xdr:row>19</xdr:row>
      <xdr:rowOff>0</xdr:rowOff>
    </xdr:to>
    <xdr:sp macro="" textlink="">
      <xdr:nvSpPr>
        <xdr:cNvPr id="20" name="19 CuadroTexto"/>
        <xdr:cNvSpPr txBox="1"/>
      </xdr:nvSpPr>
      <xdr:spPr>
        <a:xfrm>
          <a:off x="2686050" y="3143250"/>
          <a:ext cx="847725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</a:t>
          </a:r>
        </a:p>
        <a:p>
          <a:r>
            <a:rPr lang="es-ES" sz="1200" b="0">
              <a:solidFill>
                <a:srgbClr val="53722D"/>
              </a:solidFill>
            </a:rPr>
            <a:t>Bretaña:</a:t>
          </a:r>
        </a:p>
        <a:p>
          <a:r>
            <a:rPr lang="es-ES" sz="1200" b="0" baseline="0">
              <a:solidFill>
                <a:srgbClr val="53722D"/>
              </a:solidFill>
            </a:rPr>
            <a:t> -70,6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14283</xdr:colOff>
      <xdr:row>4</xdr:row>
      <xdr:rowOff>85724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19050"/>
          <a:ext cx="7367583" cy="866774"/>
        </a:xfrm>
        <a:prstGeom prst="rect">
          <a:avLst/>
        </a:prstGeom>
      </xdr:spPr>
    </xdr:pic>
    <xdr:clientData/>
  </xdr:twoCellAnchor>
  <xdr:twoCellAnchor>
    <xdr:from>
      <xdr:col>2</xdr:col>
      <xdr:colOff>479613</xdr:colOff>
      <xdr:row>0</xdr:row>
      <xdr:rowOff>180975</xdr:rowOff>
    </xdr:from>
    <xdr:to>
      <xdr:col>6</xdr:col>
      <xdr:colOff>533401</xdr:colOff>
      <xdr:row>3</xdr:row>
      <xdr:rowOff>171450</xdr:rowOff>
    </xdr:to>
    <xdr:sp macro="" textlink="">
      <xdr:nvSpPr>
        <xdr:cNvPr id="22" name="3 CuadroTexto"/>
        <xdr:cNvSpPr txBox="1"/>
      </xdr:nvSpPr>
      <xdr:spPr>
        <a:xfrm>
          <a:off x="2841813" y="180975"/>
          <a:ext cx="2835088" cy="590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34250" cy="862853"/>
        </a:xfrm>
        <a:prstGeom prst="rect">
          <a:avLst/>
        </a:prstGeom>
      </xdr:spPr>
    </xdr:pic>
    <xdr:clientData/>
  </xdr:twoCellAnchor>
  <xdr:twoCellAnchor>
    <xdr:from>
      <xdr:col>3</xdr:col>
      <xdr:colOff>146237</xdr:colOff>
      <xdr:row>1</xdr:row>
      <xdr:rowOff>62195</xdr:rowOff>
    </xdr:from>
    <xdr:to>
      <xdr:col>7</xdr:col>
      <xdr:colOff>442373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4886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5747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429500" cy="862853"/>
        </a:xfrm>
        <a:prstGeom prst="rect">
          <a:avLst/>
        </a:prstGeom>
      </xdr:spPr>
    </xdr:pic>
    <xdr:clientData/>
  </xdr:twoCellAnchor>
  <xdr:twoCellAnchor>
    <xdr:from>
      <xdr:col>3</xdr:col>
      <xdr:colOff>155762</xdr:colOff>
      <xdr:row>1</xdr:row>
      <xdr:rowOff>62195</xdr:rowOff>
    </xdr:from>
    <xdr:to>
      <xdr:col>7</xdr:col>
      <xdr:colOff>461423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4886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9525" y="0"/>
          <a:ext cx="7334250" cy="862853"/>
        </a:xfrm>
        <a:prstGeom prst="rect">
          <a:avLst/>
        </a:prstGeom>
      </xdr:spPr>
    </xdr:pic>
    <xdr:clientData/>
  </xdr:twoCellAnchor>
  <xdr:twoCellAnchor>
    <xdr:from>
      <xdr:col>3</xdr:col>
      <xdr:colOff>146237</xdr:colOff>
      <xdr:row>1</xdr:row>
      <xdr:rowOff>62195</xdr:rowOff>
    </xdr:from>
    <xdr:to>
      <xdr:col>8</xdr:col>
      <xdr:colOff>23273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65612" y="262220"/>
          <a:ext cx="304886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91400" cy="862853"/>
        </a:xfrm>
        <a:prstGeom prst="rect">
          <a:avLst/>
        </a:prstGeom>
      </xdr:spPr>
    </xdr:pic>
    <xdr:clientData/>
  </xdr:twoCellAnchor>
  <xdr:twoCellAnchor>
    <xdr:from>
      <xdr:col>3</xdr:col>
      <xdr:colOff>184337</xdr:colOff>
      <xdr:row>1</xdr:row>
      <xdr:rowOff>62195</xdr:rowOff>
    </xdr:from>
    <xdr:to>
      <xdr:col>7</xdr:col>
      <xdr:colOff>466130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72618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431987</xdr:colOff>
      <xdr:row>1</xdr:row>
      <xdr:rowOff>62195</xdr:rowOff>
    </xdr:from>
    <xdr:to>
      <xdr:col>7</xdr:col>
      <xdr:colOff>594773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4886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91400" cy="862853"/>
        </a:xfrm>
        <a:prstGeom prst="rect">
          <a:avLst/>
        </a:prstGeom>
      </xdr:spPr>
    </xdr:pic>
    <xdr:clientData/>
  </xdr:twoCellAnchor>
  <xdr:twoCellAnchor>
    <xdr:from>
      <xdr:col>3</xdr:col>
      <xdr:colOff>431987</xdr:colOff>
      <xdr:row>1</xdr:row>
      <xdr:rowOff>62195</xdr:rowOff>
    </xdr:from>
    <xdr:to>
      <xdr:col>8</xdr:col>
      <xdr:colOff>18455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72618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431987</xdr:colOff>
      <xdr:row>1</xdr:row>
      <xdr:rowOff>62195</xdr:rowOff>
    </xdr:from>
    <xdr:to>
      <xdr:col>7</xdr:col>
      <xdr:colOff>568552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50" cy="862853"/>
        </a:xfrm>
        <a:prstGeom prst="rect">
          <a:avLst/>
        </a:prstGeom>
      </xdr:spPr>
    </xdr:pic>
    <xdr:clientData/>
  </xdr:twoCellAnchor>
  <xdr:twoCellAnchor>
    <xdr:from>
      <xdr:col>3</xdr:col>
      <xdr:colOff>431987</xdr:colOff>
      <xdr:row>1</xdr:row>
      <xdr:rowOff>62195</xdr:rowOff>
    </xdr:from>
    <xdr:to>
      <xdr:col>7</xdr:col>
      <xdr:colOff>572511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469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422462</xdr:colOff>
      <xdr:row>1</xdr:row>
      <xdr:rowOff>62195</xdr:rowOff>
    </xdr:from>
    <xdr:to>
      <xdr:col>7</xdr:col>
      <xdr:colOff>575723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4886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431987</xdr:colOff>
      <xdr:row>1</xdr:row>
      <xdr:rowOff>62195</xdr:rowOff>
    </xdr:from>
    <xdr:to>
      <xdr:col>7</xdr:col>
      <xdr:colOff>568552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53300" cy="862853"/>
        </a:xfrm>
        <a:prstGeom prst="rect">
          <a:avLst/>
        </a:prstGeom>
      </xdr:spPr>
    </xdr:pic>
    <xdr:clientData/>
  </xdr:twoCellAnchor>
  <xdr:twoCellAnchor>
    <xdr:from>
      <xdr:col>3</xdr:col>
      <xdr:colOff>431987</xdr:colOff>
      <xdr:row>1</xdr:row>
      <xdr:rowOff>62195</xdr:rowOff>
    </xdr:from>
    <xdr:to>
      <xdr:col>7</xdr:col>
      <xdr:colOff>564592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5678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58100" cy="862853"/>
        </a:xfrm>
        <a:prstGeom prst="rect">
          <a:avLst/>
        </a:prstGeom>
      </xdr:spPr>
    </xdr:pic>
    <xdr:clientData/>
  </xdr:twoCellAnchor>
  <xdr:twoCellAnchor>
    <xdr:from>
      <xdr:col>2</xdr:col>
      <xdr:colOff>736787</xdr:colOff>
      <xdr:row>1</xdr:row>
      <xdr:rowOff>62195</xdr:rowOff>
    </xdr:from>
    <xdr:to>
      <xdr:col>7</xdr:col>
      <xdr:colOff>405548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183486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734300" cy="862853"/>
        </a:xfrm>
        <a:prstGeom prst="rect">
          <a:avLst/>
        </a:prstGeom>
      </xdr:spPr>
    </xdr:pic>
    <xdr:clientData/>
  </xdr:twoCellAnchor>
  <xdr:twoCellAnchor>
    <xdr:from>
      <xdr:col>2</xdr:col>
      <xdr:colOff>736787</xdr:colOff>
      <xdr:row>1</xdr:row>
      <xdr:rowOff>62195</xdr:rowOff>
    </xdr:from>
    <xdr:to>
      <xdr:col>7</xdr:col>
      <xdr:colOff>322925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215163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00950" cy="862853"/>
        </a:xfrm>
        <a:prstGeom prst="rect">
          <a:avLst/>
        </a:prstGeom>
      </xdr:spPr>
    </xdr:pic>
    <xdr:clientData/>
  </xdr:twoCellAnchor>
  <xdr:twoCellAnchor>
    <xdr:from>
      <xdr:col>2</xdr:col>
      <xdr:colOff>736787</xdr:colOff>
      <xdr:row>1</xdr:row>
      <xdr:rowOff>62195</xdr:rowOff>
    </xdr:from>
    <xdr:to>
      <xdr:col>7</xdr:col>
      <xdr:colOff>381791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15972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48574" cy="862853"/>
        </a:xfrm>
        <a:prstGeom prst="rect">
          <a:avLst/>
        </a:prstGeom>
      </xdr:spPr>
    </xdr:pic>
    <xdr:clientData/>
  </xdr:twoCellAnchor>
  <xdr:twoCellAnchor>
    <xdr:from>
      <xdr:col>2</xdr:col>
      <xdr:colOff>679637</xdr:colOff>
      <xdr:row>1</xdr:row>
      <xdr:rowOff>62195</xdr:rowOff>
    </xdr:from>
    <xdr:to>
      <xdr:col>7</xdr:col>
      <xdr:colOff>344438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179526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620000" cy="862853"/>
        </a:xfrm>
        <a:prstGeom prst="rect">
          <a:avLst/>
        </a:prstGeom>
      </xdr:spPr>
    </xdr:pic>
    <xdr:clientData/>
  </xdr:twoCellAnchor>
  <xdr:twoCellAnchor>
    <xdr:from>
      <xdr:col>2</xdr:col>
      <xdr:colOff>708212</xdr:colOff>
      <xdr:row>1</xdr:row>
      <xdr:rowOff>62195</xdr:rowOff>
    </xdr:from>
    <xdr:to>
      <xdr:col>7</xdr:col>
      <xdr:colOff>361135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167648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43774" cy="862853"/>
        </a:xfrm>
        <a:prstGeom prst="rect">
          <a:avLst/>
        </a:prstGeom>
      </xdr:spPr>
    </xdr:pic>
    <xdr:clientData/>
  </xdr:twoCellAnchor>
  <xdr:twoCellAnchor>
    <xdr:from>
      <xdr:col>3</xdr:col>
      <xdr:colOff>184337</xdr:colOff>
      <xdr:row>1</xdr:row>
      <xdr:rowOff>62195</xdr:rowOff>
    </xdr:from>
    <xdr:to>
      <xdr:col>8</xdr:col>
      <xdr:colOff>13748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4886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53300" cy="862853"/>
        </a:xfrm>
        <a:prstGeom prst="rect">
          <a:avLst/>
        </a:prstGeom>
      </xdr:spPr>
    </xdr:pic>
    <xdr:clientData/>
  </xdr:twoCellAnchor>
  <xdr:twoCellAnchor>
    <xdr:from>
      <xdr:col>2</xdr:col>
      <xdr:colOff>727262</xdr:colOff>
      <xdr:row>1</xdr:row>
      <xdr:rowOff>62195</xdr:rowOff>
    </xdr:from>
    <xdr:to>
      <xdr:col>7</xdr:col>
      <xdr:colOff>326467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5678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562850" cy="862853"/>
        </a:xfrm>
        <a:prstGeom prst="rect">
          <a:avLst/>
        </a:prstGeom>
      </xdr:spPr>
    </xdr:pic>
    <xdr:clientData/>
  </xdr:twoCellAnchor>
  <xdr:twoCellAnchor>
    <xdr:from>
      <xdr:col>2</xdr:col>
      <xdr:colOff>451037</xdr:colOff>
      <xdr:row>1</xdr:row>
      <xdr:rowOff>62195</xdr:rowOff>
    </xdr:from>
    <xdr:to>
      <xdr:col>7</xdr:col>
      <xdr:colOff>156402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14389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50" cy="862853"/>
        </a:xfrm>
        <a:prstGeom prst="rect">
          <a:avLst/>
        </a:prstGeom>
      </xdr:spPr>
    </xdr:pic>
    <xdr:clientData/>
  </xdr:twoCellAnchor>
  <xdr:twoCellAnchor>
    <xdr:from>
      <xdr:col>2</xdr:col>
      <xdr:colOff>727262</xdr:colOff>
      <xdr:row>1</xdr:row>
      <xdr:rowOff>62195</xdr:rowOff>
    </xdr:from>
    <xdr:to>
      <xdr:col>7</xdr:col>
      <xdr:colOff>315336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469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130402</xdr:colOff>
      <xdr:row>4</xdr:row>
      <xdr:rowOff>1035</xdr:rowOff>
    </xdr:to>
    <xdr:sp macro="" textlink="">
      <xdr:nvSpPr>
        <xdr:cNvPr id="14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50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134361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469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130402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130402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130402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130402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53300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126442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5678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8187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138321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865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53300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126442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5678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130402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50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134361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469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62753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72350" cy="862853"/>
        </a:xfrm>
        <a:prstGeom prst="rect">
          <a:avLst/>
        </a:prstGeom>
      </xdr:spPr>
    </xdr:pic>
    <xdr:clientData/>
  </xdr:twoCellAnchor>
  <xdr:twoCellAnchor>
    <xdr:from>
      <xdr:col>4</xdr:col>
      <xdr:colOff>79562</xdr:colOff>
      <xdr:row>1</xdr:row>
      <xdr:rowOff>62195</xdr:rowOff>
    </xdr:from>
    <xdr:to>
      <xdr:col>8</xdr:col>
      <xdr:colOff>134361</xdr:colOff>
      <xdr:row>4</xdr:row>
      <xdr:rowOff>1035</xdr:rowOff>
    </xdr:to>
    <xdr:sp macro="" textlink="">
      <xdr:nvSpPr>
        <xdr:cNvPr id="9" name="3 CuadroTexto"/>
        <xdr:cNvSpPr txBox="1"/>
      </xdr:nvSpPr>
      <xdr:spPr>
        <a:xfrm>
          <a:off x="2756087" y="262220"/>
          <a:ext cx="306469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451037</xdr:colOff>
      <xdr:row>1</xdr:row>
      <xdr:rowOff>62195</xdr:rowOff>
    </xdr:from>
    <xdr:to>
      <xdr:col>7</xdr:col>
      <xdr:colOff>625702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5" cy="862853"/>
        </a:xfrm>
        <a:prstGeom prst="rect">
          <a:avLst/>
        </a:prstGeom>
      </xdr:spPr>
    </xdr:pic>
    <xdr:clientData/>
  </xdr:twoCellAnchor>
  <xdr:twoCellAnchor>
    <xdr:from>
      <xdr:col>3</xdr:col>
      <xdr:colOff>451037</xdr:colOff>
      <xdr:row>1</xdr:row>
      <xdr:rowOff>62195</xdr:rowOff>
    </xdr:from>
    <xdr:to>
      <xdr:col>7</xdr:col>
      <xdr:colOff>643146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8659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479612</xdr:colOff>
      <xdr:row>1</xdr:row>
      <xdr:rowOff>62195</xdr:rowOff>
    </xdr:from>
    <xdr:to>
      <xdr:col>7</xdr:col>
      <xdr:colOff>654277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460562</xdr:colOff>
      <xdr:row>1</xdr:row>
      <xdr:rowOff>62195</xdr:rowOff>
    </xdr:from>
    <xdr:to>
      <xdr:col>7</xdr:col>
      <xdr:colOff>617783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52821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451037</xdr:colOff>
      <xdr:row>1</xdr:row>
      <xdr:rowOff>62195</xdr:rowOff>
    </xdr:from>
    <xdr:to>
      <xdr:col>7</xdr:col>
      <xdr:colOff>616177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53300" cy="862853"/>
        </a:xfrm>
        <a:prstGeom prst="rect">
          <a:avLst/>
        </a:prstGeom>
      </xdr:spPr>
    </xdr:pic>
    <xdr:clientData/>
  </xdr:twoCellAnchor>
  <xdr:twoCellAnchor>
    <xdr:from>
      <xdr:col>3</xdr:col>
      <xdr:colOff>460562</xdr:colOff>
      <xdr:row>1</xdr:row>
      <xdr:rowOff>62195</xdr:rowOff>
    </xdr:from>
    <xdr:to>
      <xdr:col>7</xdr:col>
      <xdr:colOff>621742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5678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62753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=""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7362824" cy="862853"/>
        </a:xfrm>
        <a:prstGeom prst="rect">
          <a:avLst/>
        </a:prstGeom>
      </xdr:spPr>
    </xdr:pic>
    <xdr:clientData/>
  </xdr:twoCellAnchor>
  <xdr:twoCellAnchor>
    <xdr:from>
      <xdr:col>3</xdr:col>
      <xdr:colOff>460562</xdr:colOff>
      <xdr:row>1</xdr:row>
      <xdr:rowOff>62195</xdr:rowOff>
    </xdr:from>
    <xdr:to>
      <xdr:col>7</xdr:col>
      <xdr:colOff>635227</xdr:colOff>
      <xdr:row>4</xdr:row>
      <xdr:rowOff>1035</xdr:rowOff>
    </xdr:to>
    <xdr:sp macro="" textlink="">
      <xdr:nvSpPr>
        <xdr:cNvPr id="8" name="3 CuadroTexto"/>
        <xdr:cNvSpPr txBox="1"/>
      </xdr:nvSpPr>
      <xdr:spPr>
        <a:xfrm>
          <a:off x="2756087" y="262220"/>
          <a:ext cx="3060740" cy="5389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enero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impo_corrido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orige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primario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manufactura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rec_na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baja_tek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media_tek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alta_tek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Historic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princ_paise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Deptos_destin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_impo"/>
      <sheetName val="resumen_ciiu"/>
      <sheetName val="cuode"/>
      <sheetName val="resumen_tecnologia"/>
      <sheetName val="Disminuyeron"/>
      <sheetName val="Aumentaron"/>
      <sheetName val="ciiu_desagregado"/>
      <sheetName val="capitulos"/>
      <sheetName val="Subpartida"/>
      <sheetName val="Princ_paises_impo"/>
      <sheetName val="Subpartida_Pais1"/>
      <sheetName val="Subpartida_pais2"/>
      <sheetName val="Subpartida_pais3"/>
      <sheetName val="Subpartida_pais4"/>
      <sheetName val="Subpartida_pais5"/>
    </sheetNames>
    <sheetDataSet>
      <sheetData sheetId="0">
        <row r="2">
          <cell r="A2">
            <v>16196.148383640118</v>
          </cell>
          <cell r="B2">
            <v>23038.904279779941</v>
          </cell>
          <cell r="C2">
            <v>1755.104618940001</v>
          </cell>
          <cell r="D2">
            <v>2635.0607067600013</v>
          </cell>
        </row>
      </sheetData>
      <sheetData sheetId="1">
        <row r="2">
          <cell r="A2" t="str">
            <v>Productos químicos</v>
          </cell>
          <cell r="B2">
            <v>2742.2591353300331</v>
          </cell>
          <cell r="C2">
            <v>3222.6243551999887</v>
          </cell>
          <cell r="D2">
            <v>272.64417519000017</v>
          </cell>
          <cell r="E2">
            <v>317.69908119000024</v>
          </cell>
        </row>
        <row r="3">
          <cell r="A3" t="str">
            <v>Vehículos automotores</v>
          </cell>
          <cell r="B3">
            <v>1548.5719187300242</v>
          </cell>
          <cell r="C3">
            <v>2995.4643144099832</v>
          </cell>
          <cell r="D3">
            <v>204.12505373000107</v>
          </cell>
          <cell r="E3">
            <v>380.84883988000234</v>
          </cell>
        </row>
        <row r="4">
          <cell r="A4" t="str">
            <v>Equipos de transporte</v>
          </cell>
          <cell r="B4">
            <v>1980.8414367799996</v>
          </cell>
          <cell r="C4">
            <v>2750.6237202599964</v>
          </cell>
          <cell r="D4">
            <v>180.91700156999988</v>
          </cell>
          <cell r="E4">
            <v>194.92312416000016</v>
          </cell>
        </row>
        <row r="5">
          <cell r="A5" t="str">
            <v>Maquinaria y equipo</v>
          </cell>
          <cell r="B5">
            <v>1756.7698112300445</v>
          </cell>
          <cell r="C5">
            <v>2438.3305887899583</v>
          </cell>
          <cell r="D5">
            <v>230.16523317999983</v>
          </cell>
          <cell r="E5">
            <v>274.10431349999948</v>
          </cell>
        </row>
        <row r="6">
          <cell r="A6" t="str">
            <v>Equipo de radio</v>
          </cell>
          <cell r="B6">
            <v>1684.4235624600178</v>
          </cell>
          <cell r="C6">
            <v>2045.1518745300057</v>
          </cell>
          <cell r="D6">
            <v>194.90066587999993</v>
          </cell>
          <cell r="E6">
            <v>271.90726780999944</v>
          </cell>
        </row>
      </sheetData>
      <sheetData sheetId="2">
        <row r="2">
          <cell r="C2">
            <v>28256903.379999988</v>
          </cell>
          <cell r="D2">
            <v>1627926.8100000003</v>
          </cell>
          <cell r="F2">
            <v>30373365.449999981</v>
          </cell>
          <cell r="G2">
            <v>1593338.2100000018</v>
          </cell>
        </row>
        <row r="3">
          <cell r="C3">
            <v>323149518.66000205</v>
          </cell>
          <cell r="D3">
            <v>35604890.42999994</v>
          </cell>
          <cell r="F3">
            <v>425866918.64999968</v>
          </cell>
          <cell r="G3">
            <v>47179309.409999952</v>
          </cell>
        </row>
        <row r="4">
          <cell r="C4">
            <v>43182265.23999998</v>
          </cell>
          <cell r="D4">
            <v>4294915.8100000015</v>
          </cell>
          <cell r="F4">
            <v>66974252.89000003</v>
          </cell>
          <cell r="G4">
            <v>6768801.7300000042</v>
          </cell>
        </row>
        <row r="5">
          <cell r="C5">
            <v>17395187.650000013</v>
          </cell>
          <cell r="D5">
            <v>1060816.4099999999</v>
          </cell>
          <cell r="F5">
            <v>18117031.989999976</v>
          </cell>
          <cell r="G5">
            <v>2535519.12</v>
          </cell>
        </row>
        <row r="6">
          <cell r="C6">
            <v>900875447.97999978</v>
          </cell>
          <cell r="D6">
            <v>93575182.739999995</v>
          </cell>
          <cell r="E6">
            <v>2011</v>
          </cell>
          <cell r="F6">
            <v>1062006078.5400058</v>
          </cell>
        </row>
        <row r="7">
          <cell r="C7">
            <v>193457938.68000099</v>
          </cell>
          <cell r="D7">
            <v>26554834.809999868</v>
          </cell>
          <cell r="E7">
            <v>2011</v>
          </cell>
          <cell r="F7">
            <v>305482051.80999941</v>
          </cell>
        </row>
        <row r="8">
          <cell r="C8">
            <v>430203926.28999966</v>
          </cell>
          <cell r="D8">
            <v>59572297.53999988</v>
          </cell>
          <cell r="F8">
            <v>560782113.69999743</v>
          </cell>
          <cell r="G8">
            <v>80465552.869999707</v>
          </cell>
        </row>
        <row r="9">
          <cell r="C9">
            <v>66153522.470000215</v>
          </cell>
          <cell r="D9">
            <v>7174300.9300000081</v>
          </cell>
          <cell r="F9">
            <v>92318344.310000002</v>
          </cell>
          <cell r="G9">
            <v>10237882.640000004</v>
          </cell>
        </row>
        <row r="10">
          <cell r="C10">
            <v>331738369.78000104</v>
          </cell>
          <cell r="D10">
            <v>49801167.459999949</v>
          </cell>
          <cell r="F10">
            <v>417522718.37999719</v>
          </cell>
          <cell r="G10">
            <v>51914285.990000114</v>
          </cell>
        </row>
        <row r="11">
          <cell r="C11">
            <v>164829340.11999992</v>
          </cell>
          <cell r="D11">
            <v>17882898.41</v>
          </cell>
          <cell r="F11">
            <v>208453633.46999916</v>
          </cell>
          <cell r="G11">
            <v>22250630.91000003</v>
          </cell>
        </row>
        <row r="12">
          <cell r="C12">
            <v>485202491.91999918</v>
          </cell>
          <cell r="D12">
            <v>58136831.750000037</v>
          </cell>
          <cell r="F12">
            <v>556952100.32999623</v>
          </cell>
          <cell r="G12">
            <v>77947727.150000051</v>
          </cell>
        </row>
        <row r="13">
          <cell r="C13">
            <v>874819919.55999398</v>
          </cell>
          <cell r="D13">
            <v>113059235.55000027</v>
          </cell>
          <cell r="F13">
            <v>1472253682.2200041</v>
          </cell>
          <cell r="G13">
            <v>177432282.45000002</v>
          </cell>
        </row>
        <row r="14">
          <cell r="C14">
            <v>131982265.08000004</v>
          </cell>
          <cell r="D14">
            <v>34055354.390000001</v>
          </cell>
          <cell r="F14">
            <v>63260631.829999998</v>
          </cell>
          <cell r="G14">
            <v>6003484.3499999996</v>
          </cell>
        </row>
        <row r="15">
          <cell r="C15">
            <v>36803829.839999989</v>
          </cell>
          <cell r="D15">
            <v>1073568.5599999998</v>
          </cell>
          <cell r="F15">
            <v>916278244.19999969</v>
          </cell>
          <cell r="G15">
            <v>221121204.88</v>
          </cell>
        </row>
        <row r="16">
          <cell r="C16">
            <v>86506934.269999698</v>
          </cell>
          <cell r="D16">
            <v>4251499.3900000034</v>
          </cell>
          <cell r="F16">
            <v>604460654.35000563</v>
          </cell>
          <cell r="G16">
            <v>144336788.97999957</v>
          </cell>
        </row>
        <row r="17">
          <cell r="C17">
            <v>70166328.059999958</v>
          </cell>
          <cell r="D17">
            <v>4865434.79</v>
          </cell>
          <cell r="F17">
            <v>78875288.610000014</v>
          </cell>
          <cell r="G17">
            <v>6925105.5900000008</v>
          </cell>
        </row>
        <row r="18">
          <cell r="C18">
            <v>142149153.19000012</v>
          </cell>
          <cell r="D18">
            <v>9343696.4700000007</v>
          </cell>
          <cell r="F18">
            <v>218440334.52999997</v>
          </cell>
          <cell r="G18">
            <v>29182131.219999999</v>
          </cell>
        </row>
        <row r="19">
          <cell r="C19">
            <v>424762665.84999979</v>
          </cell>
          <cell r="D19">
            <v>37990572.320000045</v>
          </cell>
          <cell r="F19">
            <v>495382075.35999954</v>
          </cell>
          <cell r="G19">
            <v>53410964.370000027</v>
          </cell>
        </row>
        <row r="20">
          <cell r="C20">
            <v>676295085.67998934</v>
          </cell>
          <cell r="D20">
            <v>62965283.329999954</v>
          </cell>
          <cell r="F20">
            <v>795355940.53998899</v>
          </cell>
          <cell r="G20">
            <v>69364892.349999979</v>
          </cell>
        </row>
        <row r="21">
          <cell r="C21">
            <v>1098520157.4599466</v>
          </cell>
          <cell r="D21">
            <v>113779992.26000005</v>
          </cell>
          <cell r="F21">
            <v>1411065496.8400214</v>
          </cell>
          <cell r="G21">
            <v>131760246.79999979</v>
          </cell>
        </row>
        <row r="22">
          <cell r="C22">
            <v>1906089995.6599922</v>
          </cell>
          <cell r="D22">
            <v>190370774.70999968</v>
          </cell>
          <cell r="F22">
            <v>2238383475.8300252</v>
          </cell>
          <cell r="G22">
            <v>222443891.94999954</v>
          </cell>
        </row>
        <row r="23">
          <cell r="C23">
            <v>416265752.12999839</v>
          </cell>
          <cell r="D23">
            <v>38118922.169999994</v>
          </cell>
          <cell r="F23">
            <v>622180601.36999989</v>
          </cell>
          <cell r="G23">
            <v>64574049.420000263</v>
          </cell>
        </row>
        <row r="24">
          <cell r="C24">
            <v>17623688.960000012</v>
          </cell>
          <cell r="D24">
            <v>3348325.8</v>
          </cell>
          <cell r="F24">
            <v>26026652.839999992</v>
          </cell>
          <cell r="G24">
            <v>3071897.0500000007</v>
          </cell>
        </row>
        <row r="25">
          <cell r="C25">
            <v>1787492.9899999998</v>
          </cell>
          <cell r="D25">
            <v>261625.78</v>
          </cell>
          <cell r="F25">
            <v>2863243.6000000024</v>
          </cell>
          <cell r="G25">
            <v>291113.69000000006</v>
          </cell>
        </row>
        <row r="26">
          <cell r="C26">
            <v>21568770.369999994</v>
          </cell>
          <cell r="D26">
            <v>3272859.3999999994</v>
          </cell>
          <cell r="F26">
            <v>39496595.789999969</v>
          </cell>
          <cell r="G26">
            <v>4932126.4499999993</v>
          </cell>
        </row>
        <row r="27">
          <cell r="C27">
            <v>1520315067.9900069</v>
          </cell>
          <cell r="D27">
            <v>146608596.67999989</v>
          </cell>
          <cell r="F27">
            <v>1690758637.3299956</v>
          </cell>
          <cell r="G27">
            <v>166889017.76999977</v>
          </cell>
        </row>
        <row r="28">
          <cell r="C28">
            <v>97206756.580000296</v>
          </cell>
          <cell r="D28">
            <v>8958892.3999999836</v>
          </cell>
          <cell r="F28">
            <v>123032226.22000025</v>
          </cell>
          <cell r="G28">
            <v>12030379.169999994</v>
          </cell>
        </row>
        <row r="29">
          <cell r="C29">
            <v>278364775.9399994</v>
          </cell>
          <cell r="D29">
            <v>30919357.620000072</v>
          </cell>
          <cell r="F29">
            <v>324808535.42999923</v>
          </cell>
          <cell r="G29">
            <v>30777432.189999942</v>
          </cell>
        </row>
        <row r="30">
          <cell r="C30">
            <v>1162272641.7300003</v>
          </cell>
          <cell r="D30">
            <v>147347495.87999955</v>
          </cell>
          <cell r="F30">
            <v>1792116835.940002</v>
          </cell>
          <cell r="G30">
            <v>208209287.05000025</v>
          </cell>
        </row>
        <row r="31">
          <cell r="C31">
            <v>1414851509.9099879</v>
          </cell>
          <cell r="D31">
            <v>158897365.81999949</v>
          </cell>
          <cell r="F31">
            <v>1808938672.4300153</v>
          </cell>
          <cell r="G31">
            <v>222603986.37000117</v>
          </cell>
        </row>
        <row r="32">
          <cell r="C32">
            <v>767007756.39000618</v>
          </cell>
          <cell r="D32">
            <v>73792197.579999924</v>
          </cell>
          <cell r="F32">
            <v>1135377322.6400092</v>
          </cell>
          <cell r="G32">
            <v>92916674.259999931</v>
          </cell>
        </row>
        <row r="33">
          <cell r="C33">
            <v>2048378945.9699996</v>
          </cell>
          <cell r="D33">
            <v>214498116.46000001</v>
          </cell>
          <cell r="F33">
            <v>3410565729.4600024</v>
          </cell>
          <cell r="G33">
            <v>331828217.10000014</v>
          </cell>
        </row>
        <row r="34">
          <cell r="C34">
            <v>17963977.85999997</v>
          </cell>
          <cell r="D34">
            <v>2039388.4799999997</v>
          </cell>
          <cell r="F34">
            <v>24134792.90000001</v>
          </cell>
          <cell r="G34">
            <v>1802402.7800000012</v>
          </cell>
        </row>
      </sheetData>
      <sheetData sheetId="3">
        <row r="2">
          <cell r="C2">
            <v>579.55623184999831</v>
          </cell>
          <cell r="D2">
            <v>760.56178642999885</v>
          </cell>
          <cell r="E2">
            <v>56.922102469999956</v>
          </cell>
          <cell r="F2">
            <v>83.698133489999961</v>
          </cell>
        </row>
        <row r="3">
          <cell r="C3">
            <v>1644.8988826499753</v>
          </cell>
          <cell r="D3">
            <v>3286.8379814399818</v>
          </cell>
          <cell r="E3">
            <v>147.21041062000003</v>
          </cell>
          <cell r="F3">
            <v>529.76970511000059</v>
          </cell>
        </row>
        <row r="4">
          <cell r="C4">
            <v>6557.6194796599084</v>
          </cell>
          <cell r="D4">
            <v>8101.5350952297031</v>
          </cell>
          <cell r="E4">
            <v>690.05750553999928</v>
          </cell>
          <cell r="F4">
            <v>794.91544924001653</v>
          </cell>
        </row>
        <row r="5">
          <cell r="C5">
            <v>2221.1914241400232</v>
          </cell>
          <cell r="D5">
            <v>3079.5935751900984</v>
          </cell>
          <cell r="E5">
            <v>255.13199222999981</v>
          </cell>
          <cell r="F5">
            <v>334.43166215000105</v>
          </cell>
        </row>
        <row r="6">
          <cell r="C6">
            <v>5098.3074336601976</v>
          </cell>
          <cell r="D6">
            <v>7716.3642874599209</v>
          </cell>
          <cell r="E6">
            <v>597.66459053999756</v>
          </cell>
          <cell r="F6">
            <v>880.65103765999356</v>
          </cell>
        </row>
        <row r="7">
          <cell r="C7">
            <v>94.574931680000532</v>
          </cell>
          <cell r="D7">
            <v>94.01155403000044</v>
          </cell>
          <cell r="E7">
            <v>8.118017539999995</v>
          </cell>
          <cell r="F7">
            <v>11.594719110000005</v>
          </cell>
        </row>
      </sheetData>
      <sheetData sheetId="4">
        <row r="2">
          <cell r="B2" t="str">
            <v>Israel</v>
          </cell>
          <cell r="C2">
            <v>206.09227039000018</v>
          </cell>
          <cell r="D2">
            <v>100.76036393</v>
          </cell>
          <cell r="E2">
            <v>66.152031719999997</v>
          </cell>
          <cell r="F2">
            <v>4.3435170299999974</v>
          </cell>
        </row>
        <row r="3">
          <cell r="B3" t="str">
            <v>Francia</v>
          </cell>
          <cell r="C3">
            <v>628.1519129399976</v>
          </cell>
          <cell r="D3">
            <v>584.83058297999878</v>
          </cell>
          <cell r="E3">
            <v>79.820453500000241</v>
          </cell>
          <cell r="F3">
            <v>51.996092590000067</v>
          </cell>
        </row>
        <row r="4">
          <cell r="B4" t="str">
            <v>Otros</v>
          </cell>
          <cell r="C4">
            <v>41.594844389999999</v>
          </cell>
          <cell r="D4">
            <v>0</v>
          </cell>
          <cell r="E4">
            <v>0</v>
          </cell>
        </row>
        <row r="5">
          <cell r="B5" t="str">
            <v>Honduras</v>
          </cell>
          <cell r="C5">
            <v>10.78024273999999</v>
          </cell>
          <cell r="D5">
            <v>2.6626491200000002</v>
          </cell>
          <cell r="E5">
            <v>0.16459657999999999</v>
          </cell>
          <cell r="F5">
            <v>0.30267743999999996</v>
          </cell>
        </row>
        <row r="6">
          <cell r="B6" t="str">
            <v>Ruanda</v>
          </cell>
          <cell r="C6">
            <v>8.3046034099999986</v>
          </cell>
          <cell r="D6">
            <v>1.60156714</v>
          </cell>
          <cell r="E6">
            <v>0</v>
          </cell>
          <cell r="F6">
            <v>0</v>
          </cell>
        </row>
        <row r="7">
          <cell r="B7" t="str">
            <v>Corea del Norte</v>
          </cell>
          <cell r="C7">
            <v>5.7333529899999958</v>
          </cell>
          <cell r="D7">
            <v>1.982313680000001</v>
          </cell>
          <cell r="E7">
            <v>0.13410011999999999</v>
          </cell>
          <cell r="F7">
            <v>0</v>
          </cell>
        </row>
        <row r="8">
          <cell r="B8" t="str">
            <v>Canada</v>
          </cell>
          <cell r="C8">
            <v>218.03392469000005</v>
          </cell>
          <cell r="D8">
            <v>214.3355249100006</v>
          </cell>
          <cell r="E8">
            <v>21.828705399999976</v>
          </cell>
          <cell r="F8">
            <v>30.125883720000015</v>
          </cell>
        </row>
        <row r="9">
          <cell r="B9" t="str">
            <v>Zona Franca Barranquilla</v>
          </cell>
          <cell r="C9">
            <v>18.331967039999995</v>
          </cell>
          <cell r="D9">
            <v>14.985127549999987</v>
          </cell>
          <cell r="E9">
            <v>1.3824029800000008</v>
          </cell>
          <cell r="F9">
            <v>1.1370179400000004</v>
          </cell>
        </row>
        <row r="10">
          <cell r="B10" t="str">
            <v>Zona Franca del Pacífico</v>
          </cell>
          <cell r="C10">
            <v>6.8481798700000001</v>
          </cell>
          <cell r="D10">
            <v>4.1742782199999997</v>
          </cell>
          <cell r="E10">
            <v>0.99164829999999982</v>
          </cell>
          <cell r="F10">
            <v>3.9412178</v>
          </cell>
        </row>
        <row r="11">
          <cell r="B11" t="str">
            <v>Zona Franca Palmaseca</v>
          </cell>
          <cell r="C11">
            <v>6.3024461000000001</v>
          </cell>
          <cell r="D11">
            <v>3.6896075500000007</v>
          </cell>
          <cell r="E11">
            <v>0.24946978999999997</v>
          </cell>
          <cell r="F11">
            <v>4.9246069999999989E-2</v>
          </cell>
        </row>
        <row r="12">
          <cell r="B12" t="str">
            <v>Bulgaria</v>
          </cell>
          <cell r="C12">
            <v>3.6827471700000003</v>
          </cell>
          <cell r="D12">
            <v>2.0457991800000004</v>
          </cell>
          <cell r="E12">
            <v>0.40715059999999992</v>
          </cell>
          <cell r="F12">
            <v>0.27898227999999997</v>
          </cell>
        </row>
        <row r="13">
          <cell r="B13" t="str">
            <v>Tunicia</v>
          </cell>
          <cell r="C13">
            <v>1.0048768800000001</v>
          </cell>
          <cell r="D13">
            <v>6.7251359999999996E-2</v>
          </cell>
          <cell r="E13">
            <v>5.0817000000000006E-4</v>
          </cell>
          <cell r="F13">
            <v>0</v>
          </cell>
        </row>
        <row r="14">
          <cell r="B14" t="str">
            <v>Antigua y Barbuda</v>
          </cell>
          <cell r="C14">
            <v>1.2151391099999997</v>
          </cell>
          <cell r="D14">
            <v>0.28403628999999997</v>
          </cell>
          <cell r="E14">
            <v>1.15368E-2</v>
          </cell>
          <cell r="F14">
            <v>2.1802519999999995E-2</v>
          </cell>
        </row>
        <row r="15">
          <cell r="B15" t="str">
            <v>Bermudas</v>
          </cell>
          <cell r="C15">
            <v>0.89724626000000007</v>
          </cell>
          <cell r="D15">
            <v>1.249549E-2</v>
          </cell>
          <cell r="E15">
            <v>0.12709435999999999</v>
          </cell>
          <cell r="F15">
            <v>0</v>
          </cell>
        </row>
        <row r="16">
          <cell r="B16" t="str">
            <v>Emiratos Arabes Unidos</v>
          </cell>
          <cell r="C16">
            <v>7.0440645500000043</v>
          </cell>
          <cell r="D16">
            <v>6.2965309999999999</v>
          </cell>
          <cell r="E16">
            <v>1.4254257099999996</v>
          </cell>
          <cell r="F16">
            <v>0.20258697999999997</v>
          </cell>
        </row>
        <row r="17">
          <cell r="B17" t="str">
            <v>Bolivia</v>
          </cell>
          <cell r="C17">
            <v>5.6606632099999974</v>
          </cell>
          <cell r="D17">
            <v>5.0128409800000018</v>
          </cell>
          <cell r="E17">
            <v>0.54110716000000003</v>
          </cell>
          <cell r="F17">
            <v>1.0170400500000001</v>
          </cell>
        </row>
        <row r="18">
          <cell r="B18" t="str">
            <v>Cuba</v>
          </cell>
          <cell r="C18">
            <v>3.2967703400000006</v>
          </cell>
          <cell r="D18">
            <v>2.6729871100000002</v>
          </cell>
          <cell r="E18">
            <v>5.5982469999999999E-2</v>
          </cell>
          <cell r="F18">
            <v>1.7452273</v>
          </cell>
        </row>
        <row r="19">
          <cell r="B19" t="str">
            <v>Georgia</v>
          </cell>
          <cell r="C19">
            <v>1.5791340900000004</v>
          </cell>
          <cell r="D19">
            <v>1.0759879299999999</v>
          </cell>
          <cell r="E19">
            <v>0.43682852999999999</v>
          </cell>
          <cell r="F19">
            <v>7.5628039999999994E-2</v>
          </cell>
        </row>
        <row r="20">
          <cell r="B20" t="str">
            <v>Marshall Islas</v>
          </cell>
          <cell r="C20">
            <v>0.50199441999999994</v>
          </cell>
          <cell r="D20">
            <v>0.10385367</v>
          </cell>
          <cell r="E20">
            <v>0</v>
          </cell>
          <cell r="F20">
            <v>0</v>
          </cell>
        </row>
        <row r="21">
          <cell r="B21" t="str">
            <v>Zona Franca de Ríonegro</v>
          </cell>
          <cell r="C21">
            <v>2.2647625699999998</v>
          </cell>
          <cell r="D21">
            <v>1.912518590000001</v>
          </cell>
          <cell r="E21">
            <v>4.110258E-2</v>
          </cell>
          <cell r="F21">
            <v>0.6098090300000002</v>
          </cell>
        </row>
        <row r="22">
          <cell r="C22">
            <v>38.526489279999943</v>
          </cell>
          <cell r="D22">
            <v>35.149583270000051</v>
          </cell>
          <cell r="E22">
            <v>2.3627347099999993</v>
          </cell>
          <cell r="F22">
            <v>2.99932687</v>
          </cell>
        </row>
      </sheetData>
      <sheetData sheetId="5">
        <row r="2">
          <cell r="B2" t="str">
            <v>Estados Unidos</v>
          </cell>
          <cell r="C2">
            <v>4261.0379400000193</v>
          </cell>
          <cell r="D2">
            <v>6547.8661789400812</v>
          </cell>
          <cell r="E2">
            <v>430.88558867999967</v>
          </cell>
          <cell r="F2">
            <v>706.87633478000214</v>
          </cell>
        </row>
        <row r="3">
          <cell r="B3" t="str">
            <v>Mexico</v>
          </cell>
          <cell r="C3">
            <v>1484.1047346099956</v>
          </cell>
          <cell r="D3">
            <v>2927.8929357100578</v>
          </cell>
          <cell r="E3">
            <v>149.63454289999973</v>
          </cell>
          <cell r="F3">
            <v>408.73668391000069</v>
          </cell>
        </row>
        <row r="4">
          <cell r="B4" t="str">
            <v>China</v>
          </cell>
          <cell r="C4">
            <v>1666.7772031200225</v>
          </cell>
          <cell r="D4">
            <v>2507.3768917399934</v>
          </cell>
          <cell r="E4">
            <v>201.17266082999978</v>
          </cell>
          <cell r="F4">
            <v>299.69130837999984</v>
          </cell>
        </row>
        <row r="5">
          <cell r="B5" t="str">
            <v>El Salvador</v>
          </cell>
          <cell r="C5">
            <v>100.92087505999997</v>
          </cell>
          <cell r="D5">
            <v>337.73620631999989</v>
          </cell>
          <cell r="E5">
            <v>7.5960739999999985E-2</v>
          </cell>
          <cell r="F5">
            <v>0.48027150000000007</v>
          </cell>
        </row>
        <row r="6">
          <cell r="B6" t="str">
            <v>Panama</v>
          </cell>
          <cell r="C6">
            <v>524.13179058999765</v>
          </cell>
          <cell r="D6">
            <v>700.99553568000215</v>
          </cell>
          <cell r="E6">
            <v>38.006132740000005</v>
          </cell>
          <cell r="F6">
            <v>73.608998400000033</v>
          </cell>
        </row>
        <row r="7">
          <cell r="B7" t="str">
            <v>Trinidad y Tobago</v>
          </cell>
          <cell r="C7">
            <v>47.633464079999982</v>
          </cell>
          <cell r="D7">
            <v>197.17963239999997</v>
          </cell>
          <cell r="E7">
            <v>1.1508734100000004</v>
          </cell>
          <cell r="F7">
            <v>70.237868090000021</v>
          </cell>
        </row>
        <row r="8">
          <cell r="B8" t="str">
            <v>Japon</v>
          </cell>
          <cell r="C8">
            <v>488.54205783999487</v>
          </cell>
          <cell r="D8">
            <v>635.10856899000032</v>
          </cell>
          <cell r="E8">
            <v>59.311941650000065</v>
          </cell>
          <cell r="F8">
            <v>84.674736380000112</v>
          </cell>
        </row>
        <row r="9">
          <cell r="B9" t="str">
            <v>Corea del Sur</v>
          </cell>
          <cell r="C9">
            <v>588.08360423000033</v>
          </cell>
          <cell r="D9">
            <v>717.713609320003</v>
          </cell>
          <cell r="E9">
            <v>57.345726750000047</v>
          </cell>
          <cell r="F9">
            <v>66.042830240000029</v>
          </cell>
        </row>
        <row r="10">
          <cell r="B10" t="str">
            <v>India</v>
          </cell>
          <cell r="C10">
            <v>180.74054466999996</v>
          </cell>
          <cell r="D10">
            <v>295.93122830000027</v>
          </cell>
          <cell r="E10">
            <v>16.203254029999993</v>
          </cell>
          <cell r="F10">
            <v>25.904164429999987</v>
          </cell>
        </row>
        <row r="11">
          <cell r="B11" t="str">
            <v>Alemania</v>
          </cell>
          <cell r="C11">
            <v>657.45659859000534</v>
          </cell>
          <cell r="D11">
            <v>772.42440864999935</v>
          </cell>
          <cell r="E11">
            <v>60.017827650000086</v>
          </cell>
          <cell r="F11">
            <v>89.018608949999603</v>
          </cell>
        </row>
        <row r="12">
          <cell r="B12" t="str">
            <v>Ecuador</v>
          </cell>
          <cell r="C12">
            <v>145.64870324000083</v>
          </cell>
          <cell r="D12">
            <v>257.36823577000013</v>
          </cell>
          <cell r="E12">
            <v>10.561317950000005</v>
          </cell>
          <cell r="F12">
            <v>33.414747540000008</v>
          </cell>
        </row>
        <row r="13">
          <cell r="B13" t="str">
            <v>Venezuela</v>
          </cell>
          <cell r="C13">
            <v>73.994184169999002</v>
          </cell>
          <cell r="D13">
            <v>175.88703061000129</v>
          </cell>
          <cell r="E13">
            <v>7.3174903000000011</v>
          </cell>
          <cell r="F13">
            <v>22.211145980000008</v>
          </cell>
        </row>
        <row r="14">
          <cell r="B14" t="str">
            <v>Costa Rica</v>
          </cell>
          <cell r="C14">
            <v>129.31274246000012</v>
          </cell>
          <cell r="D14">
            <v>229.93822182000011</v>
          </cell>
          <cell r="E14">
            <v>52.155157920000001</v>
          </cell>
          <cell r="F14">
            <v>2.1373951600000001</v>
          </cell>
        </row>
        <row r="15">
          <cell r="B15" t="str">
            <v>Tailandia</v>
          </cell>
          <cell r="C15">
            <v>102.24982819999975</v>
          </cell>
          <cell r="D15">
            <v>201.86039879000052</v>
          </cell>
          <cell r="E15">
            <v>16.023810170000004</v>
          </cell>
          <cell r="F15">
            <v>31.921922589999998</v>
          </cell>
        </row>
        <row r="16">
          <cell r="B16" t="str">
            <v>Italia</v>
          </cell>
          <cell r="C16">
            <v>254.20511353999939</v>
          </cell>
          <cell r="D16">
            <v>335.92744900999986</v>
          </cell>
          <cell r="E16">
            <v>27.01592527999999</v>
          </cell>
          <cell r="F16">
            <v>32.736903140000024</v>
          </cell>
        </row>
        <row r="17">
          <cell r="B17" t="str">
            <v>Brasil</v>
          </cell>
          <cell r="C17">
            <v>782.67670544998794</v>
          </cell>
          <cell r="D17">
            <v>862.01595451998469</v>
          </cell>
          <cell r="E17">
            <v>73.47509143000002</v>
          </cell>
          <cell r="F17">
            <v>87.527580959999511</v>
          </cell>
        </row>
        <row r="18">
          <cell r="B18" t="str">
            <v>Belgica</v>
          </cell>
          <cell r="C18">
            <v>456.19990016999344</v>
          </cell>
          <cell r="D18">
            <v>534.58280532999424</v>
          </cell>
          <cell r="E18">
            <v>55.649874129999993</v>
          </cell>
          <cell r="F18">
            <v>48.061635439999861</v>
          </cell>
        </row>
        <row r="19">
          <cell r="B19" t="str">
            <v>Hong Kong</v>
          </cell>
          <cell r="C19">
            <v>278.14830558000006</v>
          </cell>
          <cell r="D19">
            <v>355.62910691000042</v>
          </cell>
          <cell r="E19">
            <v>33.920640290000016</v>
          </cell>
          <cell r="F19">
            <v>43.412802880000065</v>
          </cell>
        </row>
        <row r="20">
          <cell r="B20" t="str">
            <v>España</v>
          </cell>
          <cell r="C20">
            <v>242.1364806100016</v>
          </cell>
          <cell r="D20">
            <v>313.46887408000129</v>
          </cell>
          <cell r="E20">
            <v>30.644985470000044</v>
          </cell>
          <cell r="F20">
            <v>34.099785639999972</v>
          </cell>
        </row>
        <row r="21">
          <cell r="B21" t="str">
            <v>Peru</v>
          </cell>
          <cell r="C21">
            <v>173.75658842000001</v>
          </cell>
          <cell r="D21">
            <v>239.5118062199997</v>
          </cell>
          <cell r="E21">
            <v>19.06543585</v>
          </cell>
          <cell r="F21">
            <v>21.375337789999982</v>
          </cell>
        </row>
        <row r="22">
          <cell r="B22" t="str">
            <v>Suiza</v>
          </cell>
          <cell r="C22">
            <v>285.29812291999951</v>
          </cell>
          <cell r="D22">
            <v>349.19100981999838</v>
          </cell>
          <cell r="E22">
            <v>38.262852020000011</v>
          </cell>
          <cell r="F22">
            <v>33.54508196999997</v>
          </cell>
        </row>
        <row r="23">
          <cell r="C23">
            <v>2057.2452636499988</v>
          </cell>
          <cell r="D23">
            <v>2559.642290899993</v>
          </cell>
          <cell r="E23">
            <v>201.07464927000001</v>
          </cell>
          <cell r="F23">
            <v>320.49850695000003</v>
          </cell>
        </row>
      </sheetData>
      <sheetData sheetId="6">
        <row r="2">
          <cell r="A2" t="str">
            <v>Productos químicos</v>
          </cell>
          <cell r="B2">
            <v>2742.2591353300331</v>
          </cell>
          <cell r="C2">
            <v>3222.6243551999887</v>
          </cell>
          <cell r="D2">
            <v>272.64417519000017</v>
          </cell>
          <cell r="E2">
            <v>317.69908119000024</v>
          </cell>
        </row>
        <row r="3">
          <cell r="A3" t="str">
            <v>Vehículos automotores</v>
          </cell>
          <cell r="B3">
            <v>1548.5719187300242</v>
          </cell>
          <cell r="C3">
            <v>2995.4643144099832</v>
          </cell>
          <cell r="D3">
            <v>204.12505373000107</v>
          </cell>
          <cell r="E3">
            <v>380.84883988000234</v>
          </cell>
        </row>
        <row r="4">
          <cell r="A4" t="str">
            <v>Equipos de transporte</v>
          </cell>
          <cell r="B4">
            <v>1980.8414367799996</v>
          </cell>
          <cell r="C4">
            <v>2750.6237202599964</v>
          </cell>
          <cell r="D4">
            <v>180.91700156999988</v>
          </cell>
          <cell r="E4">
            <v>194.92312416000016</v>
          </cell>
        </row>
        <row r="5">
          <cell r="A5" t="str">
            <v>Maquinaria y equipo</v>
          </cell>
          <cell r="B5">
            <v>1756.7698112300445</v>
          </cell>
          <cell r="C5">
            <v>2438.3305887899583</v>
          </cell>
          <cell r="D5">
            <v>230.16523317999983</v>
          </cell>
          <cell r="E5">
            <v>274.10431349999948</v>
          </cell>
        </row>
        <row r="6">
          <cell r="A6" t="str">
            <v>Equipo de radio</v>
          </cell>
          <cell r="B6">
            <v>1684.4235624600178</v>
          </cell>
          <cell r="C6">
            <v>2045.1518745300057</v>
          </cell>
          <cell r="D6">
            <v>194.90066587999993</v>
          </cell>
          <cell r="E6">
            <v>271.90726780999944</v>
          </cell>
        </row>
        <row r="7">
          <cell r="A7" t="str">
            <v>Refinación del petróleo</v>
          </cell>
          <cell r="B7">
            <v>122.23421632000044</v>
          </cell>
          <cell r="C7">
            <v>1520.6896781499954</v>
          </cell>
          <cell r="D7">
            <v>5.3818058899999999</v>
          </cell>
          <cell r="E7">
            <v>364.50557859999941</v>
          </cell>
        </row>
        <row r="8">
          <cell r="A8" t="str">
            <v>Instrumentos médicos</v>
          </cell>
          <cell r="B8">
            <v>849.62792709000121</v>
          </cell>
          <cell r="C8">
            <v>1020.6081671299989</v>
          </cell>
          <cell r="D8">
            <v>81.827291599999882</v>
          </cell>
          <cell r="E8">
            <v>103.55813563000027</v>
          </cell>
        </row>
        <row r="9">
          <cell r="A9" t="str">
            <v>Maquinaria de oficina</v>
          </cell>
          <cell r="B9">
            <v>941.9652240599969</v>
          </cell>
          <cell r="C9">
            <v>990.84263076000752</v>
          </cell>
          <cell r="D9">
            <v>94.898507549999835</v>
          </cell>
          <cell r="E9">
            <v>98.494721330000104</v>
          </cell>
        </row>
        <row r="10">
          <cell r="A10" t="str">
            <v>Productos metalúrgicos</v>
          </cell>
          <cell r="B10">
            <v>577.54842295000162</v>
          </cell>
          <cell r="C10">
            <v>813.9386366899995</v>
          </cell>
          <cell r="D10">
            <v>49.744059630000052</v>
          </cell>
          <cell r="E10">
            <v>76.80759248000021</v>
          </cell>
        </row>
        <row r="11">
          <cell r="A11" t="str">
            <v>Aparatos eléctricos</v>
          </cell>
          <cell r="B11">
            <v>624.58248973001082</v>
          </cell>
          <cell r="C11">
            <v>810.77927376000048</v>
          </cell>
          <cell r="D11">
            <v>69.743605479999815</v>
          </cell>
          <cell r="E11">
            <v>76.984479989999713</v>
          </cell>
        </row>
        <row r="12">
          <cell r="A12" t="str">
            <v>Alimentos y bebidas</v>
          </cell>
          <cell r="B12">
            <v>595.34658170000296</v>
          </cell>
          <cell r="C12">
            <v>706.5057009100027</v>
          </cell>
          <cell r="D12">
            <v>52.639436000000075</v>
          </cell>
          <cell r="E12">
            <v>73.347954189999982</v>
          </cell>
        </row>
        <row r="13">
          <cell r="A13" t="str">
            <v>Textiles</v>
          </cell>
          <cell r="B13">
            <v>434.85819716999833</v>
          </cell>
          <cell r="C13">
            <v>622.39508342999648</v>
          </cell>
          <cell r="D13">
            <v>36.965834289999862</v>
          </cell>
          <cell r="E13">
            <v>55.208914650000139</v>
          </cell>
        </row>
        <row r="14">
          <cell r="A14" t="str">
            <v>Caucho y de plástico</v>
          </cell>
          <cell r="B14">
            <v>413.93113479999568</v>
          </cell>
          <cell r="C14">
            <v>578.54939610999963</v>
          </cell>
          <cell r="D14">
            <v>43.990448860000242</v>
          </cell>
          <cell r="E14">
            <v>58.486314060000034</v>
          </cell>
        </row>
        <row r="15">
          <cell r="A15" t="str">
            <v>Agricultura</v>
          </cell>
          <cell r="B15">
            <v>380.2087167899989</v>
          </cell>
          <cell r="C15">
            <v>481.10870963000048</v>
          </cell>
          <cell r="D15">
            <v>37.908923680000001</v>
          </cell>
          <cell r="E15">
            <v>52.571827719999966</v>
          </cell>
        </row>
        <row r="16">
          <cell r="A16" t="str">
            <v>Productos de metal</v>
          </cell>
          <cell r="B16">
            <v>288.43629661999904</v>
          </cell>
          <cell r="C16">
            <v>427.88371866999637</v>
          </cell>
          <cell r="D16">
            <v>31.838517000000046</v>
          </cell>
          <cell r="E16">
            <v>42.10527569999995</v>
          </cell>
        </row>
        <row r="17">
          <cell r="A17" t="str">
            <v>Muebles industrias</v>
          </cell>
          <cell r="B17">
            <v>291.59718059999818</v>
          </cell>
          <cell r="C17">
            <v>392.07165573000248</v>
          </cell>
          <cell r="D17">
            <v>42.573675109999897</v>
          </cell>
          <cell r="E17">
            <v>44.88416356999997</v>
          </cell>
        </row>
        <row r="18">
          <cell r="A18" t="str">
            <v>Cueros</v>
          </cell>
          <cell r="B18">
            <v>176.25906204999779</v>
          </cell>
          <cell r="C18">
            <v>264.18735342000048</v>
          </cell>
          <cell r="D18">
            <v>33.886635400000095</v>
          </cell>
          <cell r="E18">
            <v>46.619827730000068</v>
          </cell>
        </row>
        <row r="19">
          <cell r="A19" t="str">
            <v>Papel</v>
          </cell>
          <cell r="B19">
            <v>247.65272719999882</v>
          </cell>
          <cell r="C19">
            <v>260.1981455299985</v>
          </cell>
          <cell r="D19">
            <v>26.347603060000026</v>
          </cell>
          <cell r="E19">
            <v>22.336802759999983</v>
          </cell>
        </row>
        <row r="20">
          <cell r="A20" t="str">
            <v>Prendas de vestir</v>
          </cell>
          <cell r="B20">
            <v>124.78231010999809</v>
          </cell>
          <cell r="C20">
            <v>216.19091802000023</v>
          </cell>
          <cell r="D20">
            <v>18.542909710000025</v>
          </cell>
          <cell r="E20">
            <v>27.085014359999928</v>
          </cell>
        </row>
        <row r="21">
          <cell r="A21" t="str">
            <v>Minerales no metálicos</v>
          </cell>
          <cell r="B21">
            <v>150.62087338999976</v>
          </cell>
          <cell r="C21">
            <v>201.22502341999962</v>
          </cell>
          <cell r="D21">
            <v>16.434586370000002</v>
          </cell>
          <cell r="E21">
            <v>20.980405160000014</v>
          </cell>
        </row>
        <row r="22">
          <cell r="A22" t="str">
            <v>Edición</v>
          </cell>
          <cell r="B22">
            <v>119.38545435000061</v>
          </cell>
          <cell r="C22">
            <v>124.14760464999992</v>
          </cell>
          <cell r="D22">
            <v>13.961248910000005</v>
          </cell>
          <cell r="E22">
            <v>17.369330810000019</v>
          </cell>
        </row>
        <row r="23">
          <cell r="A23" t="str">
            <v>Madera</v>
          </cell>
          <cell r="B23">
            <v>84.173661740000057</v>
          </cell>
          <cell r="C23">
            <v>77.774258039999921</v>
          </cell>
          <cell r="D23">
            <v>10.583562919999997</v>
          </cell>
          <cell r="E23">
            <v>7.4140970100000025</v>
          </cell>
        </row>
        <row r="24">
          <cell r="A24" t="str">
            <v>Minerales no metálicos</v>
          </cell>
          <cell r="B24">
            <v>23.349894940000024</v>
          </cell>
          <cell r="C24">
            <v>37.259250849999994</v>
          </cell>
          <cell r="D24">
            <v>2.1221125100000005</v>
          </cell>
          <cell r="E24">
            <v>2.4883792899999988</v>
          </cell>
        </row>
        <row r="25">
          <cell r="A25" t="str">
            <v>Tabaco</v>
          </cell>
          <cell r="B25">
            <v>17.395187650000004</v>
          </cell>
          <cell r="C25">
            <v>18.117031989999983</v>
          </cell>
          <cell r="D25">
            <v>1.0608164099999999</v>
          </cell>
          <cell r="E25">
            <v>2.5355191200000005</v>
          </cell>
        </row>
        <row r="26">
          <cell r="A26" t="str">
            <v>Sin información</v>
          </cell>
          <cell r="B26">
            <v>9.643440110000002</v>
          </cell>
          <cell r="C26">
            <v>10.661927569999998</v>
          </cell>
          <cell r="D26">
            <v>0.97334857000000019</v>
          </cell>
          <cell r="E26">
            <v>1.0031435700000002</v>
          </cell>
        </row>
        <row r="27">
          <cell r="A27" t="str">
            <v>Minerales metalíferos</v>
          </cell>
          <cell r="B27">
            <v>2.8233240099999994</v>
          </cell>
          <cell r="C27">
            <v>3.2943163499999994</v>
          </cell>
          <cell r="D27">
            <v>0.36372838000000002</v>
          </cell>
          <cell r="E27">
            <v>0.21869827999999999</v>
          </cell>
        </row>
        <row r="28">
          <cell r="A28" t="str">
            <v>Silvicultura</v>
          </cell>
          <cell r="B28">
            <v>1.9627176299999993</v>
          </cell>
          <cell r="C28">
            <v>2.0932336900000008</v>
          </cell>
          <cell r="D28">
            <v>0.14166332000000001</v>
          </cell>
          <cell r="E28">
            <v>4.3795190000000005E-2</v>
          </cell>
        </row>
        <row r="29">
          <cell r="A29" t="str">
            <v>Esparcimiento</v>
          </cell>
          <cell r="B29">
            <v>0.9649329099999997</v>
          </cell>
          <cell r="C29">
            <v>1.5561722399999998</v>
          </cell>
          <cell r="D29">
            <v>0.10757014000000001</v>
          </cell>
          <cell r="E29">
            <v>0.21564088999999997</v>
          </cell>
        </row>
        <row r="30">
          <cell r="A30" t="str">
            <v>Pesca</v>
          </cell>
          <cell r="B30">
            <v>1.4817365100000008</v>
          </cell>
          <cell r="C30">
            <v>1.4669635300000008</v>
          </cell>
          <cell r="D30">
            <v>0.12228386000000002</v>
          </cell>
          <cell r="E30">
            <v>0.13007294999999999</v>
          </cell>
        </row>
        <row r="31">
          <cell r="A31" t="str">
            <v>Reciclaje</v>
          </cell>
          <cell r="B31">
            <v>0.95774861000000011</v>
          </cell>
          <cell r="C31">
            <v>1.3016081400000001</v>
          </cell>
          <cell r="D31">
            <v>9.9218229999999991E-2</v>
          </cell>
          <cell r="E31">
            <v>5.1804230000000007E-2</v>
          </cell>
        </row>
        <row r="32">
          <cell r="A32" t="str">
            <v>Carbón</v>
          </cell>
          <cell r="B32">
            <v>0.92022150000000003</v>
          </cell>
          <cell r="C32">
            <v>1.0531310199999999</v>
          </cell>
          <cell r="D32">
            <v>8.1800420000000013E-2</v>
          </cell>
          <cell r="E32">
            <v>0.10288521999999999</v>
          </cell>
        </row>
        <row r="33">
          <cell r="A33" t="str">
            <v>Activ. empresariales</v>
          </cell>
          <cell r="B33">
            <v>0.52165759</v>
          </cell>
          <cell r="C33">
            <v>0.57967379000000008</v>
          </cell>
          <cell r="D33">
            <v>8.20917E-3</v>
          </cell>
          <cell r="E33">
            <v>3.50446E-3</v>
          </cell>
        </row>
        <row r="34">
          <cell r="A34" t="str">
            <v>Comercio al por mayor</v>
          </cell>
          <cell r="B34">
            <v>4.3550210000000013E-2</v>
          </cell>
          <cell r="C34">
            <v>0.21855941000000012</v>
          </cell>
          <cell r="D34">
            <v>2.7364900000000003E-3</v>
          </cell>
          <cell r="E34">
            <v>2.3918479999999999E-2</v>
          </cell>
        </row>
        <row r="35">
          <cell r="A35" t="str">
            <v>Petróleo</v>
          </cell>
          <cell r="B35">
            <v>7.6307699999999985E-3</v>
          </cell>
          <cell r="C35">
            <v>7.3902099999999995E-3</v>
          </cell>
          <cell r="D35">
            <v>3.5042999999999999E-4</v>
          </cell>
          <cell r="E35">
            <v>2.8278999999999999E-4</v>
          </cell>
        </row>
        <row r="36">
          <cell r="A36" t="str">
            <v>Otras actividades</v>
          </cell>
          <cell r="C36">
            <v>4.2137499999999996E-3</v>
          </cell>
          <cell r="E36">
            <v>0</v>
          </cell>
        </row>
      </sheetData>
      <sheetData sheetId="7">
        <row r="2">
          <cell r="A2" t="str">
            <v>Equipo rodante de transporte</v>
          </cell>
          <cell r="B2">
            <v>2048.3789459700006</v>
          </cell>
          <cell r="C2">
            <v>3410.5657294599951</v>
          </cell>
          <cell r="D2">
            <v>214.49811645999984</v>
          </cell>
          <cell r="E2">
            <v>331.82821710000002</v>
          </cell>
        </row>
        <row r="3">
          <cell r="A3" t="str">
            <v>Químicos y farmacéuticos</v>
          </cell>
          <cell r="B3">
            <v>1906.0899956599892</v>
          </cell>
          <cell r="C3">
            <v>2238.3834758300409</v>
          </cell>
          <cell r="D3">
            <v>190.37077471000052</v>
          </cell>
          <cell r="E3">
            <v>222.44389194999968</v>
          </cell>
        </row>
        <row r="4">
          <cell r="A4" t="str">
            <v>Otro equipo fijo</v>
          </cell>
          <cell r="B4">
            <v>1414.851509910038</v>
          </cell>
          <cell r="C4">
            <v>1808.938672430002</v>
          </cell>
          <cell r="D4">
            <v>158.89736582000023</v>
          </cell>
          <cell r="E4">
            <v>222.60398637000017</v>
          </cell>
        </row>
        <row r="5">
          <cell r="A5" t="str">
            <v>Maquinaria industrial</v>
          </cell>
          <cell r="B5">
            <v>1162.2726417300055</v>
          </cell>
          <cell r="C5">
            <v>1792.1168359400078</v>
          </cell>
          <cell r="D5">
            <v>147.34749587999906</v>
          </cell>
          <cell r="E5">
            <v>208.20928704999969</v>
          </cell>
        </row>
        <row r="6">
          <cell r="A6" t="str">
            <v>Aparatos de oficina</v>
          </cell>
          <cell r="B6">
            <v>1520.3150679900039</v>
          </cell>
          <cell r="C6">
            <v>1690.7586373300371</v>
          </cell>
          <cell r="D6">
            <v>146.60859668000049</v>
          </cell>
          <cell r="E6">
            <v>166.88901777000055</v>
          </cell>
        </row>
        <row r="7">
          <cell r="A7" t="str">
            <v>Vehículos particulares</v>
          </cell>
          <cell r="B7">
            <v>874.81991956000331</v>
          </cell>
          <cell r="C7">
            <v>1472.2536822200034</v>
          </cell>
          <cell r="D7">
            <v>113.05923555000025</v>
          </cell>
          <cell r="E7">
            <v>177.43228245000026</v>
          </cell>
        </row>
        <row r="8">
          <cell r="A8" t="str">
            <v>Productos mineros</v>
          </cell>
          <cell r="B8">
            <v>1098.520157459986</v>
          </cell>
          <cell r="C8">
            <v>1411.0654968399965</v>
          </cell>
          <cell r="D8">
            <v>113.77999226000044</v>
          </cell>
          <cell r="E8">
            <v>131.76024679999966</v>
          </cell>
        </row>
        <row r="9">
          <cell r="A9" t="str">
            <v>Partes equipo de transporte</v>
          </cell>
          <cell r="B9">
            <v>767.00775639000415</v>
          </cell>
          <cell r="C9">
            <v>1135.3773226399981</v>
          </cell>
          <cell r="D9">
            <v>73.792197580000192</v>
          </cell>
          <cell r="E9">
            <v>92.916674259999638</v>
          </cell>
        </row>
        <row r="10">
          <cell r="A10" t="str">
            <v>Farmacéuticos</v>
          </cell>
          <cell r="B10">
            <v>900.87544797999283</v>
          </cell>
          <cell r="C10">
            <v>1062.0060785400071</v>
          </cell>
          <cell r="D10">
            <v>93.575182740000059</v>
          </cell>
          <cell r="E10">
            <v>95.917225730000055</v>
          </cell>
        </row>
        <row r="11">
          <cell r="A11" t="str">
            <v>Combustibles</v>
          </cell>
          <cell r="B11">
            <v>36.803829840000006</v>
          </cell>
          <cell r="C11">
            <v>916.2782442000007</v>
          </cell>
          <cell r="D11">
            <v>1.07356856</v>
          </cell>
          <cell r="E11">
            <v>221.12120487999996</v>
          </cell>
        </row>
        <row r="12">
          <cell r="A12" t="str">
            <v>Agropecuarios no alimenticios</v>
          </cell>
          <cell r="B12">
            <v>676.29508567999608</v>
          </cell>
          <cell r="C12">
            <v>795.35594053998864</v>
          </cell>
          <cell r="D12">
            <v>62.965283330000098</v>
          </cell>
          <cell r="E12">
            <v>69.364892349999835</v>
          </cell>
        </row>
        <row r="13">
          <cell r="A13" t="str">
            <v>Materiales de construcción</v>
          </cell>
          <cell r="B13">
            <v>416.26575212999745</v>
          </cell>
          <cell r="C13">
            <v>622.18060137000077</v>
          </cell>
          <cell r="D13">
            <v>38.118922170000019</v>
          </cell>
          <cell r="E13">
            <v>64.574049420000151</v>
          </cell>
        </row>
        <row r="14">
          <cell r="A14" t="str">
            <v>Lubricantes</v>
          </cell>
          <cell r="B14">
            <v>86.506934269999832</v>
          </cell>
          <cell r="C14">
            <v>604.46065435000344</v>
          </cell>
          <cell r="D14">
            <v>4.2514993900000055</v>
          </cell>
          <cell r="E14">
            <v>144.33678897999974</v>
          </cell>
        </row>
        <row r="15">
          <cell r="A15" t="str">
            <v>Otros consumo no duradero</v>
          </cell>
          <cell r="B15">
            <v>430.20392628999599</v>
          </cell>
          <cell r="C15">
            <v>560.78211369999542</v>
          </cell>
          <cell r="D15">
            <v>59.572297539999894</v>
          </cell>
          <cell r="E15">
            <v>80.465552869999769</v>
          </cell>
        </row>
        <row r="16">
          <cell r="A16" t="str">
            <v>Aparatos domésticos</v>
          </cell>
          <cell r="B16">
            <v>485.20249191999864</v>
          </cell>
          <cell r="C16">
            <v>556.95210033000114</v>
          </cell>
          <cell r="D16">
            <v>58.136831750000049</v>
          </cell>
          <cell r="E16">
            <v>77.947727149999949</v>
          </cell>
        </row>
        <row r="17">
          <cell r="A17" t="str">
            <v>Productos alimenticios</v>
          </cell>
          <cell r="B17">
            <v>424.76266584999996</v>
          </cell>
          <cell r="C17">
            <v>495.38207535999931</v>
          </cell>
          <cell r="D17">
            <v>37.990572319999998</v>
          </cell>
          <cell r="E17">
            <v>53.410964370000009</v>
          </cell>
        </row>
        <row r="18">
          <cell r="A18" t="str">
            <v>Alimentos</v>
          </cell>
          <cell r="B18">
            <v>323.14951866000149</v>
          </cell>
          <cell r="C18">
            <v>425.86691864999909</v>
          </cell>
          <cell r="D18">
            <v>35.604890430000083</v>
          </cell>
          <cell r="E18">
            <v>47.179309409999924</v>
          </cell>
        </row>
        <row r="19">
          <cell r="A19" t="str">
            <v>Objetos de adorno</v>
          </cell>
          <cell r="B19">
            <v>331.73836977999963</v>
          </cell>
          <cell r="C19">
            <v>417.52271837999632</v>
          </cell>
          <cell r="D19">
            <v>49.801167460000009</v>
          </cell>
          <cell r="E19">
            <v>51.914285990000138</v>
          </cell>
        </row>
        <row r="20">
          <cell r="A20" t="str">
            <v>Partes maquinaria industrial</v>
          </cell>
          <cell r="B20">
            <v>278.36477593999905</v>
          </cell>
          <cell r="C20">
            <v>324.80853542999841</v>
          </cell>
          <cell r="D20">
            <v>30.919357620000024</v>
          </cell>
          <cell r="E20">
            <v>30.777432189999963</v>
          </cell>
        </row>
        <row r="21">
          <cell r="A21" t="str">
            <v>Vestuario</v>
          </cell>
          <cell r="B21">
            <v>193.45793868000138</v>
          </cell>
          <cell r="C21">
            <v>305.48205180999435</v>
          </cell>
          <cell r="D21">
            <v>26.554834809999974</v>
          </cell>
          <cell r="E21">
            <v>36.342856759999869</v>
          </cell>
        </row>
        <row r="22">
          <cell r="A22" t="str">
            <v>Materias primas agricultura</v>
          </cell>
          <cell r="B22">
            <v>142.14915319000011</v>
          </cell>
          <cell r="C22">
            <v>218.44033452999963</v>
          </cell>
          <cell r="D22">
            <v>9.3436964700000065</v>
          </cell>
          <cell r="E22">
            <v>29.182131219999984</v>
          </cell>
        </row>
        <row r="23">
          <cell r="A23" t="str">
            <v>Muebles</v>
          </cell>
          <cell r="B23">
            <v>164.82934012000052</v>
          </cell>
          <cell r="C23">
            <v>208.45363346999966</v>
          </cell>
          <cell r="D23">
            <v>17.882898409999978</v>
          </cell>
          <cell r="E23">
            <v>22.250630910000005</v>
          </cell>
        </row>
        <row r="24">
          <cell r="A24" t="str">
            <v>Herramientas</v>
          </cell>
          <cell r="B24">
            <v>97.206756580000189</v>
          </cell>
          <cell r="C24">
            <v>123.03222621999952</v>
          </cell>
          <cell r="D24">
            <v>8.9588923999999981</v>
          </cell>
          <cell r="E24">
            <v>12.03037917000001</v>
          </cell>
        </row>
        <row r="25">
          <cell r="A25" t="str">
            <v>Utensilios domésticos</v>
          </cell>
          <cell r="B25">
            <v>66.153522469999942</v>
          </cell>
          <cell r="C25">
            <v>92.318344310000469</v>
          </cell>
          <cell r="D25">
            <v>7.1743009300000011</v>
          </cell>
          <cell r="E25">
            <v>10.237882639999993</v>
          </cell>
        </row>
        <row r="26">
          <cell r="A26" t="str">
            <v>Alimentos para animales</v>
          </cell>
          <cell r="B26">
            <v>70.166328059999998</v>
          </cell>
          <cell r="C26">
            <v>78.875288610000069</v>
          </cell>
          <cell r="D26">
            <v>4.8654347899999992</v>
          </cell>
          <cell r="E26">
            <v>6.9251055899999985</v>
          </cell>
        </row>
        <row r="27">
          <cell r="A27" t="str">
            <v>Bebidas</v>
          </cell>
          <cell r="B27">
            <v>43.182265239999971</v>
          </cell>
          <cell r="C27">
            <v>66.974252890000017</v>
          </cell>
          <cell r="D27">
            <v>4.2949158099999982</v>
          </cell>
          <cell r="E27">
            <v>6.7688017300000007</v>
          </cell>
        </row>
        <row r="28">
          <cell r="A28" t="str">
            <v>Armas y equipo militar</v>
          </cell>
          <cell r="B28">
            <v>131.98226508000002</v>
          </cell>
          <cell r="C28">
            <v>63.260631830000008</v>
          </cell>
          <cell r="D28">
            <v>34.055354389999998</v>
          </cell>
          <cell r="E28">
            <v>6.0034843500000008</v>
          </cell>
        </row>
        <row r="29">
          <cell r="A29" t="str">
            <v>Material de transporte</v>
          </cell>
          <cell r="B29">
            <v>21.568770369999992</v>
          </cell>
          <cell r="C29">
            <v>39.496595789999986</v>
          </cell>
          <cell r="D29">
            <v>3.2728593999999993</v>
          </cell>
          <cell r="E29">
            <v>4.9321264499999993</v>
          </cell>
        </row>
        <row r="30">
          <cell r="A30" t="str">
            <v>Bienes no clasificados</v>
          </cell>
          <cell r="B30">
            <v>28.25690337999993</v>
          </cell>
          <cell r="C30">
            <v>30.373365450000094</v>
          </cell>
          <cell r="D30">
            <v>1.6279268099999999</v>
          </cell>
          <cell r="E30">
            <v>1.5933382100000009</v>
          </cell>
        </row>
        <row r="31">
          <cell r="A31" t="str">
            <v>Máquinas y herramientas</v>
          </cell>
          <cell r="B31">
            <v>17.623688960000024</v>
          </cell>
          <cell r="C31">
            <v>26.026652840000022</v>
          </cell>
          <cell r="D31">
            <v>3.3483258000000005</v>
          </cell>
          <cell r="E31">
            <v>3.0718970499999991</v>
          </cell>
        </row>
        <row r="32">
          <cell r="A32" t="str">
            <v>Equipo fijo de transporte</v>
          </cell>
          <cell r="B32">
            <v>17.963977859999957</v>
          </cell>
          <cell r="C32">
            <v>24.134792900000051</v>
          </cell>
          <cell r="D32">
            <v>2.0393884800000017</v>
          </cell>
          <cell r="E32">
            <v>1.8024027800000002</v>
          </cell>
        </row>
        <row r="33">
          <cell r="A33" t="str">
            <v>Tabaco</v>
          </cell>
          <cell r="B33">
            <v>17.395187650000008</v>
          </cell>
          <cell r="C33">
            <v>18.117031989999994</v>
          </cell>
          <cell r="D33">
            <v>1.0608164099999999</v>
          </cell>
          <cell r="E33">
            <v>2.5355191199999996</v>
          </cell>
        </row>
        <row r="34">
          <cell r="A34" t="str">
            <v>Equipo para la agricultura</v>
          </cell>
          <cell r="B34">
            <v>1.7874929899999998</v>
          </cell>
          <cell r="C34">
            <v>2.8632436000000023</v>
          </cell>
          <cell r="D34">
            <v>0.26162577999999997</v>
          </cell>
          <cell r="E34">
            <v>0.29111369000000004</v>
          </cell>
        </row>
      </sheetData>
      <sheetData sheetId="8">
        <row r="2">
          <cell r="C2">
            <v>1414708521.9300003</v>
          </cell>
          <cell r="D2">
            <v>114217226.97</v>
          </cell>
          <cell r="G2">
            <v>2063006316.8400004</v>
          </cell>
          <cell r="H2">
            <v>125923163.42</v>
          </cell>
          <cell r="J2" t="str">
            <v>Aviones &gt; 15 mil Kg</v>
          </cell>
        </row>
        <row r="3">
          <cell r="C3">
            <v>19382567.41</v>
          </cell>
          <cell r="D3">
            <v>0</v>
          </cell>
          <cell r="G3">
            <v>840393928.9200002</v>
          </cell>
          <cell r="H3">
            <v>201183147.79000002</v>
          </cell>
          <cell r="J3" t="str">
            <v>Gasóleo</v>
          </cell>
        </row>
        <row r="4">
          <cell r="C4">
            <v>457589595.56999868</v>
          </cell>
          <cell r="D4">
            <v>48245405.810000084</v>
          </cell>
          <cell r="G4">
            <v>785509382.81999362</v>
          </cell>
          <cell r="H4">
            <v>98683459.880000234</v>
          </cell>
          <cell r="J4" t="str">
            <v>Vehículos entre 1500 y 3000 cm3</v>
          </cell>
        </row>
        <row r="5">
          <cell r="C5">
            <v>583110697.05000031</v>
          </cell>
          <cell r="D5">
            <v>64961155.500000015</v>
          </cell>
          <cell r="G5">
            <v>718710986.59999633</v>
          </cell>
          <cell r="H5">
            <v>92637718.470000088</v>
          </cell>
          <cell r="J5" t="str">
            <v>Teléfonos móviles</v>
          </cell>
        </row>
        <row r="6">
          <cell r="C6">
            <v>43147989.200000003</v>
          </cell>
          <cell r="D6">
            <v>18201.46</v>
          </cell>
          <cell r="G6">
            <v>503026529.3300001</v>
          </cell>
          <cell r="H6">
            <v>121733806.11</v>
          </cell>
          <cell r="J6" t="str">
            <v>Aceites livianos</v>
          </cell>
        </row>
        <row r="7">
          <cell r="C7">
            <v>315777374.97000074</v>
          </cell>
          <cell r="D7">
            <v>32238378.109999981</v>
          </cell>
          <cell r="G7">
            <v>481145969.79999936</v>
          </cell>
          <cell r="H7">
            <v>69639738.009999886</v>
          </cell>
          <cell r="J7" t="str">
            <v>Aparatos de telecomunicación</v>
          </cell>
        </row>
        <row r="8">
          <cell r="C8">
            <v>403333342.08000326</v>
          </cell>
          <cell r="D8">
            <v>39798448.389999978</v>
          </cell>
          <cell r="G8">
            <v>466609780.26000005</v>
          </cell>
          <cell r="H8">
            <v>41645234.019999981</v>
          </cell>
          <cell r="J8" t="str">
            <v>Medicamentos uso humano</v>
          </cell>
        </row>
        <row r="9">
          <cell r="C9">
            <v>424898906.59999925</v>
          </cell>
          <cell r="D9">
            <v>45760180.109999985</v>
          </cell>
          <cell r="G9">
            <v>425287737.45999944</v>
          </cell>
          <cell r="H9">
            <v>47680211.629999965</v>
          </cell>
          <cell r="J9" t="str">
            <v>Portátiles</v>
          </cell>
        </row>
        <row r="10">
          <cell r="C10">
            <v>36150380.159999967</v>
          </cell>
          <cell r="D10">
            <v>4234350.75</v>
          </cell>
          <cell r="G10">
            <v>351136601.84999955</v>
          </cell>
          <cell r="H10">
            <v>52597086.240000039</v>
          </cell>
          <cell r="J10" t="str">
            <v>Tractores</v>
          </cell>
        </row>
        <row r="11">
          <cell r="C11">
            <v>97415259.99000001</v>
          </cell>
          <cell r="D11">
            <v>7966750.8300000001</v>
          </cell>
          <cell r="G11">
            <v>254692398.31000054</v>
          </cell>
          <cell r="H11">
            <v>9830886.2099999953</v>
          </cell>
          <cell r="J11" t="str">
            <v>Partes de aviones o helicopteros</v>
          </cell>
        </row>
        <row r="12">
          <cell r="C12">
            <v>247582922.27000034</v>
          </cell>
          <cell r="D12">
            <v>24250661.489999969</v>
          </cell>
          <cell r="G12">
            <v>253641579.54999894</v>
          </cell>
          <cell r="H12">
            <v>22340214.95000001</v>
          </cell>
          <cell r="J12" t="str">
            <v>Máquinas procesamiento de datos</v>
          </cell>
        </row>
        <row r="13">
          <cell r="C13">
            <v>107219158.01999994</v>
          </cell>
          <cell r="D13">
            <v>20269636.170000009</v>
          </cell>
          <cell r="G13">
            <v>243398215.05000037</v>
          </cell>
          <cell r="H13">
            <v>38860737.300000027</v>
          </cell>
          <cell r="J13" t="str">
            <v>Vehículos carga &lt; 4537 ton</v>
          </cell>
        </row>
        <row r="14">
          <cell r="C14">
            <v>108560807.71000017</v>
          </cell>
          <cell r="D14">
            <v>21674539.300000012</v>
          </cell>
          <cell r="G14">
            <v>227674321.96000022</v>
          </cell>
          <cell r="H14">
            <v>21507240.819999989</v>
          </cell>
          <cell r="J14" t="str">
            <v>Vehículos entre 1000 y 1500 cm3</v>
          </cell>
        </row>
        <row r="15">
          <cell r="C15">
            <v>139302897.06000003</v>
          </cell>
          <cell r="D15">
            <v>17381426.470000003</v>
          </cell>
          <cell r="G15">
            <v>171982767.8100003</v>
          </cell>
          <cell r="H15">
            <v>20525981.419999972</v>
          </cell>
          <cell r="J15" t="str">
            <v>Aparatos receptores de televisión</v>
          </cell>
        </row>
        <row r="16">
          <cell r="C16">
            <v>78681356.560000226</v>
          </cell>
          <cell r="D16">
            <v>14911765.570000006</v>
          </cell>
          <cell r="G16">
            <v>157066843.81999931</v>
          </cell>
          <cell r="H16">
            <v>19473830.609999996</v>
          </cell>
          <cell r="J16" t="str">
            <v>Camperos entre 1500 y 3000 cm3</v>
          </cell>
        </row>
        <row r="17">
          <cell r="C17">
            <v>33656234.79999999</v>
          </cell>
          <cell r="D17">
            <v>8414307.4799999967</v>
          </cell>
          <cell r="G17">
            <v>141404005.84000012</v>
          </cell>
          <cell r="H17">
            <v>16703756.029999994</v>
          </cell>
          <cell r="J17" t="str">
            <v>Vehículos carga &gt; 20 ton</v>
          </cell>
        </row>
        <row r="18">
          <cell r="C18">
            <v>102674144.88</v>
          </cell>
          <cell r="D18">
            <v>11653131.859999998</v>
          </cell>
          <cell r="G18">
            <v>122839333.02999991</v>
          </cell>
          <cell r="H18">
            <v>11396156.08</v>
          </cell>
          <cell r="J18" t="str">
            <v>Medicamentos VIH</v>
          </cell>
        </row>
        <row r="19">
          <cell r="C19">
            <v>15464988.809999997</v>
          </cell>
          <cell r="D19">
            <v>5935660.6199999992</v>
          </cell>
          <cell r="G19">
            <v>111304308.92999992</v>
          </cell>
          <cell r="H19">
            <v>7742812.5099999998</v>
          </cell>
          <cell r="J19" t="str">
            <v>Vehículos &lt; 1000 cm3</v>
          </cell>
        </row>
        <row r="20">
          <cell r="C20">
            <v>48824559.259999983</v>
          </cell>
          <cell r="D20">
            <v>3822070.35</v>
          </cell>
          <cell r="G20">
            <v>106777718.22000015</v>
          </cell>
          <cell r="H20">
            <v>20538446.609999985</v>
          </cell>
          <cell r="J20" t="str">
            <v>Máquinas autopropulsadas</v>
          </cell>
        </row>
        <row r="21">
          <cell r="C21">
            <v>89893128.449999988</v>
          </cell>
          <cell r="D21">
            <v>14779824.330000002</v>
          </cell>
          <cell r="G21">
            <v>106472694</v>
          </cell>
          <cell r="H21">
            <v>29627671.699999999</v>
          </cell>
          <cell r="J21" t="str">
            <v>Productos para tratamiento VIH</v>
          </cell>
        </row>
      </sheetData>
      <sheetData sheetId="9">
        <row r="2">
          <cell r="B2" t="str">
            <v>Estados Unidos</v>
          </cell>
          <cell r="D2">
            <v>4261.0379399999983</v>
          </cell>
          <cell r="E2">
            <v>430.88558867999797</v>
          </cell>
          <cell r="F2">
            <v>6547.866178940114</v>
          </cell>
          <cell r="G2">
            <v>706.8763347800068</v>
          </cell>
        </row>
        <row r="3">
          <cell r="B3" t="str">
            <v>México</v>
          </cell>
          <cell r="D3">
            <v>1484.1047346101475</v>
          </cell>
          <cell r="E3">
            <v>149.63454290000027</v>
          </cell>
          <cell r="F3">
            <v>2927.892935710066</v>
          </cell>
          <cell r="G3">
            <v>408.73668390999865</v>
          </cell>
        </row>
        <row r="4">
          <cell r="B4" t="str">
            <v>China</v>
          </cell>
          <cell r="D4">
            <v>1666.7772031200186</v>
          </cell>
          <cell r="E4">
            <v>201.17266083000061</v>
          </cell>
          <cell r="F4">
            <v>2507.376891739963</v>
          </cell>
          <cell r="G4">
            <v>299.69130838000075</v>
          </cell>
        </row>
        <row r="5">
          <cell r="B5" t="str">
            <v>Brasil</v>
          </cell>
          <cell r="D5">
            <v>782.67670545000408</v>
          </cell>
          <cell r="E5">
            <v>73.47509142999985</v>
          </cell>
          <cell r="F5">
            <v>862.01595451999924</v>
          </cell>
          <cell r="G5">
            <v>87.527580959999554</v>
          </cell>
        </row>
        <row r="6">
          <cell r="B6" t="str">
            <v>Alemania</v>
          </cell>
          <cell r="D6">
            <v>657.45659859001228</v>
          </cell>
          <cell r="E6">
            <v>60.017827650000129</v>
          </cell>
          <cell r="F6">
            <v>772.42440864999708</v>
          </cell>
          <cell r="G6">
            <v>89.018608949999944</v>
          </cell>
        </row>
        <row r="7">
          <cell r="B7" t="str">
            <v>Corea del Sur</v>
          </cell>
          <cell r="D7">
            <v>588.08360422999954</v>
          </cell>
          <cell r="E7">
            <v>57.345726750000033</v>
          </cell>
          <cell r="F7">
            <v>717.71360931999686</v>
          </cell>
          <cell r="G7">
            <v>66.042830239999972</v>
          </cell>
        </row>
        <row r="8">
          <cell r="B8" t="str">
            <v>Panamá</v>
          </cell>
          <cell r="D8">
            <v>524.13179059000311</v>
          </cell>
          <cell r="E8">
            <v>38.006132740000048</v>
          </cell>
          <cell r="F8">
            <v>700.99553567999976</v>
          </cell>
          <cell r="G8">
            <v>73.608998400000033</v>
          </cell>
        </row>
        <row r="9">
          <cell r="B9" t="str">
            <v>Japón</v>
          </cell>
          <cell r="D9">
            <v>488.54205783999919</v>
          </cell>
          <cell r="E9">
            <v>59.311941649999994</v>
          </cell>
          <cell r="F9">
            <v>635.1085689900026</v>
          </cell>
          <cell r="G9">
            <v>84.674736379999985</v>
          </cell>
        </row>
        <row r="10">
          <cell r="B10" t="str">
            <v>Francia</v>
          </cell>
          <cell r="D10">
            <v>628.15191293999624</v>
          </cell>
          <cell r="E10">
            <v>79.820453500000212</v>
          </cell>
          <cell r="F10">
            <v>584.83058297999867</v>
          </cell>
          <cell r="G10">
            <v>51.996092589999982</v>
          </cell>
        </row>
        <row r="11">
          <cell r="B11" t="str">
            <v>Bélgica</v>
          </cell>
          <cell r="D11">
            <v>456.19990017000021</v>
          </cell>
          <cell r="E11">
            <v>55.649874129999915</v>
          </cell>
          <cell r="F11">
            <v>534.58280533000482</v>
          </cell>
          <cell r="G11">
            <v>48.061635440000003</v>
          </cell>
        </row>
        <row r="12">
          <cell r="B12" t="str">
            <v>Chile</v>
          </cell>
          <cell r="D12">
            <v>427.015331680001</v>
          </cell>
          <cell r="E12">
            <v>33.285673339999981</v>
          </cell>
          <cell r="F12">
            <v>456.97965276999992</v>
          </cell>
          <cell r="G12">
            <v>72.509708210000085</v>
          </cell>
        </row>
        <row r="13">
          <cell r="B13" t="str">
            <v>Argentina</v>
          </cell>
          <cell r="D13">
            <v>333.18874718000075</v>
          </cell>
          <cell r="E13">
            <v>40.92804269999997</v>
          </cell>
          <cell r="F13">
            <v>383.63742828000039</v>
          </cell>
          <cell r="G13">
            <v>39.794770720000066</v>
          </cell>
        </row>
        <row r="14">
          <cell r="B14" t="str">
            <v>Hong Kong</v>
          </cell>
          <cell r="D14">
            <v>278.1483055800021</v>
          </cell>
          <cell r="E14">
            <v>33.92064028999998</v>
          </cell>
          <cell r="F14">
            <v>355.62910690999871</v>
          </cell>
          <cell r="G14">
            <v>43.412802879999994</v>
          </cell>
        </row>
        <row r="15">
          <cell r="B15" t="str">
            <v>Suiza</v>
          </cell>
          <cell r="D15">
            <v>285.29812291999963</v>
          </cell>
          <cell r="E15">
            <v>38.262852019999983</v>
          </cell>
          <cell r="F15">
            <v>349.19100981999861</v>
          </cell>
          <cell r="G15">
            <v>33.545081970000041</v>
          </cell>
        </row>
        <row r="16">
          <cell r="B16" t="str">
            <v>El Salvador</v>
          </cell>
          <cell r="D16">
            <v>100.92087505999997</v>
          </cell>
          <cell r="E16">
            <v>7.5960739999999999E-2</v>
          </cell>
          <cell r="F16">
            <v>337.73620631999995</v>
          </cell>
          <cell r="G16">
            <v>0.48027149999999996</v>
          </cell>
        </row>
        <row r="17">
          <cell r="B17" t="str">
            <v>Italia</v>
          </cell>
          <cell r="D17">
            <v>254.20511354000004</v>
          </cell>
          <cell r="E17">
            <v>27.015925279999959</v>
          </cell>
          <cell r="F17">
            <v>335.92744900999986</v>
          </cell>
          <cell r="G17">
            <v>32.736903139999953</v>
          </cell>
        </row>
        <row r="18">
          <cell r="B18" t="str">
            <v>España</v>
          </cell>
          <cell r="D18">
            <v>242.13648061000106</v>
          </cell>
          <cell r="E18">
            <v>30.644985469999941</v>
          </cell>
          <cell r="F18">
            <v>313.46887408000566</v>
          </cell>
          <cell r="G18">
            <v>34.099785639999993</v>
          </cell>
        </row>
        <row r="19">
          <cell r="B19" t="str">
            <v>India</v>
          </cell>
          <cell r="D19">
            <v>180.74054466999877</v>
          </cell>
          <cell r="E19">
            <v>16.203254029999997</v>
          </cell>
          <cell r="F19">
            <v>295.93122829999874</v>
          </cell>
          <cell r="G19">
            <v>25.904164430000041</v>
          </cell>
        </row>
        <row r="20">
          <cell r="B20" t="str">
            <v>Ecuador</v>
          </cell>
          <cell r="D20">
            <v>145.64870324000012</v>
          </cell>
          <cell r="E20">
            <v>10.561317949999996</v>
          </cell>
          <cell r="F20">
            <v>257.36823576999961</v>
          </cell>
          <cell r="G20">
            <v>33.414747539999979</v>
          </cell>
        </row>
        <row r="21">
          <cell r="B21" t="str">
            <v>Paises Bajos</v>
          </cell>
          <cell r="D21">
            <v>207.84820760999958</v>
          </cell>
          <cell r="E21">
            <v>22.540647450000037</v>
          </cell>
          <cell r="F21">
            <v>253.25508883000009</v>
          </cell>
          <cell r="G21">
            <v>44.878786309999995</v>
          </cell>
        </row>
        <row r="22">
          <cell r="B22" t="str">
            <v>Perú</v>
          </cell>
          <cell r="D22">
            <v>173.75658841999936</v>
          </cell>
          <cell r="E22">
            <v>19.065435850000018</v>
          </cell>
          <cell r="F22">
            <v>239.51180621999981</v>
          </cell>
          <cell r="G22">
            <v>21.375337790000028</v>
          </cell>
        </row>
        <row r="23">
          <cell r="B23" t="str">
            <v>Reino Unido</v>
          </cell>
          <cell r="D23">
            <v>224.54044442000014</v>
          </cell>
          <cell r="E23">
            <v>14.483172779999979</v>
          </cell>
          <cell r="F23">
            <v>231.57240174999953</v>
          </cell>
          <cell r="G23">
            <v>20.035598709999995</v>
          </cell>
        </row>
        <row r="24">
          <cell r="B24" t="str">
            <v>Costa Rica</v>
          </cell>
          <cell r="D24">
            <v>129.31274246000012</v>
          </cell>
          <cell r="E24">
            <v>52.155157920000008</v>
          </cell>
          <cell r="F24">
            <v>229.93822181999991</v>
          </cell>
          <cell r="G24">
            <v>2.1373951600000001</v>
          </cell>
        </row>
        <row r="25">
          <cell r="B25" t="str">
            <v>Canadá</v>
          </cell>
          <cell r="D25">
            <v>218.03392468999991</v>
          </cell>
          <cell r="E25">
            <v>21.8287054</v>
          </cell>
          <cell r="F25">
            <v>214.33552490999983</v>
          </cell>
          <cell r="G25">
            <v>30.125883720000001</v>
          </cell>
        </row>
        <row r="26">
          <cell r="B26" t="str">
            <v>Tailandia</v>
          </cell>
          <cell r="D26">
            <v>102.24982820000014</v>
          </cell>
          <cell r="E26">
            <v>16.023810170000008</v>
          </cell>
          <cell r="F26">
            <v>201.8603987900008</v>
          </cell>
          <cell r="G26">
            <v>31.921922589999987</v>
          </cell>
        </row>
        <row r="27">
          <cell r="B27" t="str">
            <v>Trinidad y Tobago</v>
          </cell>
          <cell r="D27">
            <v>47.633464079999996</v>
          </cell>
          <cell r="E27">
            <v>1.1508734099999998</v>
          </cell>
          <cell r="F27">
            <v>197.17963239999989</v>
          </cell>
          <cell r="G27">
            <v>70.237868090000006</v>
          </cell>
        </row>
        <row r="28">
          <cell r="B28" t="str">
            <v>Venezuela</v>
          </cell>
          <cell r="D28">
            <v>73.994184169999755</v>
          </cell>
          <cell r="E28">
            <v>7.317490300000002</v>
          </cell>
          <cell r="F28">
            <v>175.88703060999958</v>
          </cell>
          <cell r="G28">
            <v>22.211145979999991</v>
          </cell>
        </row>
        <row r="29">
          <cell r="B29" t="str">
            <v>Taiwán</v>
          </cell>
          <cell r="D29">
            <v>115.60002962999967</v>
          </cell>
          <cell r="E29">
            <v>9.3474784799999888</v>
          </cell>
          <cell r="F29">
            <v>149.25669997000011</v>
          </cell>
          <cell r="G29">
            <v>14.864642900000021</v>
          </cell>
        </row>
        <row r="30">
          <cell r="B30" t="str">
            <v>Zona Franca de Bogotá</v>
          </cell>
          <cell r="D30">
            <v>133.11735929000025</v>
          </cell>
          <cell r="E30">
            <v>13.266818440000003</v>
          </cell>
          <cell r="F30">
            <v>145.02394886999983</v>
          </cell>
          <cell r="G30">
            <v>19.925369989999997</v>
          </cell>
        </row>
        <row r="31">
          <cell r="B31" t="str">
            <v>Israel</v>
          </cell>
          <cell r="D31">
            <v>206.09227039000004</v>
          </cell>
          <cell r="E31">
            <v>66.152031720000096</v>
          </cell>
          <cell r="F31">
            <v>100.76036393000001</v>
          </cell>
          <cell r="G31">
            <v>4.3435170300000019</v>
          </cell>
        </row>
      </sheetData>
      <sheetData sheetId="10">
        <row r="2">
          <cell r="B2" t="str">
            <v>Gasóleo</v>
          </cell>
          <cell r="C2">
            <v>19.38256741</v>
          </cell>
          <cell r="D2">
            <v>0</v>
          </cell>
          <cell r="E2">
            <v>784.17253841000024</v>
          </cell>
          <cell r="F2">
            <v>176.79117058</v>
          </cell>
        </row>
        <row r="3">
          <cell r="B3" t="str">
            <v>Aviones &gt; 15 mil kg</v>
          </cell>
          <cell r="C3">
            <v>145.90729166</v>
          </cell>
          <cell r="D3">
            <v>0</v>
          </cell>
          <cell r="E3">
            <v>521.79178515000001</v>
          </cell>
          <cell r="F3">
            <v>0</v>
          </cell>
        </row>
        <row r="4">
          <cell r="B4" t="str">
            <v>Partes de aviones</v>
          </cell>
          <cell r="C4">
            <v>85.733300309999933</v>
          </cell>
          <cell r="D4">
            <v>6.8788357800000046</v>
          </cell>
          <cell r="E4">
            <v>232.86083186000019</v>
          </cell>
          <cell r="F4">
            <v>8.0115121499999997</v>
          </cell>
        </row>
        <row r="5">
          <cell r="B5" t="str">
            <v>Aparatos telecomunicación</v>
          </cell>
          <cell r="C5">
            <v>95.991734509999915</v>
          </cell>
          <cell r="D5">
            <v>9.0546292900000029</v>
          </cell>
          <cell r="E5">
            <v>201.8006855600002</v>
          </cell>
          <cell r="F5">
            <v>18.238479229999992</v>
          </cell>
        </row>
        <row r="6">
          <cell r="B6" t="str">
            <v>Portátiles</v>
          </cell>
          <cell r="C6">
            <v>240.74901943</v>
          </cell>
          <cell r="D6">
            <v>20.870117870000019</v>
          </cell>
          <cell r="E6">
            <v>195.78041064000016</v>
          </cell>
          <cell r="F6">
            <v>16.733392610000003</v>
          </cell>
        </row>
        <row r="7">
          <cell r="B7" t="str">
            <v>Teléfonos móviles</v>
          </cell>
          <cell r="C7">
            <v>127.97991176000001</v>
          </cell>
          <cell r="D7">
            <v>13.826802320000002</v>
          </cell>
          <cell r="E7">
            <v>171.76314200000027</v>
          </cell>
          <cell r="F7">
            <v>24.573414390000014</v>
          </cell>
        </row>
        <row r="8">
          <cell r="B8" t="str">
            <v>Aceites livianos</v>
          </cell>
          <cell r="C8">
            <v>15.145601250000004</v>
          </cell>
          <cell r="D8">
            <v>1.5191699999999999E-2</v>
          </cell>
          <cell r="E8">
            <v>87.087275019999993</v>
          </cell>
          <cell r="F8">
            <v>6.2596300000000004E-3</v>
          </cell>
        </row>
        <row r="9">
          <cell r="B9" t="str">
            <v>Máq. procesamiento datos</v>
          </cell>
          <cell r="C9">
            <v>87.251915069999711</v>
          </cell>
          <cell r="D9">
            <v>7.7914235900000053</v>
          </cell>
          <cell r="E9">
            <v>79.925889470000314</v>
          </cell>
          <cell r="F9">
            <v>7.3472497699999977</v>
          </cell>
        </row>
        <row r="10">
          <cell r="B10" t="str">
            <v>Máquinas autopropulsadas</v>
          </cell>
          <cell r="C10">
            <v>32.396381850000012</v>
          </cell>
          <cell r="D10">
            <v>2.2316568600000002</v>
          </cell>
          <cell r="E10">
            <v>59.218692100000005</v>
          </cell>
          <cell r="F10">
            <v>5.0370754799999995</v>
          </cell>
        </row>
        <row r="11">
          <cell r="B11" t="str">
            <v>Unidades de proceso</v>
          </cell>
          <cell r="C11">
            <v>45.819335590000122</v>
          </cell>
          <cell r="D11">
            <v>3.4062846499999995</v>
          </cell>
          <cell r="E11">
            <v>57.776587870000078</v>
          </cell>
          <cell r="F11">
            <v>3.7515352299999991</v>
          </cell>
        </row>
        <row r="12">
          <cell r="B12" t="str">
            <v>Partes máquinas de sondeo</v>
          </cell>
          <cell r="C12">
            <v>28.642791960000075</v>
          </cell>
          <cell r="D12">
            <v>3.8132893500000002</v>
          </cell>
          <cell r="E12">
            <v>55.30672853999981</v>
          </cell>
          <cell r="F12">
            <v>3.4006231399999973</v>
          </cell>
        </row>
        <row r="13">
          <cell r="B13" t="str">
            <v>Impresoras, copiadoras</v>
          </cell>
          <cell r="C13">
            <v>50.538862330000086</v>
          </cell>
          <cell r="D13">
            <v>5.025883509999999</v>
          </cell>
          <cell r="E13">
            <v>53.956180140000001</v>
          </cell>
          <cell r="F13">
            <v>5.4874773699999979</v>
          </cell>
        </row>
        <row r="14">
          <cell r="B14" t="str">
            <v>Aviones 2 mil y 15 mil kg</v>
          </cell>
          <cell r="C14">
            <v>98.247004229999988</v>
          </cell>
          <cell r="D14">
            <v>0.576075</v>
          </cell>
          <cell r="E14">
            <v>46.63678191999999</v>
          </cell>
          <cell r="F14">
            <v>15.42339449</v>
          </cell>
        </row>
        <row r="15">
          <cell r="B15" t="str">
            <v>Medicamentos uso humano</v>
          </cell>
          <cell r="C15">
            <v>39.905615710000028</v>
          </cell>
          <cell r="D15">
            <v>5.0802540100000009</v>
          </cell>
          <cell r="E15">
            <v>45.346275929999898</v>
          </cell>
          <cell r="F15">
            <v>4.3596746</v>
          </cell>
        </row>
        <row r="16">
          <cell r="B16" t="str">
            <v>Aditivos peptizantes</v>
          </cell>
          <cell r="C16">
            <v>25.7137642</v>
          </cell>
          <cell r="D16">
            <v>2.9968257999999999</v>
          </cell>
          <cell r="E16">
            <v>44.346464620000006</v>
          </cell>
          <cell r="F16">
            <v>4.7382145100000024</v>
          </cell>
        </row>
        <row r="17">
          <cell r="B17" t="str">
            <v>Aparatos de medicina</v>
          </cell>
          <cell r="C17">
            <v>34.226017239999976</v>
          </cell>
          <cell r="D17">
            <v>3.0601953599999985</v>
          </cell>
          <cell r="E17">
            <v>42.676880009999977</v>
          </cell>
          <cell r="F17">
            <v>4.8238538899999996</v>
          </cell>
        </row>
        <row r="18">
          <cell r="B18" t="str">
            <v>Máquinas de sondeo</v>
          </cell>
          <cell r="C18">
            <v>45.016516239999987</v>
          </cell>
          <cell r="D18">
            <v>21.567455360000004</v>
          </cell>
          <cell r="E18">
            <v>38.765636570000012</v>
          </cell>
          <cell r="F18">
            <v>8.5534579600000011</v>
          </cell>
        </row>
        <row r="19">
          <cell r="B19" t="str">
            <v>Camperos &gt; 3 mil cm3</v>
          </cell>
          <cell r="C19">
            <v>17.511388290000003</v>
          </cell>
          <cell r="D19">
            <v>1.22846703</v>
          </cell>
          <cell r="E19">
            <v>36.135748490000054</v>
          </cell>
          <cell r="F19">
            <v>11.284707579999997</v>
          </cell>
        </row>
        <row r="20">
          <cell r="B20" t="str">
            <v>Aparatos para regulación</v>
          </cell>
          <cell r="C20">
            <v>22.134254400000035</v>
          </cell>
          <cell r="D20">
            <v>1.2781837400000002</v>
          </cell>
          <cell r="E20">
            <v>34.521881010000001</v>
          </cell>
          <cell r="F20">
            <v>5.0702637699999995</v>
          </cell>
        </row>
        <row r="21">
          <cell r="B21" t="str">
            <v>Partes de turborreactores</v>
          </cell>
          <cell r="C21">
            <v>22.740642359999978</v>
          </cell>
          <cell r="D21">
            <v>1.4770726700000003</v>
          </cell>
          <cell r="E21">
            <v>34.451051039999982</v>
          </cell>
          <cell r="F21">
            <v>3.4432754600000002</v>
          </cell>
        </row>
        <row r="22">
          <cell r="B22" t="str">
            <v>Polietileno</v>
          </cell>
          <cell r="C22">
            <v>31.532154110000022</v>
          </cell>
          <cell r="D22">
            <v>3.2793032000000011</v>
          </cell>
          <cell r="E22">
            <v>30.983000310000023</v>
          </cell>
          <cell r="F22">
            <v>2.07758932</v>
          </cell>
        </row>
        <row r="23">
          <cell r="B23" t="str">
            <v>Volquetes automotores</v>
          </cell>
          <cell r="C23">
            <v>16.215755499999997</v>
          </cell>
          <cell r="D23">
            <v>0.3484043</v>
          </cell>
          <cell r="E23">
            <v>28.917293020000006</v>
          </cell>
          <cell r="F23">
            <v>2.7949089099999997</v>
          </cell>
        </row>
        <row r="24">
          <cell r="B24" t="str">
            <v>Unidades de memoria</v>
          </cell>
          <cell r="C24">
            <v>22.711407989999973</v>
          </cell>
          <cell r="D24">
            <v>1.7197110399999984</v>
          </cell>
          <cell r="E24">
            <v>28.876431750000144</v>
          </cell>
          <cell r="F24">
            <v>2.4223746799999994</v>
          </cell>
        </row>
        <row r="25">
          <cell r="B25" t="str">
            <v>Aparatos para filtrar gases</v>
          </cell>
          <cell r="C25">
            <v>18.175841460000001</v>
          </cell>
          <cell r="D25">
            <v>14.29922783</v>
          </cell>
          <cell r="E25">
            <v>28.782175710000015</v>
          </cell>
          <cell r="F25">
            <v>0.3599052399999999</v>
          </cell>
        </row>
        <row r="26">
          <cell r="B26" t="str">
            <v>Aparatos navegacion aérea</v>
          </cell>
          <cell r="C26">
            <v>19.659957150000007</v>
          </cell>
          <cell r="D26">
            <v>1.9127667799999997</v>
          </cell>
          <cell r="E26">
            <v>28.56879336000004</v>
          </cell>
          <cell r="F26">
            <v>2.8592504199999986</v>
          </cell>
        </row>
        <row r="27">
          <cell r="B27" t="str">
            <v>Partes de bombas</v>
          </cell>
          <cell r="C27">
            <v>20.161131019999996</v>
          </cell>
          <cell r="D27">
            <v>2.9197060999999991</v>
          </cell>
          <cell r="E27">
            <v>27.842133720000028</v>
          </cell>
          <cell r="F27">
            <v>2.2361590500000008</v>
          </cell>
        </row>
        <row r="28">
          <cell r="B28" t="str">
            <v>Reactivos de diagnóstico</v>
          </cell>
          <cell r="C28">
            <v>22.909288150000005</v>
          </cell>
          <cell r="D28">
            <v>1.6761941599999997</v>
          </cell>
          <cell r="E28">
            <v>27.624283969999968</v>
          </cell>
          <cell r="F28">
            <v>2.7035278100000002</v>
          </cell>
        </row>
        <row r="29">
          <cell r="B29" t="str">
            <v>Armas de guerra</v>
          </cell>
          <cell r="C29">
            <v>16.040168749999999</v>
          </cell>
          <cell r="D29">
            <v>4.2318149899999993</v>
          </cell>
          <cell r="E29">
            <v>27.079749240000002</v>
          </cell>
          <cell r="F29">
            <v>0</v>
          </cell>
        </row>
        <row r="30">
          <cell r="B30" t="str">
            <v>Complementos alimenticios</v>
          </cell>
          <cell r="C30">
            <v>11.655772170000006</v>
          </cell>
          <cell r="D30">
            <v>1.0385887999999999</v>
          </cell>
          <cell r="E30">
            <v>25.835211749999999</v>
          </cell>
          <cell r="F30">
            <v>3.0319890100000002</v>
          </cell>
        </row>
        <row r="31">
          <cell r="B31" t="str">
            <v>Copolímeros de etileno</v>
          </cell>
          <cell r="C31">
            <v>27.242341259999996</v>
          </cell>
          <cell r="D31">
            <v>2.0024267</v>
          </cell>
          <cell r="E31">
            <v>25.363252550000009</v>
          </cell>
          <cell r="F31">
            <v>2.3427958699999998</v>
          </cell>
        </row>
      </sheetData>
      <sheetData sheetId="11">
        <row r="2">
          <cell r="B2" t="str">
            <v>Vehículos 1.500 y 3.000 cm3</v>
          </cell>
          <cell r="C2">
            <v>177.29921241000071</v>
          </cell>
          <cell r="D2">
            <v>15.357667350000005</v>
          </cell>
          <cell r="E2">
            <v>408.99380967999946</v>
          </cell>
          <cell r="F2">
            <v>58.716212970000036</v>
          </cell>
        </row>
        <row r="3">
          <cell r="B3" t="str">
            <v>Tractores</v>
          </cell>
          <cell r="C3">
            <v>31.703439839999977</v>
          </cell>
          <cell r="D3">
            <v>2.8403825699999996</v>
          </cell>
          <cell r="E3">
            <v>334.68634103999943</v>
          </cell>
          <cell r="F3">
            <v>46.913686600000005</v>
          </cell>
        </row>
        <row r="4">
          <cell r="B4" t="str">
            <v>Aviones &gt; 15 mil kg</v>
          </cell>
          <cell r="E4">
            <v>312.34406325999998</v>
          </cell>
          <cell r="F4">
            <v>87.355413420000005</v>
          </cell>
        </row>
        <row r="5">
          <cell r="B5" t="str">
            <v>Teléfonos móviles</v>
          </cell>
          <cell r="C5">
            <v>208.84942146999981</v>
          </cell>
          <cell r="D5">
            <v>13.783355480000001</v>
          </cell>
          <cell r="E5">
            <v>214.19057123999974</v>
          </cell>
          <cell r="F5">
            <v>17.517570740000007</v>
          </cell>
        </row>
        <row r="6">
          <cell r="B6" t="str">
            <v>Aceites livianos</v>
          </cell>
          <cell r="C6">
            <v>3.7584000000000003E-3</v>
          </cell>
          <cell r="D6">
            <v>1.8832499999999999E-3</v>
          </cell>
          <cell r="E6">
            <v>182.95437306000002</v>
          </cell>
          <cell r="F6">
            <v>28.672704709999998</v>
          </cell>
        </row>
        <row r="7">
          <cell r="B7" t="str">
            <v>Aparatos receptores TV</v>
          </cell>
          <cell r="C7">
            <v>128.7636188000001</v>
          </cell>
          <cell r="D7">
            <v>16.877570970000001</v>
          </cell>
          <cell r="E7">
            <v>150.54681516999983</v>
          </cell>
          <cell r="F7">
            <v>19.590122059999999</v>
          </cell>
        </row>
        <row r="8">
          <cell r="B8" t="str">
            <v>Vehículos &gt; 20 ton</v>
          </cell>
          <cell r="C8">
            <v>21.041560980000007</v>
          </cell>
          <cell r="D8">
            <v>7.3547068600000003</v>
          </cell>
          <cell r="E8">
            <v>105.35125148999995</v>
          </cell>
          <cell r="F8">
            <v>12.185359979999998</v>
          </cell>
        </row>
        <row r="9">
          <cell r="B9" t="str">
            <v>Máq. procesamiento datos</v>
          </cell>
          <cell r="C9">
            <v>51.204232720000029</v>
          </cell>
          <cell r="D9">
            <v>5.6346886900000008</v>
          </cell>
          <cell r="E9">
            <v>65.024676590000055</v>
          </cell>
          <cell r="F9">
            <v>2.3781277099999989</v>
          </cell>
        </row>
        <row r="10">
          <cell r="B10" t="str">
            <v>Medicamentos uso humano</v>
          </cell>
          <cell r="C10">
            <v>48.730467609999991</v>
          </cell>
          <cell r="D10">
            <v>3.6406827600000002</v>
          </cell>
          <cell r="E10">
            <v>53.858760089999926</v>
          </cell>
          <cell r="F10">
            <v>4.6148271200000019</v>
          </cell>
        </row>
        <row r="11">
          <cell r="B11" t="str">
            <v>Vehículos carga &lt; 4537 ton</v>
          </cell>
          <cell r="C11">
            <v>22.336409400000012</v>
          </cell>
          <cell r="D11">
            <v>2.6708008400000001</v>
          </cell>
          <cell r="E11">
            <v>51.287666489999964</v>
          </cell>
          <cell r="F11">
            <v>4.5084204799999981</v>
          </cell>
        </row>
        <row r="12">
          <cell r="B12" t="str">
            <v>Camperos 1500 y 3000 cm3</v>
          </cell>
          <cell r="C12">
            <v>0.84308824999999998</v>
          </cell>
          <cell r="D12">
            <v>0.82290136000000003</v>
          </cell>
          <cell r="E12">
            <v>48.999602839999952</v>
          </cell>
          <cell r="F12">
            <v>5.2347914700000002</v>
          </cell>
        </row>
        <row r="13">
          <cell r="B13" t="str">
            <v>Vehículos diesel &lt; 4537 ton</v>
          </cell>
          <cell r="C13">
            <v>28.462815450000015</v>
          </cell>
          <cell r="D13">
            <v>8.7984744999999975</v>
          </cell>
          <cell r="E13">
            <v>48.582568759999987</v>
          </cell>
          <cell r="F13">
            <v>7.9476118099999979</v>
          </cell>
        </row>
        <row r="14">
          <cell r="B14" t="str">
            <v>Aparatos telecomunicación</v>
          </cell>
          <cell r="C14">
            <v>10.805342380000006</v>
          </cell>
          <cell r="D14">
            <v>2.2791097999999996</v>
          </cell>
          <cell r="E14">
            <v>38.58327757</v>
          </cell>
          <cell r="F14">
            <v>16.900191589999995</v>
          </cell>
        </row>
        <row r="15">
          <cell r="B15" t="str">
            <v>Aparatos receptores Tv</v>
          </cell>
          <cell r="C15">
            <v>0.27818237000000001</v>
          </cell>
          <cell r="D15">
            <v>2.5256999999999996E-3</v>
          </cell>
          <cell r="E15">
            <v>26.537932300000005</v>
          </cell>
          <cell r="F15">
            <v>8.4372363000000004</v>
          </cell>
        </row>
        <row r="16">
          <cell r="B16" t="str">
            <v>Impresoras, copiadoras</v>
          </cell>
          <cell r="C16">
            <v>25.788827749999999</v>
          </cell>
          <cell r="D16">
            <v>2.0825975000000003</v>
          </cell>
          <cell r="E16">
            <v>25.796730969999999</v>
          </cell>
          <cell r="F16">
            <v>0.41458033999999994</v>
          </cell>
        </row>
        <row r="17">
          <cell r="B17" t="str">
            <v>Recipientes de fundición</v>
          </cell>
          <cell r="C17">
            <v>5.3258758700000008</v>
          </cell>
          <cell r="D17">
            <v>1.4115854699999999</v>
          </cell>
          <cell r="E17">
            <v>24.902931709999987</v>
          </cell>
          <cell r="F17">
            <v>0.87968329000000001</v>
          </cell>
        </row>
        <row r="18">
          <cell r="B18" t="str">
            <v>Tarjetas inteligentes</v>
          </cell>
          <cell r="C18">
            <v>20.6032042600003</v>
          </cell>
          <cell r="D18">
            <v>2.3575553499999837</v>
          </cell>
          <cell r="E18">
            <v>21.191329139999763</v>
          </cell>
          <cell r="F18">
            <v>2.9644656800000044</v>
          </cell>
        </row>
        <row r="19">
          <cell r="B19" t="str">
            <v>Aparatos de radiodifusión</v>
          </cell>
          <cell r="C19">
            <v>8.2307740199999984</v>
          </cell>
          <cell r="D19">
            <v>0</v>
          </cell>
          <cell r="E19">
            <v>17.777388859999995</v>
          </cell>
          <cell r="F19">
            <v>3.4779889199999992</v>
          </cell>
        </row>
        <row r="20">
          <cell r="B20" t="str">
            <v>Máquinas de sondeo</v>
          </cell>
          <cell r="E20">
            <v>16.3929589</v>
          </cell>
          <cell r="F20">
            <v>6.7569547700000001</v>
          </cell>
        </row>
        <row r="21">
          <cell r="B21" t="str">
            <v>Vehículos 9,3 y 20 ton</v>
          </cell>
          <cell r="C21">
            <v>9.7745448800000005</v>
          </cell>
          <cell r="D21">
            <v>0.93039130999999997</v>
          </cell>
          <cell r="E21">
            <v>15.646318359999997</v>
          </cell>
          <cell r="F21">
            <v>2.9440717900000002</v>
          </cell>
        </row>
        <row r="22">
          <cell r="B22" t="str">
            <v>Lavadoras</v>
          </cell>
          <cell r="C22">
            <v>9.8874132499999998</v>
          </cell>
          <cell r="D22">
            <v>0.6979309199999999</v>
          </cell>
          <cell r="E22">
            <v>15.437222589999992</v>
          </cell>
          <cell r="F22">
            <v>2.1844878399999996</v>
          </cell>
        </row>
        <row r="23">
          <cell r="B23" t="str">
            <v>Receptores televisión</v>
          </cell>
          <cell r="C23">
            <v>24.694002360000002</v>
          </cell>
          <cell r="D23">
            <v>1.7218451399999999</v>
          </cell>
          <cell r="E23">
            <v>15.269342520000007</v>
          </cell>
          <cell r="F23">
            <v>2.037335000000001</v>
          </cell>
        </row>
        <row r="24">
          <cell r="B24" t="str">
            <v>Productos laminados</v>
          </cell>
          <cell r="C24">
            <v>7.2548549500000004</v>
          </cell>
          <cell r="D24">
            <v>2.0779391</v>
          </cell>
          <cell r="E24">
            <v>14.738795280000005</v>
          </cell>
          <cell r="F24">
            <v>0.60489040000000005</v>
          </cell>
        </row>
        <row r="25">
          <cell r="B25" t="str">
            <v>Tejidos de mezclilla</v>
          </cell>
          <cell r="C25">
            <v>11.628046060000012</v>
          </cell>
          <cell r="D25">
            <v>0.98370269999999982</v>
          </cell>
          <cell r="E25">
            <v>13.749225180000007</v>
          </cell>
          <cell r="F25">
            <v>7.7196410000000007E-2</v>
          </cell>
        </row>
        <row r="26">
          <cell r="B26" t="str">
            <v>Refrigeradores</v>
          </cell>
          <cell r="C26">
            <v>10.811083250000008</v>
          </cell>
          <cell r="D26">
            <v>1.3555809999999997</v>
          </cell>
          <cell r="E26">
            <v>13.455020099999986</v>
          </cell>
          <cell r="F26">
            <v>2.2955811700000019</v>
          </cell>
        </row>
        <row r="27">
          <cell r="B27" t="str">
            <v>Conductores eléctricos</v>
          </cell>
          <cell r="C27">
            <v>6.3300545800000005</v>
          </cell>
          <cell r="D27">
            <v>1.6023021499999996</v>
          </cell>
          <cell r="E27">
            <v>12.96857354000001</v>
          </cell>
          <cell r="F27">
            <v>1.0417581199999999</v>
          </cell>
        </row>
        <row r="28">
          <cell r="B28" t="str">
            <v>Tubos de cobre refinado</v>
          </cell>
          <cell r="C28">
            <v>8.1758265000000048</v>
          </cell>
          <cell r="D28">
            <v>0.77985488000000003</v>
          </cell>
          <cell r="E28">
            <v>12.939005509999999</v>
          </cell>
          <cell r="F28">
            <v>0.69392209999999999</v>
          </cell>
        </row>
        <row r="29">
          <cell r="B29" t="str">
            <v>Multifuncionales</v>
          </cell>
          <cell r="C29">
            <v>10.885733080000003</v>
          </cell>
          <cell r="D29">
            <v>0.99610261999999994</v>
          </cell>
          <cell r="E29">
            <v>12.770508300000015</v>
          </cell>
          <cell r="F29">
            <v>1.8055215500000001</v>
          </cell>
        </row>
        <row r="30">
          <cell r="B30" t="str">
            <v>Cables y coaxiales</v>
          </cell>
          <cell r="C30">
            <v>7.4531598200000015</v>
          </cell>
          <cell r="D30">
            <v>0.65812924000000017</v>
          </cell>
          <cell r="E30">
            <v>10.613487720000004</v>
          </cell>
          <cell r="F30">
            <v>9.3093099999999995E-3</v>
          </cell>
        </row>
        <row r="31">
          <cell r="B31" t="str">
            <v>Laminados enrollados</v>
          </cell>
          <cell r="C31">
            <v>1.40110936</v>
          </cell>
          <cell r="D31">
            <v>0.99664733999999999</v>
          </cell>
          <cell r="E31">
            <v>10.220912320000004</v>
          </cell>
          <cell r="F31">
            <v>0</v>
          </cell>
        </row>
      </sheetData>
      <sheetData sheetId="12">
        <row r="2">
          <cell r="B2" t="str">
            <v>Portátiles</v>
          </cell>
          <cell r="C2">
            <v>149.84037365000009</v>
          </cell>
          <cell r="D2">
            <v>21.412610620000009</v>
          </cell>
          <cell r="E2">
            <v>195.53787091000015</v>
          </cell>
          <cell r="F2">
            <v>29.802938389999984</v>
          </cell>
        </row>
        <row r="3">
          <cell r="B3" t="str">
            <v>Aparatos telecomunicación</v>
          </cell>
          <cell r="C3">
            <v>82.827578630000119</v>
          </cell>
          <cell r="D3">
            <v>10.362225989999999</v>
          </cell>
          <cell r="E3">
            <v>103.73905733999989</v>
          </cell>
          <cell r="F3">
            <v>14.491960279999997</v>
          </cell>
        </row>
        <row r="4">
          <cell r="B4" t="str">
            <v>Teléfonos móviles</v>
          </cell>
          <cell r="C4">
            <v>67.241088969999907</v>
          </cell>
          <cell r="D4">
            <v>11.584662439999999</v>
          </cell>
          <cell r="E4">
            <v>96.167708140000158</v>
          </cell>
          <cell r="F4">
            <v>17.718410499999997</v>
          </cell>
        </row>
        <row r="5">
          <cell r="B5" t="str">
            <v>Tubos para oleoductos</v>
          </cell>
          <cell r="E5">
            <v>70.011967499999997</v>
          </cell>
          <cell r="F5">
            <v>3.5119284</v>
          </cell>
        </row>
        <row r="6">
          <cell r="B6" t="str">
            <v>Tubos extracción petróleo</v>
          </cell>
          <cell r="C6">
            <v>21.21581058000001</v>
          </cell>
          <cell r="D6">
            <v>1.51504569</v>
          </cell>
          <cell r="E6">
            <v>40.278035440000011</v>
          </cell>
          <cell r="F6">
            <v>1.4767927299999999</v>
          </cell>
        </row>
        <row r="7">
          <cell r="B7" t="str">
            <v>Máq. procesamiento datos</v>
          </cell>
          <cell r="C7">
            <v>30.327308699999996</v>
          </cell>
          <cell r="D7">
            <v>3.2927568299999996</v>
          </cell>
          <cell r="E7">
            <v>31.208769880000002</v>
          </cell>
          <cell r="F7">
            <v>2.9257243299999995</v>
          </cell>
        </row>
        <row r="8">
          <cell r="B8" t="str">
            <v>Cámaras fotográficas</v>
          </cell>
          <cell r="C8">
            <v>28.378401450000009</v>
          </cell>
          <cell r="D8">
            <v>4.5032531699999998</v>
          </cell>
          <cell r="E8">
            <v>28.618201949999978</v>
          </cell>
          <cell r="F8">
            <v>3.7878263100000007</v>
          </cell>
        </row>
        <row r="9">
          <cell r="B9" t="str">
            <v>Tejidos de mezclilla</v>
          </cell>
          <cell r="C9">
            <v>13.447151930000002</v>
          </cell>
          <cell r="D9">
            <v>0.51306421000000002</v>
          </cell>
          <cell r="E9">
            <v>23.6695505</v>
          </cell>
          <cell r="F9">
            <v>0.77676772000000016</v>
          </cell>
        </row>
        <row r="10">
          <cell r="B10" t="str">
            <v>Llantas para buses</v>
          </cell>
          <cell r="C10">
            <v>7.1826630300000005</v>
          </cell>
          <cell r="D10">
            <v>1.1352699899999998</v>
          </cell>
          <cell r="E10">
            <v>22.547596360000004</v>
          </cell>
          <cell r="F10">
            <v>1.8449341600000002</v>
          </cell>
        </row>
        <row r="11">
          <cell r="B11" t="str">
            <v>Baldosas y losas</v>
          </cell>
          <cell r="C11">
            <v>15.407468219999988</v>
          </cell>
          <cell r="D11">
            <v>2.2065916799999998</v>
          </cell>
          <cell r="E11">
            <v>20.258437800000014</v>
          </cell>
          <cell r="F11">
            <v>3.4434714899999999</v>
          </cell>
        </row>
        <row r="12">
          <cell r="B12" t="str">
            <v>Calzados</v>
          </cell>
          <cell r="C12">
            <v>11.743710339999998</v>
          </cell>
          <cell r="D12">
            <v>2.6848733999999994</v>
          </cell>
          <cell r="E12">
            <v>19.095416600000014</v>
          </cell>
          <cell r="F12">
            <v>3.7465246299999984</v>
          </cell>
        </row>
        <row r="13">
          <cell r="B13" t="str">
            <v>Sacos de viaje</v>
          </cell>
          <cell r="C13">
            <v>12.68779498000001</v>
          </cell>
          <cell r="D13">
            <v>2.3142587299999988</v>
          </cell>
          <cell r="E13">
            <v>17.043927240000002</v>
          </cell>
          <cell r="F13">
            <v>3.0882566999999992</v>
          </cell>
        </row>
        <row r="14">
          <cell r="B14" t="str">
            <v>Ascensores, montacargas</v>
          </cell>
          <cell r="C14">
            <v>11.223051160000004</v>
          </cell>
          <cell r="D14">
            <v>1.0689271600000001</v>
          </cell>
          <cell r="E14">
            <v>14.206795870000006</v>
          </cell>
          <cell r="F14">
            <v>1.4439034099999999</v>
          </cell>
        </row>
        <row r="15">
          <cell r="B15" t="str">
            <v>Máquinas de sondeo</v>
          </cell>
          <cell r="C15">
            <v>0.21407802000000004</v>
          </cell>
          <cell r="D15">
            <v>8.6147000000000003E-4</v>
          </cell>
          <cell r="E15">
            <v>14.160715759999999</v>
          </cell>
          <cell r="F15">
            <v>1.81278436</v>
          </cell>
        </row>
        <row r="16">
          <cell r="B16" t="str">
            <v>Máquinas de sondeo</v>
          </cell>
          <cell r="C16">
            <v>6.9309999999999997E-2</v>
          </cell>
          <cell r="D16">
            <v>0</v>
          </cell>
          <cell r="E16">
            <v>13.71955563</v>
          </cell>
          <cell r="F16">
            <v>8.2149034299999997</v>
          </cell>
        </row>
        <row r="17">
          <cell r="B17" t="str">
            <v>Lámparas y tubos</v>
          </cell>
          <cell r="C17">
            <v>20.822170840000002</v>
          </cell>
          <cell r="D17">
            <v>1.3849821500000001</v>
          </cell>
          <cell r="E17">
            <v>12.015095669999985</v>
          </cell>
          <cell r="F17">
            <v>1.1972954199999997</v>
          </cell>
        </row>
        <row r="18">
          <cell r="B18" t="str">
            <v>Aparatos de grabación</v>
          </cell>
          <cell r="C18">
            <v>8.8630839499999965</v>
          </cell>
          <cell r="D18">
            <v>1.9847552899999998</v>
          </cell>
          <cell r="E18">
            <v>11.65187583000001</v>
          </cell>
          <cell r="F18">
            <v>2.3825783599999992</v>
          </cell>
        </row>
        <row r="19">
          <cell r="B19" t="str">
            <v>Llantas para automóviles</v>
          </cell>
          <cell r="C19">
            <v>5.999498860000001</v>
          </cell>
          <cell r="D19">
            <v>0.53845602999999997</v>
          </cell>
          <cell r="E19">
            <v>11.246942069999999</v>
          </cell>
          <cell r="F19">
            <v>1.0061084799999997</v>
          </cell>
        </row>
        <row r="20">
          <cell r="B20" t="str">
            <v>Partes de Teléfonos</v>
          </cell>
          <cell r="C20">
            <v>9.9193299199999956</v>
          </cell>
          <cell r="D20">
            <v>1.8660675000000004</v>
          </cell>
          <cell r="E20">
            <v>11.050706469999998</v>
          </cell>
          <cell r="F20">
            <v>1.24762273</v>
          </cell>
        </row>
        <row r="21">
          <cell r="B21" t="str">
            <v>Los demás juguetes</v>
          </cell>
          <cell r="C21">
            <v>6.9324362899999974</v>
          </cell>
          <cell r="D21">
            <v>0.51757782999999991</v>
          </cell>
          <cell r="E21">
            <v>10.840564860000004</v>
          </cell>
          <cell r="F21">
            <v>0.92047925999999991</v>
          </cell>
        </row>
        <row r="22">
          <cell r="B22" t="str">
            <v>Manufacturas de plástico</v>
          </cell>
          <cell r="C22">
            <v>8.0211266800000089</v>
          </cell>
          <cell r="D22">
            <v>1.3078205900000006</v>
          </cell>
          <cell r="E22">
            <v>10.717259420000016</v>
          </cell>
          <cell r="F22">
            <v>0.94166632000000006</v>
          </cell>
        </row>
        <row r="23">
          <cell r="B23" t="str">
            <v>Tejidos fibras sintéticas</v>
          </cell>
          <cell r="C23">
            <v>2.0014680200000003</v>
          </cell>
          <cell r="D23">
            <v>0.24534903000000002</v>
          </cell>
          <cell r="E23">
            <v>10.633650489999996</v>
          </cell>
          <cell r="F23">
            <v>1.0695410400000001</v>
          </cell>
        </row>
        <row r="24">
          <cell r="B24" t="str">
            <v>Paneles LCD o plasma</v>
          </cell>
          <cell r="C24">
            <v>6.7835421100000008</v>
          </cell>
          <cell r="D24">
            <v>1.2812736200000001</v>
          </cell>
          <cell r="E24">
            <v>10.417102410000005</v>
          </cell>
          <cell r="F24">
            <v>2.4779501700000002</v>
          </cell>
        </row>
        <row r="25">
          <cell r="B25" t="str">
            <v>Juguetes</v>
          </cell>
          <cell r="C25">
            <v>6.3786665199999968</v>
          </cell>
          <cell r="D25">
            <v>1.1914011600000003</v>
          </cell>
          <cell r="E25">
            <v>10.302771959999989</v>
          </cell>
          <cell r="F25">
            <v>1.0873259399999999</v>
          </cell>
        </row>
        <row r="26">
          <cell r="B26" t="str">
            <v>Receptores televisión</v>
          </cell>
          <cell r="C26">
            <v>3.4546460400000001</v>
          </cell>
          <cell r="D26">
            <v>3.2110300000000001E-3</v>
          </cell>
          <cell r="E26">
            <v>9.8954806500000032</v>
          </cell>
          <cell r="F26">
            <v>1.2455500000000002E-3</v>
          </cell>
        </row>
        <row r="27">
          <cell r="B27" t="str">
            <v>Artículos navideños</v>
          </cell>
          <cell r="C27">
            <v>7.5470852699999966</v>
          </cell>
          <cell r="D27">
            <v>0.45118311</v>
          </cell>
          <cell r="E27">
            <v>9.5901963799999983</v>
          </cell>
          <cell r="F27">
            <v>0.62222275999999987</v>
          </cell>
        </row>
        <row r="28">
          <cell r="B28" t="str">
            <v>Aparatos de alumbrado</v>
          </cell>
          <cell r="C28">
            <v>6.7757613399999981</v>
          </cell>
          <cell r="D28">
            <v>0.69582383999999997</v>
          </cell>
          <cell r="E28">
            <v>9.4866878799999981</v>
          </cell>
          <cell r="F28">
            <v>0.85221531000000006</v>
          </cell>
        </row>
        <row r="29">
          <cell r="B29" t="str">
            <v>Antibióticos</v>
          </cell>
          <cell r="C29">
            <v>8.5715080999999973</v>
          </cell>
          <cell r="D29">
            <v>0.90819336000000006</v>
          </cell>
          <cell r="E29">
            <v>9.1764363800000055</v>
          </cell>
          <cell r="F29">
            <v>1.07322501</v>
          </cell>
        </row>
        <row r="30">
          <cell r="B30" t="str">
            <v>Piletas de lavar</v>
          </cell>
          <cell r="C30">
            <v>3.9102492000000004</v>
          </cell>
          <cell r="D30">
            <v>0.56367372000000004</v>
          </cell>
          <cell r="E30">
            <v>9.1648714099999928</v>
          </cell>
          <cell r="F30">
            <v>0.95575818000000012</v>
          </cell>
        </row>
        <row r="31">
          <cell r="B31" t="str">
            <v>Receptores de radiodifusión</v>
          </cell>
          <cell r="C31">
            <v>3.8267151900000016</v>
          </cell>
          <cell r="D31">
            <v>0.93617349000000005</v>
          </cell>
          <cell r="E31">
            <v>9.1579643900000054</v>
          </cell>
          <cell r="F31">
            <v>2.5149094700000001</v>
          </cell>
        </row>
      </sheetData>
      <sheetData sheetId="13">
        <row r="2">
          <cell r="B2" t="str">
            <v>Medicamentos uso humano</v>
          </cell>
          <cell r="C2">
            <v>29.530851040000034</v>
          </cell>
          <cell r="D2">
            <v>2.3241886399999996</v>
          </cell>
          <cell r="E2">
            <v>37.61103215</v>
          </cell>
          <cell r="F2">
            <v>3.5883624400000005</v>
          </cell>
        </row>
        <row r="3">
          <cell r="B3" t="str">
            <v>Preparaciones para bebidas</v>
          </cell>
          <cell r="C3">
            <v>39.753707570000003</v>
          </cell>
          <cell r="D3">
            <v>1.8463148500000002</v>
          </cell>
          <cell r="E3">
            <v>35.287585820000018</v>
          </cell>
          <cell r="F3">
            <v>2.97754407</v>
          </cell>
        </row>
        <row r="4">
          <cell r="B4" t="str">
            <v>Vehículos 1.500 y 3.000 cm3</v>
          </cell>
          <cell r="C4">
            <v>18.858610480000021</v>
          </cell>
          <cell r="D4">
            <v>0.73624319999999999</v>
          </cell>
          <cell r="E4">
            <v>25.441663949999992</v>
          </cell>
          <cell r="F4">
            <v>2.8874257099999991</v>
          </cell>
        </row>
        <row r="5">
          <cell r="B5" t="str">
            <v>Papeles y cartones</v>
          </cell>
          <cell r="C5">
            <v>24.144917849999992</v>
          </cell>
          <cell r="D5">
            <v>2.5958628099999999</v>
          </cell>
          <cell r="E5">
            <v>24.605997470000005</v>
          </cell>
          <cell r="F5">
            <v>0.91367591000000015</v>
          </cell>
        </row>
        <row r="6">
          <cell r="B6" t="str">
            <v>Teléfonos móviles</v>
          </cell>
          <cell r="C6">
            <v>32.58745907000003</v>
          </cell>
          <cell r="D6">
            <v>2.8559255400000008</v>
          </cell>
          <cell r="E6">
            <v>18.345565749999999</v>
          </cell>
          <cell r="F6">
            <v>5.3890600500000039</v>
          </cell>
        </row>
        <row r="7">
          <cell r="B7" t="str">
            <v>Llantas para buses</v>
          </cell>
          <cell r="C7">
            <v>10.612942790000009</v>
          </cell>
          <cell r="D7">
            <v>0.78742879999999993</v>
          </cell>
          <cell r="E7">
            <v>17.787709069999988</v>
          </cell>
          <cell r="F7">
            <v>2.5495573299999998</v>
          </cell>
        </row>
        <row r="8">
          <cell r="B8" t="str">
            <v>Aviones &gt; 15 mil kg</v>
          </cell>
          <cell r="C8">
            <v>52.310972209999996</v>
          </cell>
          <cell r="D8">
            <v>6.5383210900000002</v>
          </cell>
          <cell r="E8">
            <v>16.363182729999998</v>
          </cell>
          <cell r="F8">
            <v>0</v>
          </cell>
        </row>
        <row r="9">
          <cell r="B9" t="str">
            <v>Chasís de vehículos</v>
          </cell>
          <cell r="C9">
            <v>18.382081979999992</v>
          </cell>
          <cell r="D9">
            <v>1.47182773</v>
          </cell>
          <cell r="E9">
            <v>15.28376439</v>
          </cell>
          <cell r="F9">
            <v>2.4270085899999994</v>
          </cell>
        </row>
        <row r="10">
          <cell r="B10" t="str">
            <v>Maíz duro amarillo</v>
          </cell>
          <cell r="C10">
            <v>9.7084088500000014</v>
          </cell>
          <cell r="D10">
            <v>1.60145293</v>
          </cell>
          <cell r="E10">
            <v>13.674491220000002</v>
          </cell>
          <cell r="F10">
            <v>4.4694654999999992</v>
          </cell>
        </row>
        <row r="11">
          <cell r="B11" t="str">
            <v>Productos laminados</v>
          </cell>
          <cell r="C11">
            <v>5.9431317699999999</v>
          </cell>
          <cell r="D11">
            <v>1.33696908</v>
          </cell>
          <cell r="E11">
            <v>12.00889892</v>
          </cell>
          <cell r="F11">
            <v>0</v>
          </cell>
        </row>
        <row r="12">
          <cell r="B12" t="str">
            <v>Llantas para automóviles</v>
          </cell>
          <cell r="C12">
            <v>7.8745124100000048</v>
          </cell>
          <cell r="D12">
            <v>0.88669338999999958</v>
          </cell>
          <cell r="E12">
            <v>11.911043550000015</v>
          </cell>
          <cell r="F12">
            <v>0.91661699000000008</v>
          </cell>
        </row>
        <row r="13">
          <cell r="B13" t="str">
            <v>Medicamentos para VIH</v>
          </cell>
          <cell r="C13">
            <v>14.908707539999996</v>
          </cell>
          <cell r="D13">
            <v>1.5620573100000001</v>
          </cell>
          <cell r="E13">
            <v>11.013138529999999</v>
          </cell>
          <cell r="F13">
            <v>9.5197800000000003E-3</v>
          </cell>
        </row>
        <row r="14">
          <cell r="B14" t="str">
            <v>Anticonceptivos</v>
          </cell>
          <cell r="C14">
            <v>10.001751180000001</v>
          </cell>
          <cell r="D14">
            <v>1.12100501</v>
          </cell>
          <cell r="E14">
            <v>9.9074518800000018</v>
          </cell>
          <cell r="F14">
            <v>0.33257929999999997</v>
          </cell>
        </row>
        <row r="15">
          <cell r="B15" t="str">
            <v>Aceleradores de reacción</v>
          </cell>
          <cell r="C15">
            <v>4.3051201299999997</v>
          </cell>
          <cell r="D15">
            <v>1.2756848999999999</v>
          </cell>
          <cell r="E15">
            <v>9.6557976700000019</v>
          </cell>
          <cell r="F15">
            <v>1.0487754499999999</v>
          </cell>
        </row>
        <row r="16">
          <cell r="B16" t="str">
            <v>Tractores</v>
          </cell>
          <cell r="C16">
            <v>4.8347529600000003</v>
          </cell>
          <cell r="D16">
            <v>0.66971310000000006</v>
          </cell>
          <cell r="E16">
            <v>9.1454053700000006</v>
          </cell>
          <cell r="F16">
            <v>1.3425555200000001</v>
          </cell>
        </row>
        <row r="17">
          <cell r="B17" t="str">
            <v>Propulsores a reacción</v>
          </cell>
          <cell r="C17">
            <v>5.5357241300000002</v>
          </cell>
          <cell r="D17">
            <v>0</v>
          </cell>
          <cell r="E17">
            <v>8.9433174299999987</v>
          </cell>
          <cell r="F17">
            <v>0</v>
          </cell>
        </row>
        <row r="18">
          <cell r="B18" t="str">
            <v>Máquinas de afeitar</v>
          </cell>
          <cell r="C18">
            <v>3.9368503100000005</v>
          </cell>
          <cell r="D18">
            <v>0</v>
          </cell>
          <cell r="E18">
            <v>8.733811240000005</v>
          </cell>
          <cell r="F18">
            <v>0.77820828000000009</v>
          </cell>
        </row>
        <row r="19">
          <cell r="B19" t="str">
            <v>Azúcares de caña</v>
          </cell>
          <cell r="C19">
            <v>7.2680476899999986</v>
          </cell>
          <cell r="D19">
            <v>1.13188697</v>
          </cell>
          <cell r="E19">
            <v>8.6753375700000017</v>
          </cell>
          <cell r="F19">
            <v>1.12657578</v>
          </cell>
        </row>
        <row r="20">
          <cell r="B20" t="str">
            <v>Tubos para oleoductos</v>
          </cell>
          <cell r="C20">
            <v>5.2634501</v>
          </cell>
          <cell r="D20">
            <v>0.18752039000000001</v>
          </cell>
          <cell r="E20">
            <v>8.4633397100000014</v>
          </cell>
          <cell r="F20">
            <v>0</v>
          </cell>
        </row>
        <row r="21">
          <cell r="B21" t="str">
            <v>Medicamentos sin antibióticos</v>
          </cell>
          <cell r="C21">
            <v>5.8057468899999991</v>
          </cell>
          <cell r="D21">
            <v>0.68166367000000017</v>
          </cell>
          <cell r="E21">
            <v>8.4516334699999973</v>
          </cell>
          <cell r="F21">
            <v>0.43323708999999999</v>
          </cell>
        </row>
        <row r="22">
          <cell r="B22" t="str">
            <v>Laminados de acero</v>
          </cell>
          <cell r="C22">
            <v>4.5047157999999996</v>
          </cell>
          <cell r="D22">
            <v>1.6795678500000002</v>
          </cell>
          <cell r="E22">
            <v>7.93664551</v>
          </cell>
          <cell r="F22">
            <v>0</v>
          </cell>
        </row>
        <row r="23">
          <cell r="B23" t="str">
            <v>Tarjetas inteligentes</v>
          </cell>
          <cell r="C23">
            <v>4.4675232200000154</v>
          </cell>
          <cell r="D23">
            <v>0.56371181000000015</v>
          </cell>
          <cell r="E23">
            <v>7.4887643699999957</v>
          </cell>
          <cell r="F23">
            <v>1.3229682800000024</v>
          </cell>
        </row>
        <row r="24">
          <cell r="B24" t="str">
            <v>Fungicidas</v>
          </cell>
          <cell r="C24">
            <v>4.5719689500000005</v>
          </cell>
          <cell r="D24">
            <v>0.57091199999999998</v>
          </cell>
          <cell r="E24">
            <v>7.0915851800000018</v>
          </cell>
          <cell r="F24">
            <v>0.76222619000000003</v>
          </cell>
        </row>
        <row r="25">
          <cell r="B25" t="str">
            <v>Polietileno</v>
          </cell>
          <cell r="C25">
            <v>4.1693662000000007</v>
          </cell>
          <cell r="D25">
            <v>0.42995791</v>
          </cell>
          <cell r="E25">
            <v>6.3719393800000015</v>
          </cell>
          <cell r="F25">
            <v>0.49101050000000002</v>
          </cell>
        </row>
        <row r="26">
          <cell r="B26" t="str">
            <v>Laminados sin enrollar</v>
          </cell>
          <cell r="C26">
            <v>6.4557412000000012</v>
          </cell>
          <cell r="D26">
            <v>0</v>
          </cell>
          <cell r="E26">
            <v>6.2853316000000001</v>
          </cell>
          <cell r="F26">
            <v>0</v>
          </cell>
        </row>
        <row r="27">
          <cell r="B27" t="str">
            <v>Calzados suela de caucho</v>
          </cell>
          <cell r="C27">
            <v>3.2775288800000002</v>
          </cell>
          <cell r="D27">
            <v>0.82001775999999993</v>
          </cell>
          <cell r="E27">
            <v>6.176024250000002</v>
          </cell>
          <cell r="F27">
            <v>2.0623817800000004</v>
          </cell>
        </row>
        <row r="28">
          <cell r="B28" t="str">
            <v>Diuron</v>
          </cell>
          <cell r="C28">
            <v>5.08625536</v>
          </cell>
          <cell r="D28">
            <v>0.20629285</v>
          </cell>
          <cell r="E28">
            <v>5.9854330699999991</v>
          </cell>
          <cell r="F28">
            <v>0.30949167</v>
          </cell>
        </row>
        <row r="29">
          <cell r="B29" t="str">
            <v>Calzados</v>
          </cell>
          <cell r="C29">
            <v>4.9375691800000041</v>
          </cell>
          <cell r="D29">
            <v>0.90514216000000003</v>
          </cell>
          <cell r="E29">
            <v>5.9379618600000024</v>
          </cell>
          <cell r="F29">
            <v>0.72663039999999979</v>
          </cell>
        </row>
        <row r="30">
          <cell r="B30" t="str">
            <v>Alambre de cobre</v>
          </cell>
          <cell r="C30">
            <v>8.1509216000000002</v>
          </cell>
          <cell r="D30">
            <v>0.66857708000000005</v>
          </cell>
          <cell r="E30">
            <v>5.6609056600000001</v>
          </cell>
          <cell r="F30">
            <v>0.19652386999999999</v>
          </cell>
        </row>
        <row r="31">
          <cell r="B31" t="str">
            <v>Partes de bombas</v>
          </cell>
          <cell r="C31">
            <v>3.0927937800000032</v>
          </cell>
          <cell r="D31">
            <v>0.5017488200000001</v>
          </cell>
          <cell r="E31">
            <v>5.1793679199999971</v>
          </cell>
          <cell r="F31">
            <v>0.14383221000000002</v>
          </cell>
        </row>
      </sheetData>
      <sheetData sheetId="14">
        <row r="2">
          <cell r="B2" t="str">
            <v>Medicamentos uso humano</v>
          </cell>
          <cell r="C2">
            <v>24.294837249999997</v>
          </cell>
          <cell r="D2">
            <v>1.9843611499999998</v>
          </cell>
          <cell r="E2">
            <v>34.978430599999989</v>
          </cell>
          <cell r="F2">
            <v>3.4634915199999989</v>
          </cell>
        </row>
        <row r="3">
          <cell r="B3" t="str">
            <v>Reactivos de laboratorio</v>
          </cell>
          <cell r="C3">
            <v>16.002071409999999</v>
          </cell>
          <cell r="D3">
            <v>1.8069640799999998</v>
          </cell>
          <cell r="E3">
            <v>20.356425149999989</v>
          </cell>
          <cell r="F3">
            <v>2.8055353499999991</v>
          </cell>
        </row>
        <row r="4">
          <cell r="B4" t="str">
            <v>Productos inmunológicos</v>
          </cell>
          <cell r="C4">
            <v>9.6185042599999981</v>
          </cell>
          <cell r="D4">
            <v>2.7956710200000003</v>
          </cell>
          <cell r="E4">
            <v>16.610324130000002</v>
          </cell>
          <cell r="F4">
            <v>3.3163159999999997E-2</v>
          </cell>
        </row>
        <row r="5">
          <cell r="B5" t="str">
            <v>Propulsores a reacción</v>
          </cell>
          <cell r="E5">
            <v>15.487494380000001</v>
          </cell>
          <cell r="F5">
            <v>0</v>
          </cell>
        </row>
        <row r="6">
          <cell r="B6" t="str">
            <v>Aparatos de medicina</v>
          </cell>
          <cell r="C6">
            <v>9.2470483400000045</v>
          </cell>
          <cell r="D6">
            <v>1.0381287100000001</v>
          </cell>
          <cell r="E6">
            <v>13.897775969999984</v>
          </cell>
          <cell r="F6">
            <v>1.8969782199999996</v>
          </cell>
        </row>
        <row r="7">
          <cell r="B7" t="str">
            <v>Reactivos de diagnóstico</v>
          </cell>
          <cell r="C7">
            <v>9.5583658499999906</v>
          </cell>
          <cell r="D7">
            <v>0.95227700000000037</v>
          </cell>
          <cell r="E7">
            <v>12.531035950000012</v>
          </cell>
          <cell r="F7">
            <v>1.5342226999999995</v>
          </cell>
        </row>
        <row r="8">
          <cell r="B8" t="str">
            <v>Máquinas autopropulsadas</v>
          </cell>
          <cell r="E8">
            <v>11.650565290000001</v>
          </cell>
          <cell r="F8">
            <v>11.573354800000001</v>
          </cell>
        </row>
        <row r="9">
          <cell r="B9" t="str">
            <v>Aparatos telecomunicación</v>
          </cell>
          <cell r="C9">
            <v>9.1929496499999974</v>
          </cell>
          <cell r="D9">
            <v>2.0615782999999999</v>
          </cell>
          <cell r="E9">
            <v>10.679385089999997</v>
          </cell>
          <cell r="F9">
            <v>1.2110339700000001</v>
          </cell>
        </row>
        <row r="10">
          <cell r="B10" t="str">
            <v>Máquinas para imprimir</v>
          </cell>
          <cell r="C10">
            <v>1.603737</v>
          </cell>
          <cell r="D10">
            <v>0</v>
          </cell>
          <cell r="E10">
            <v>7.9971729700000003</v>
          </cell>
          <cell r="F10">
            <v>0</v>
          </cell>
        </row>
        <row r="11">
          <cell r="B11" t="str">
            <v>Aparatos electromédicos</v>
          </cell>
          <cell r="C11">
            <v>4.4673645699999955</v>
          </cell>
          <cell r="D11">
            <v>1.1793471699999998</v>
          </cell>
          <cell r="E11">
            <v>7.662088270000007</v>
          </cell>
          <cell r="F11">
            <v>0.34688333999999993</v>
          </cell>
        </row>
        <row r="12">
          <cell r="B12" t="str">
            <v>Escopolamina</v>
          </cell>
          <cell r="C12">
            <v>7.3595580200000024</v>
          </cell>
          <cell r="D12">
            <v>0.86855852</v>
          </cell>
          <cell r="E12">
            <v>7.3733279000000005</v>
          </cell>
          <cell r="F12">
            <v>0.46479090000000001</v>
          </cell>
        </row>
        <row r="13">
          <cell r="B13" t="str">
            <v>Tintas de imprenta</v>
          </cell>
          <cell r="C13">
            <v>4.8184719899999999</v>
          </cell>
          <cell r="D13">
            <v>0.45438189000000001</v>
          </cell>
          <cell r="E13">
            <v>7.2241836299999997</v>
          </cell>
          <cell r="F13">
            <v>0.30064250000000003</v>
          </cell>
        </row>
        <row r="14">
          <cell r="B14" t="str">
            <v>Tubos de hierro</v>
          </cell>
          <cell r="C14">
            <v>5.1489759999999996E-2</v>
          </cell>
          <cell r="D14">
            <v>0</v>
          </cell>
          <cell r="E14">
            <v>6.6507153700000003</v>
          </cell>
          <cell r="F14">
            <v>6.6507153700000003</v>
          </cell>
        </row>
        <row r="15">
          <cell r="B15" t="str">
            <v>Insulina</v>
          </cell>
          <cell r="C15">
            <v>6.1305362600000004</v>
          </cell>
          <cell r="D15">
            <v>0.92131874000000002</v>
          </cell>
          <cell r="E15">
            <v>6.4958773599999997</v>
          </cell>
          <cell r="F15">
            <v>0.99137229999999987</v>
          </cell>
        </row>
        <row r="16">
          <cell r="B16" t="str">
            <v>Aparatos ópticos</v>
          </cell>
          <cell r="C16">
            <v>7.6116800200000005</v>
          </cell>
          <cell r="D16">
            <v>0.25888127999999999</v>
          </cell>
          <cell r="E16">
            <v>6.05793274</v>
          </cell>
          <cell r="F16">
            <v>0.51808122000000001</v>
          </cell>
        </row>
        <row r="17">
          <cell r="B17" t="str">
            <v>Papel y cartón kraft</v>
          </cell>
          <cell r="C17">
            <v>6.8220360299999996</v>
          </cell>
          <cell r="D17">
            <v>0.18092068</v>
          </cell>
          <cell r="E17">
            <v>6.0134100000000004</v>
          </cell>
          <cell r="F17">
            <v>0.54590890999999997</v>
          </cell>
        </row>
        <row r="18">
          <cell r="B18" t="str">
            <v>Plasma humano</v>
          </cell>
          <cell r="C18">
            <v>2.9693824900000019</v>
          </cell>
          <cell r="D18">
            <v>0.60690105000000005</v>
          </cell>
          <cell r="E18">
            <v>5.927668559999999</v>
          </cell>
          <cell r="F18">
            <v>0.61667263999999999</v>
          </cell>
        </row>
        <row r="19">
          <cell r="B19" t="str">
            <v>Papeles y cartones</v>
          </cell>
          <cell r="C19">
            <v>6.0216464400000005</v>
          </cell>
          <cell r="D19">
            <v>0.90489279000000011</v>
          </cell>
          <cell r="E19">
            <v>5.5017938599999985</v>
          </cell>
          <cell r="F19">
            <v>0.15760178999999999</v>
          </cell>
        </row>
        <row r="20">
          <cell r="B20" t="str">
            <v>Cortadoras de rocas</v>
          </cell>
          <cell r="C20">
            <v>0.89235039000000005</v>
          </cell>
          <cell r="D20">
            <v>0</v>
          </cell>
          <cell r="E20">
            <v>5.4652124300000002</v>
          </cell>
          <cell r="F20">
            <v>0</v>
          </cell>
        </row>
        <row r="21">
          <cell r="B21" t="str">
            <v>Partes de Teléfonos</v>
          </cell>
          <cell r="C21">
            <v>2.1636299900000004</v>
          </cell>
          <cell r="D21">
            <v>0.10192772999999999</v>
          </cell>
          <cell r="E21">
            <v>5.2620833399999993</v>
          </cell>
          <cell r="F21">
            <v>8.9968619999999985E-2</v>
          </cell>
        </row>
        <row r="22">
          <cell r="B22" t="str">
            <v>Helicopteros</v>
          </cell>
          <cell r="E22">
            <v>5.1873750000000003</v>
          </cell>
          <cell r="F22">
            <v>5.1873750000000003</v>
          </cell>
        </row>
        <row r="23">
          <cell r="B23" t="str">
            <v>Bebidas no alcohólicas</v>
          </cell>
          <cell r="C23">
            <v>4.4361477000000002</v>
          </cell>
          <cell r="D23">
            <v>0.40524464999999998</v>
          </cell>
          <cell r="E23">
            <v>5.1638865599999999</v>
          </cell>
          <cell r="F23">
            <v>0.8320708</v>
          </cell>
        </row>
        <row r="24">
          <cell r="B24" t="str">
            <v>Medicamentos para VIH</v>
          </cell>
          <cell r="C24">
            <v>3.2961213099999997</v>
          </cell>
          <cell r="D24">
            <v>0</v>
          </cell>
          <cell r="E24">
            <v>5.0840574399999987</v>
          </cell>
          <cell r="F24">
            <v>0</v>
          </cell>
        </row>
        <row r="25">
          <cell r="B25" t="str">
            <v>Aparatos trabajar caucho</v>
          </cell>
          <cell r="C25">
            <v>0.59050479999999994</v>
          </cell>
          <cell r="D25">
            <v>1.1518509999999999E-2</v>
          </cell>
          <cell r="E25">
            <v>4.9825494399999997</v>
          </cell>
          <cell r="F25">
            <v>4.821868E-2</v>
          </cell>
        </row>
        <row r="26">
          <cell r="B26" t="str">
            <v>Aparatos control líquido</v>
          </cell>
          <cell r="C26">
            <v>3.8192317300000029</v>
          </cell>
          <cell r="D26">
            <v>1.0464348100000005</v>
          </cell>
          <cell r="E26">
            <v>4.8617334200000029</v>
          </cell>
          <cell r="F26">
            <v>0.36236118</v>
          </cell>
        </row>
        <row r="27">
          <cell r="B27" t="str">
            <v>Cateteres</v>
          </cell>
          <cell r="C27">
            <v>5.4412853900000027</v>
          </cell>
          <cell r="D27">
            <v>0.64439159000000001</v>
          </cell>
          <cell r="E27">
            <v>4.7216029599999993</v>
          </cell>
          <cell r="F27">
            <v>0.37919544000000005</v>
          </cell>
        </row>
        <row r="28">
          <cell r="B28" t="str">
            <v>Sueros con anticuerpos</v>
          </cell>
          <cell r="C28">
            <v>2.3956430000000001E-2</v>
          </cell>
          <cell r="D28">
            <v>2.2751649999999998E-2</v>
          </cell>
          <cell r="E28">
            <v>4.6177740900000046</v>
          </cell>
          <cell r="F28">
            <v>9.2466489999999985E-2</v>
          </cell>
        </row>
        <row r="29">
          <cell r="B29" t="str">
            <v>Guata de celulosa</v>
          </cell>
          <cell r="C29">
            <v>2.9469056900000012</v>
          </cell>
          <cell r="D29">
            <v>0.46294163999999999</v>
          </cell>
          <cell r="E29">
            <v>4.5791206500000001</v>
          </cell>
          <cell r="F29">
            <v>0.27806546999999998</v>
          </cell>
        </row>
        <row r="30">
          <cell r="B30" t="str">
            <v>Aparatos para fracturas</v>
          </cell>
          <cell r="C30">
            <v>2.1156775599999995</v>
          </cell>
          <cell r="D30">
            <v>0.16840356999999997</v>
          </cell>
          <cell r="E30">
            <v>4.2345899599999992</v>
          </cell>
          <cell r="F30">
            <v>0.22715449000000004</v>
          </cell>
        </row>
        <row r="31">
          <cell r="B31" t="str">
            <v>Papel estucado</v>
          </cell>
          <cell r="C31">
            <v>0.8582598199999999</v>
          </cell>
          <cell r="D31">
            <v>0.30217474</v>
          </cell>
          <cell r="E31">
            <v>4.1039113</v>
          </cell>
          <cell r="F31">
            <v>0.26925007000000001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origen"/>
    </sheetNames>
    <sheetDataSet>
      <sheetData sheetId="0">
        <row r="7">
          <cell r="B7" t="str">
            <v>Bolivia</v>
          </cell>
          <cell r="C7">
            <v>5660663</v>
          </cell>
          <cell r="D7">
            <v>5012841</v>
          </cell>
          <cell r="E7">
            <v>541107</v>
          </cell>
          <cell r="F7">
            <v>1017040</v>
          </cell>
        </row>
        <row r="8">
          <cell r="B8" t="str">
            <v>Ecuador</v>
          </cell>
          <cell r="C8">
            <v>145648703</v>
          </cell>
          <cell r="D8">
            <v>257368236</v>
          </cell>
          <cell r="E8">
            <v>10561318</v>
          </cell>
          <cell r="F8">
            <v>33414748</v>
          </cell>
        </row>
        <row r="9">
          <cell r="B9" t="str">
            <v xml:space="preserve">Perú </v>
          </cell>
          <cell r="C9">
            <v>173756588</v>
          </cell>
          <cell r="D9">
            <v>239511806</v>
          </cell>
          <cell r="E9">
            <v>19065436</v>
          </cell>
          <cell r="F9">
            <v>21375338</v>
          </cell>
        </row>
        <row r="23">
          <cell r="B23" t="str">
            <v>Argentina</v>
          </cell>
          <cell r="C23">
            <v>333188747</v>
          </cell>
          <cell r="D23">
            <v>383637428</v>
          </cell>
          <cell r="E23">
            <v>40928043</v>
          </cell>
          <cell r="F23">
            <v>39794771</v>
          </cell>
        </row>
        <row r="24">
          <cell r="B24" t="str">
            <v xml:space="preserve">Brasil </v>
          </cell>
          <cell r="C24">
            <v>782676705</v>
          </cell>
          <cell r="D24">
            <v>862015955</v>
          </cell>
          <cell r="E24">
            <v>73475091</v>
          </cell>
          <cell r="F24">
            <v>87527581</v>
          </cell>
        </row>
        <row r="25">
          <cell r="B25" t="str">
            <v xml:space="preserve">Cuba </v>
          </cell>
          <cell r="C25">
            <v>3296770</v>
          </cell>
          <cell r="D25">
            <v>2672987</v>
          </cell>
          <cell r="E25">
            <v>55982</v>
          </cell>
          <cell r="F25">
            <v>1745227</v>
          </cell>
        </row>
        <row r="26">
          <cell r="B26" t="str">
            <v xml:space="preserve">Chile </v>
          </cell>
          <cell r="C26">
            <v>427015332</v>
          </cell>
          <cell r="D26">
            <v>456979653</v>
          </cell>
          <cell r="E26">
            <v>33285673</v>
          </cell>
          <cell r="F26">
            <v>72509708</v>
          </cell>
        </row>
        <row r="27">
          <cell r="B27" t="str">
            <v xml:space="preserve">México </v>
          </cell>
          <cell r="C27">
            <v>1484104735</v>
          </cell>
          <cell r="D27">
            <v>2927892936</v>
          </cell>
          <cell r="E27">
            <v>149634543</v>
          </cell>
          <cell r="F27">
            <v>408736684</v>
          </cell>
        </row>
        <row r="28">
          <cell r="B28" t="str">
            <v xml:space="preserve">Paraguay </v>
          </cell>
          <cell r="C28">
            <v>2968280</v>
          </cell>
          <cell r="D28">
            <v>3336054</v>
          </cell>
          <cell r="E28">
            <v>327981</v>
          </cell>
          <cell r="F28">
            <v>103716</v>
          </cell>
        </row>
        <row r="29">
          <cell r="B29" t="str">
            <v xml:space="preserve">Uruguay </v>
          </cell>
          <cell r="C29">
            <v>68743360</v>
          </cell>
          <cell r="D29">
            <v>78051738</v>
          </cell>
          <cell r="E29">
            <v>7684300</v>
          </cell>
          <cell r="F29">
            <v>9039177</v>
          </cell>
        </row>
        <row r="30">
          <cell r="B30" t="str">
            <v>Venezuela</v>
          </cell>
          <cell r="C30">
            <v>73994184</v>
          </cell>
          <cell r="D30">
            <v>175887031</v>
          </cell>
          <cell r="E30">
            <v>7317490</v>
          </cell>
          <cell r="F30">
            <v>22211146</v>
          </cell>
        </row>
        <row r="44">
          <cell r="B44" t="str">
            <v xml:space="preserve">Canadá </v>
          </cell>
          <cell r="C44">
            <v>218033925</v>
          </cell>
          <cell r="D44">
            <v>214335525</v>
          </cell>
          <cell r="E44">
            <v>21828705</v>
          </cell>
          <cell r="F44">
            <v>30125884</v>
          </cell>
        </row>
        <row r="45">
          <cell r="B45" t="str">
            <v>Estados Unidos</v>
          </cell>
          <cell r="C45">
            <v>4261037940</v>
          </cell>
          <cell r="D45">
            <v>6547866179</v>
          </cell>
          <cell r="E45">
            <v>430885589</v>
          </cell>
          <cell r="F45">
            <v>706876335</v>
          </cell>
        </row>
        <row r="59">
          <cell r="B59" t="str">
            <v xml:space="preserve">Alemania </v>
          </cell>
          <cell r="C59">
            <v>657456599</v>
          </cell>
          <cell r="D59">
            <v>772424409</v>
          </cell>
          <cell r="E59">
            <v>60017828</v>
          </cell>
          <cell r="F59">
            <v>89018609</v>
          </cell>
        </row>
        <row r="60">
          <cell r="B60" t="str">
            <v xml:space="preserve">Bélgica </v>
          </cell>
          <cell r="C60">
            <v>456199900</v>
          </cell>
          <cell r="D60">
            <v>534582805</v>
          </cell>
          <cell r="E60">
            <v>55649874</v>
          </cell>
          <cell r="F60">
            <v>48061635</v>
          </cell>
        </row>
        <row r="61">
          <cell r="B61" t="str">
            <v xml:space="preserve">Dinamarca </v>
          </cell>
          <cell r="C61">
            <v>33546577</v>
          </cell>
          <cell r="D61">
            <v>33415263</v>
          </cell>
          <cell r="E61">
            <v>1777446</v>
          </cell>
          <cell r="F61">
            <v>2804546</v>
          </cell>
        </row>
        <row r="62">
          <cell r="B62" t="str">
            <v xml:space="preserve">España </v>
          </cell>
          <cell r="C62">
            <v>242136481</v>
          </cell>
          <cell r="D62">
            <v>313468874</v>
          </cell>
          <cell r="E62">
            <v>30644985</v>
          </cell>
          <cell r="F62">
            <v>34099786</v>
          </cell>
        </row>
        <row r="63">
          <cell r="B63" t="str">
            <v xml:space="preserve">Finlandia </v>
          </cell>
          <cell r="C63">
            <v>55339080</v>
          </cell>
          <cell r="D63">
            <v>80230659</v>
          </cell>
          <cell r="E63">
            <v>6692484</v>
          </cell>
          <cell r="F63">
            <v>13220047</v>
          </cell>
        </row>
        <row r="64">
          <cell r="B64" t="str">
            <v xml:space="preserve">Francia </v>
          </cell>
          <cell r="C64">
            <v>628151913</v>
          </cell>
          <cell r="D64">
            <v>584830583</v>
          </cell>
          <cell r="E64">
            <v>79820454</v>
          </cell>
          <cell r="F64">
            <v>51996093</v>
          </cell>
        </row>
        <row r="65">
          <cell r="B65" t="str">
            <v xml:space="preserve">Italia </v>
          </cell>
          <cell r="C65">
            <v>254205114</v>
          </cell>
          <cell r="D65">
            <v>335927449</v>
          </cell>
          <cell r="E65">
            <v>27015925</v>
          </cell>
          <cell r="F65">
            <v>32736903</v>
          </cell>
        </row>
        <row r="66">
          <cell r="B66" t="str">
            <v xml:space="preserve">Países Bajos </v>
          </cell>
          <cell r="C66">
            <v>207848208</v>
          </cell>
          <cell r="D66">
            <v>253255089</v>
          </cell>
          <cell r="E66">
            <v>22540647</v>
          </cell>
          <cell r="F66">
            <v>44878786</v>
          </cell>
        </row>
        <row r="67">
          <cell r="B67" t="str">
            <v xml:space="preserve">Reino Unido </v>
          </cell>
          <cell r="C67">
            <v>224540444</v>
          </cell>
          <cell r="D67">
            <v>231572402</v>
          </cell>
          <cell r="E67">
            <v>14483173</v>
          </cell>
          <cell r="F67">
            <v>20035599</v>
          </cell>
        </row>
        <row r="68">
          <cell r="B68" t="str">
            <v xml:space="preserve">Suecia </v>
          </cell>
          <cell r="C68">
            <v>60847819</v>
          </cell>
          <cell r="D68">
            <v>61726633</v>
          </cell>
          <cell r="E68">
            <v>6890600</v>
          </cell>
          <cell r="F68">
            <v>5527386</v>
          </cell>
        </row>
        <row r="69">
          <cell r="B69" t="str">
            <v xml:space="preserve">Resto </v>
          </cell>
          <cell r="C69">
            <v>97999053</v>
          </cell>
          <cell r="D69">
            <v>153524662</v>
          </cell>
          <cell r="E69">
            <v>11292316</v>
          </cell>
          <cell r="F69">
            <v>15302681</v>
          </cell>
        </row>
        <row r="83">
          <cell r="B83" t="str">
            <v>Corea del Sur</v>
          </cell>
          <cell r="C83">
            <v>588083604</v>
          </cell>
          <cell r="D83">
            <v>717713609</v>
          </cell>
          <cell r="E83">
            <v>57345727</v>
          </cell>
          <cell r="F83">
            <v>66042830</v>
          </cell>
        </row>
        <row r="84">
          <cell r="B84" t="str">
            <v xml:space="preserve">China </v>
          </cell>
          <cell r="C84">
            <v>1666777203</v>
          </cell>
          <cell r="D84">
            <v>2507376892</v>
          </cell>
          <cell r="E84">
            <v>201172661</v>
          </cell>
          <cell r="F84">
            <v>299691308</v>
          </cell>
        </row>
        <row r="85">
          <cell r="B85" t="str">
            <v xml:space="preserve">Japón </v>
          </cell>
          <cell r="C85">
            <v>488542058</v>
          </cell>
          <cell r="D85">
            <v>635108569</v>
          </cell>
          <cell r="E85">
            <v>59311942</v>
          </cell>
          <cell r="F85">
            <v>84674736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primarios"/>
    </sheetNames>
    <sheetDataSet>
      <sheetData sheetId="0">
        <row r="7">
          <cell r="B7" t="str">
            <v>Bolivia</v>
          </cell>
          <cell r="C7">
            <v>1351067</v>
          </cell>
          <cell r="D7">
            <v>3050904</v>
          </cell>
          <cell r="E7">
            <v>401805</v>
          </cell>
          <cell r="F7">
            <v>566114</v>
          </cell>
        </row>
        <row r="8">
          <cell r="B8" t="str">
            <v>Ecuador</v>
          </cell>
          <cell r="C8">
            <v>8758064</v>
          </cell>
          <cell r="D8">
            <v>26903812</v>
          </cell>
          <cell r="E8">
            <v>382798</v>
          </cell>
          <cell r="F8">
            <v>2690929</v>
          </cell>
        </row>
        <row r="9">
          <cell r="B9" t="str">
            <v xml:space="preserve">Perú </v>
          </cell>
          <cell r="C9">
            <v>25970641</v>
          </cell>
          <cell r="D9">
            <v>27843338</v>
          </cell>
          <cell r="E9">
            <v>3210542</v>
          </cell>
          <cell r="F9">
            <v>4497918</v>
          </cell>
        </row>
        <row r="23">
          <cell r="B23" t="str">
            <v>Argentina</v>
          </cell>
          <cell r="C23">
            <v>125246969</v>
          </cell>
          <cell r="D23">
            <v>202073203</v>
          </cell>
          <cell r="E23">
            <v>14522684</v>
          </cell>
          <cell r="F23">
            <v>23957088</v>
          </cell>
        </row>
        <row r="24">
          <cell r="B24" t="str">
            <v xml:space="preserve">Brasil </v>
          </cell>
          <cell r="C24">
            <v>29512661</v>
          </cell>
          <cell r="D24">
            <v>39710368</v>
          </cell>
          <cell r="E24">
            <v>2749988</v>
          </cell>
          <cell r="F24">
            <v>7644997</v>
          </cell>
        </row>
        <row r="25">
          <cell r="B25" t="str">
            <v xml:space="preserve">Cuba </v>
          </cell>
          <cell r="C25">
            <v>34463</v>
          </cell>
          <cell r="D25">
            <v>9134</v>
          </cell>
          <cell r="E25">
            <v>0</v>
          </cell>
          <cell r="F25">
            <v>4985</v>
          </cell>
        </row>
        <row r="26">
          <cell r="B26" t="str">
            <v xml:space="preserve">Chile </v>
          </cell>
          <cell r="C26">
            <v>66338192</v>
          </cell>
          <cell r="D26">
            <v>87170137</v>
          </cell>
          <cell r="E26">
            <v>6746504</v>
          </cell>
          <cell r="F26">
            <v>8219893</v>
          </cell>
        </row>
        <row r="27">
          <cell r="B27" t="str">
            <v xml:space="preserve">México </v>
          </cell>
          <cell r="C27">
            <v>20032960</v>
          </cell>
          <cell r="D27">
            <v>10035527</v>
          </cell>
          <cell r="E27">
            <v>1287245</v>
          </cell>
          <cell r="F27">
            <v>1084140</v>
          </cell>
        </row>
        <row r="28">
          <cell r="B28" t="str">
            <v xml:space="preserve">Paraguay </v>
          </cell>
          <cell r="C28">
            <v>995863</v>
          </cell>
          <cell r="D28">
            <v>929333</v>
          </cell>
          <cell r="E28">
            <v>69239</v>
          </cell>
          <cell r="F28">
            <v>0</v>
          </cell>
        </row>
        <row r="29">
          <cell r="B29" t="str">
            <v xml:space="preserve">Uruguay </v>
          </cell>
          <cell r="C29">
            <v>1546771</v>
          </cell>
          <cell r="D29">
            <v>3959417</v>
          </cell>
          <cell r="E29">
            <v>96850</v>
          </cell>
          <cell r="F29">
            <v>82991</v>
          </cell>
        </row>
        <row r="30">
          <cell r="B30" t="str">
            <v>Venezuela</v>
          </cell>
          <cell r="C30">
            <v>479683</v>
          </cell>
          <cell r="D30">
            <v>335051</v>
          </cell>
          <cell r="E30">
            <v>29995</v>
          </cell>
          <cell r="F30">
            <v>49506</v>
          </cell>
        </row>
        <row r="44">
          <cell r="B44" t="str">
            <v xml:space="preserve">Canadá </v>
          </cell>
          <cell r="C44">
            <v>99809536</v>
          </cell>
          <cell r="D44">
            <v>81972465</v>
          </cell>
          <cell r="E44">
            <v>10616945</v>
          </cell>
          <cell r="F44">
            <v>10531956</v>
          </cell>
        </row>
        <row r="45">
          <cell r="B45" t="str">
            <v>Estados Unidos</v>
          </cell>
          <cell r="C45">
            <v>102420720</v>
          </cell>
          <cell r="D45">
            <v>133799572</v>
          </cell>
          <cell r="E45">
            <v>8064486</v>
          </cell>
          <cell r="F45">
            <v>11976451</v>
          </cell>
        </row>
        <row r="59">
          <cell r="B59" t="str">
            <v xml:space="preserve">Alemania </v>
          </cell>
          <cell r="C59">
            <v>3528134</v>
          </cell>
          <cell r="D59">
            <v>3692066</v>
          </cell>
          <cell r="E59">
            <v>329240</v>
          </cell>
          <cell r="F59">
            <v>575923</v>
          </cell>
        </row>
        <row r="60">
          <cell r="B60" t="str">
            <v xml:space="preserve">Bélgica </v>
          </cell>
          <cell r="C60">
            <v>3565083</v>
          </cell>
          <cell r="D60">
            <v>7042684</v>
          </cell>
          <cell r="E60">
            <v>513496</v>
          </cell>
          <cell r="F60">
            <v>622477</v>
          </cell>
        </row>
        <row r="61">
          <cell r="B61" t="str">
            <v xml:space="preserve">Chipre </v>
          </cell>
          <cell r="C61">
            <v>243928</v>
          </cell>
          <cell r="D61">
            <v>135816</v>
          </cell>
          <cell r="E61">
            <v>0</v>
          </cell>
          <cell r="F61">
            <v>0</v>
          </cell>
        </row>
        <row r="62">
          <cell r="B62" t="str">
            <v xml:space="preserve">Dinamarca </v>
          </cell>
          <cell r="C62">
            <v>457401</v>
          </cell>
          <cell r="D62">
            <v>46911</v>
          </cell>
          <cell r="E62">
            <v>10643</v>
          </cell>
          <cell r="F62">
            <v>29436</v>
          </cell>
        </row>
        <row r="63">
          <cell r="B63" t="str">
            <v xml:space="preserve">España </v>
          </cell>
          <cell r="C63">
            <v>5762975</v>
          </cell>
          <cell r="D63">
            <v>7460228</v>
          </cell>
          <cell r="E63">
            <v>848141</v>
          </cell>
          <cell r="F63">
            <v>871311</v>
          </cell>
        </row>
        <row r="64">
          <cell r="B64" t="str">
            <v xml:space="preserve">Francia </v>
          </cell>
          <cell r="C64">
            <v>3028358</v>
          </cell>
          <cell r="D64">
            <v>8903922</v>
          </cell>
          <cell r="E64">
            <v>152376</v>
          </cell>
          <cell r="F64">
            <v>356493</v>
          </cell>
        </row>
        <row r="65">
          <cell r="B65" t="str">
            <v xml:space="preserve">Italia </v>
          </cell>
          <cell r="C65">
            <v>3057747</v>
          </cell>
          <cell r="D65">
            <v>2664193</v>
          </cell>
          <cell r="E65">
            <v>458304</v>
          </cell>
          <cell r="F65">
            <v>340102</v>
          </cell>
        </row>
        <row r="66">
          <cell r="B66" t="str">
            <v xml:space="preserve">Países Bajos </v>
          </cell>
          <cell r="C66">
            <v>10348691</v>
          </cell>
          <cell r="D66">
            <v>10675620</v>
          </cell>
          <cell r="E66">
            <v>796085</v>
          </cell>
          <cell r="F66">
            <v>996358</v>
          </cell>
        </row>
        <row r="67">
          <cell r="B67" t="str">
            <v xml:space="preserve">Reino Unido </v>
          </cell>
          <cell r="C67">
            <v>2466238</v>
          </cell>
          <cell r="D67">
            <v>3054576</v>
          </cell>
          <cell r="E67">
            <v>100405</v>
          </cell>
          <cell r="F67">
            <v>110865</v>
          </cell>
        </row>
        <row r="68">
          <cell r="B68" t="str">
            <v>República Checa</v>
          </cell>
          <cell r="C68">
            <v>422294</v>
          </cell>
          <cell r="D68">
            <v>435363</v>
          </cell>
          <cell r="E68">
            <v>72637</v>
          </cell>
          <cell r="F68">
            <v>0</v>
          </cell>
        </row>
        <row r="69">
          <cell r="B69" t="str">
            <v xml:space="preserve">Resto </v>
          </cell>
          <cell r="C69">
            <v>896508</v>
          </cell>
          <cell r="D69">
            <v>1059278</v>
          </cell>
          <cell r="E69">
            <v>141710</v>
          </cell>
          <cell r="F69">
            <v>164757</v>
          </cell>
        </row>
        <row r="83">
          <cell r="B83" t="str">
            <v>Corea del Sur</v>
          </cell>
          <cell r="C83">
            <v>29486</v>
          </cell>
          <cell r="D83">
            <v>96852</v>
          </cell>
          <cell r="E83">
            <v>3236</v>
          </cell>
          <cell r="F83">
            <v>517</v>
          </cell>
        </row>
        <row r="84">
          <cell r="B84" t="str">
            <v xml:space="preserve">China </v>
          </cell>
          <cell r="C84">
            <v>14006478</v>
          </cell>
          <cell r="D84">
            <v>14339930</v>
          </cell>
          <cell r="E84">
            <v>1101680</v>
          </cell>
          <cell r="F84">
            <v>966335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manufacturas"/>
    </sheetNames>
    <sheetDataSet>
      <sheetData sheetId="0">
        <row r="7">
          <cell r="B7" t="str">
            <v>Bolivia</v>
          </cell>
          <cell r="C7">
            <v>4241874</v>
          </cell>
          <cell r="D7">
            <v>1944014</v>
          </cell>
          <cell r="E7">
            <v>139302</v>
          </cell>
          <cell r="F7">
            <v>441444</v>
          </cell>
        </row>
        <row r="8">
          <cell r="B8" t="str">
            <v>Ecuador</v>
          </cell>
          <cell r="C8">
            <v>136614551</v>
          </cell>
          <cell r="D8">
            <v>229703655</v>
          </cell>
          <cell r="E8">
            <v>10177517</v>
          </cell>
          <cell r="F8">
            <v>30652881</v>
          </cell>
        </row>
        <row r="9">
          <cell r="B9" t="str">
            <v xml:space="preserve">Perú </v>
          </cell>
          <cell r="C9">
            <v>144575670</v>
          </cell>
          <cell r="D9">
            <v>209260021</v>
          </cell>
          <cell r="E9">
            <v>15697840</v>
          </cell>
          <cell r="F9">
            <v>16811910</v>
          </cell>
        </row>
        <row r="23">
          <cell r="B23" t="str">
            <v>Argentina</v>
          </cell>
          <cell r="C23">
            <v>203954036</v>
          </cell>
          <cell r="D23">
            <v>177828746</v>
          </cell>
          <cell r="E23">
            <v>26000158</v>
          </cell>
          <cell r="F23">
            <v>15403150</v>
          </cell>
        </row>
        <row r="24">
          <cell r="B24" t="str">
            <v xml:space="preserve">Brasil </v>
          </cell>
          <cell r="C24">
            <v>749827724</v>
          </cell>
          <cell r="D24">
            <v>821301433</v>
          </cell>
          <cell r="E24">
            <v>70670267</v>
          </cell>
          <cell r="F24">
            <v>79780872</v>
          </cell>
        </row>
        <row r="25">
          <cell r="B25" t="str">
            <v xml:space="preserve">Cuba </v>
          </cell>
          <cell r="C25">
            <v>3089711</v>
          </cell>
          <cell r="D25">
            <v>2654822</v>
          </cell>
          <cell r="E25">
            <v>55982</v>
          </cell>
          <cell r="F25">
            <v>1740242</v>
          </cell>
        </row>
        <row r="26">
          <cell r="B26" t="str">
            <v xml:space="preserve">Chile </v>
          </cell>
          <cell r="C26">
            <v>355515829</v>
          </cell>
          <cell r="D26">
            <v>364092001</v>
          </cell>
          <cell r="E26">
            <v>26462666</v>
          </cell>
          <cell r="F26">
            <v>64108256</v>
          </cell>
        </row>
        <row r="27">
          <cell r="B27" t="str">
            <v xml:space="preserve">México </v>
          </cell>
          <cell r="C27">
            <v>1454597010</v>
          </cell>
          <cell r="D27">
            <v>2906567204</v>
          </cell>
          <cell r="E27">
            <v>147735232</v>
          </cell>
          <cell r="F27">
            <v>406233013</v>
          </cell>
        </row>
        <row r="28">
          <cell r="B28" t="str">
            <v xml:space="preserve">Paraguay </v>
          </cell>
          <cell r="C28">
            <v>1942614</v>
          </cell>
          <cell r="D28">
            <v>2396351</v>
          </cell>
          <cell r="E28">
            <v>258743</v>
          </cell>
          <cell r="F28">
            <v>103716</v>
          </cell>
        </row>
        <row r="29">
          <cell r="B29" t="str">
            <v xml:space="preserve">Uruguay </v>
          </cell>
          <cell r="C29">
            <v>66385078</v>
          </cell>
          <cell r="D29">
            <v>73427980</v>
          </cell>
          <cell r="E29">
            <v>7583850</v>
          </cell>
          <cell r="F29">
            <v>8944530</v>
          </cell>
        </row>
        <row r="30">
          <cell r="B30" t="str">
            <v>Venezuela</v>
          </cell>
          <cell r="C30">
            <v>73230008</v>
          </cell>
          <cell r="D30">
            <v>175192519</v>
          </cell>
          <cell r="E30">
            <v>7250097</v>
          </cell>
          <cell r="F30">
            <v>22127504</v>
          </cell>
        </row>
        <row r="44">
          <cell r="B44" t="str">
            <v xml:space="preserve">Canadá </v>
          </cell>
          <cell r="C44">
            <v>117858824</v>
          </cell>
          <cell r="D44">
            <v>131978613</v>
          </cell>
          <cell r="E44">
            <v>11189565</v>
          </cell>
          <cell r="F44">
            <v>19534337</v>
          </cell>
        </row>
        <row r="45">
          <cell r="B45" t="str">
            <v>Estados Unidos</v>
          </cell>
          <cell r="C45">
            <v>4138407105</v>
          </cell>
          <cell r="D45">
            <v>6391055090</v>
          </cell>
          <cell r="E45">
            <v>420930478</v>
          </cell>
          <cell r="F45">
            <v>691480964</v>
          </cell>
        </row>
        <row r="59">
          <cell r="B59" t="str">
            <v xml:space="preserve">Alemania </v>
          </cell>
          <cell r="C59">
            <v>652543603</v>
          </cell>
          <cell r="D59">
            <v>766752520</v>
          </cell>
          <cell r="E59">
            <v>59462710</v>
          </cell>
          <cell r="F59">
            <v>88245962</v>
          </cell>
        </row>
        <row r="60">
          <cell r="B60" t="str">
            <v xml:space="preserve">Bélgica </v>
          </cell>
          <cell r="C60">
            <v>452343108</v>
          </cell>
          <cell r="D60">
            <v>527341151</v>
          </cell>
          <cell r="E60">
            <v>55112206</v>
          </cell>
          <cell r="F60">
            <v>47430817</v>
          </cell>
        </row>
        <row r="61">
          <cell r="B61" t="str">
            <v xml:space="preserve">Dinamarca </v>
          </cell>
          <cell r="C61">
            <v>33044643</v>
          </cell>
          <cell r="D61">
            <v>33271935</v>
          </cell>
          <cell r="E61">
            <v>1765611</v>
          </cell>
          <cell r="F61">
            <v>2761200</v>
          </cell>
        </row>
        <row r="62">
          <cell r="B62" t="str">
            <v xml:space="preserve">España </v>
          </cell>
          <cell r="C62">
            <v>220516181</v>
          </cell>
          <cell r="D62">
            <v>288255206</v>
          </cell>
          <cell r="E62">
            <v>27456265</v>
          </cell>
          <cell r="F62">
            <v>30822934</v>
          </cell>
        </row>
        <row r="63">
          <cell r="B63" t="str">
            <v xml:space="preserve">Finlandia </v>
          </cell>
          <cell r="C63">
            <v>55279098</v>
          </cell>
          <cell r="D63">
            <v>80206509</v>
          </cell>
          <cell r="E63">
            <v>6685463</v>
          </cell>
          <cell r="F63">
            <v>13217244</v>
          </cell>
        </row>
        <row r="64">
          <cell r="B64" t="str">
            <v xml:space="preserve">Francia </v>
          </cell>
          <cell r="C64">
            <v>623912264</v>
          </cell>
          <cell r="D64">
            <v>574579008</v>
          </cell>
          <cell r="E64">
            <v>79582234</v>
          </cell>
          <cell r="F64">
            <v>51575220</v>
          </cell>
        </row>
        <row r="65">
          <cell r="B65" t="str">
            <v xml:space="preserve">Italia </v>
          </cell>
          <cell r="C65">
            <v>243546142</v>
          </cell>
          <cell r="D65">
            <v>332324628</v>
          </cell>
          <cell r="E65">
            <v>26446876</v>
          </cell>
          <cell r="F65">
            <v>32317607</v>
          </cell>
        </row>
        <row r="66">
          <cell r="B66" t="str">
            <v xml:space="preserve">Países Bajos </v>
          </cell>
          <cell r="C66">
            <v>196547397</v>
          </cell>
          <cell r="D66">
            <v>242278881</v>
          </cell>
          <cell r="E66">
            <v>21719064</v>
          </cell>
          <cell r="F66">
            <v>43779876</v>
          </cell>
        </row>
        <row r="67">
          <cell r="B67" t="str">
            <v xml:space="preserve">Reino Unido </v>
          </cell>
          <cell r="C67">
            <v>220131233</v>
          </cell>
          <cell r="D67">
            <v>226173791</v>
          </cell>
          <cell r="E67">
            <v>14187193</v>
          </cell>
          <cell r="F67">
            <v>19439857</v>
          </cell>
        </row>
        <row r="68">
          <cell r="B68" t="str">
            <v xml:space="preserve">Suecia </v>
          </cell>
          <cell r="C68">
            <v>60760183</v>
          </cell>
          <cell r="D68">
            <v>61510566</v>
          </cell>
          <cell r="E68">
            <v>6889293</v>
          </cell>
          <cell r="F68">
            <v>5515096</v>
          </cell>
        </row>
        <row r="69">
          <cell r="B69" t="str">
            <v xml:space="preserve">Resto </v>
          </cell>
          <cell r="C69">
            <v>95641945</v>
          </cell>
          <cell r="D69">
            <v>150231094</v>
          </cell>
          <cell r="E69">
            <v>11072566</v>
          </cell>
          <cell r="F69">
            <v>14668383</v>
          </cell>
        </row>
        <row r="83">
          <cell r="B83" t="str">
            <v>Corea del Sur</v>
          </cell>
          <cell r="C83">
            <v>587799648</v>
          </cell>
          <cell r="D83">
            <v>717421477</v>
          </cell>
          <cell r="E83">
            <v>57267184</v>
          </cell>
          <cell r="F83">
            <v>66021925</v>
          </cell>
        </row>
        <row r="84">
          <cell r="B84" t="str">
            <v xml:space="preserve">China </v>
          </cell>
          <cell r="C84">
            <v>1648678684</v>
          </cell>
          <cell r="D84">
            <v>2488214459</v>
          </cell>
          <cell r="E84">
            <v>199625310</v>
          </cell>
          <cell r="F84">
            <v>297755110</v>
          </cell>
        </row>
        <row r="85">
          <cell r="B85" t="str">
            <v xml:space="preserve">Japón </v>
          </cell>
          <cell r="C85">
            <v>488139027</v>
          </cell>
          <cell r="D85">
            <v>634532356</v>
          </cell>
          <cell r="E85">
            <v>59263442</v>
          </cell>
          <cell r="F85">
            <v>84557654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rec_nat"/>
    </sheetNames>
    <sheetDataSet>
      <sheetData sheetId="0">
        <row r="7">
          <cell r="B7" t="str">
            <v>Bolivia</v>
          </cell>
          <cell r="C7">
            <v>3453682</v>
          </cell>
          <cell r="D7">
            <v>1598339</v>
          </cell>
          <cell r="E7">
            <v>122264</v>
          </cell>
          <cell r="F7">
            <v>361879</v>
          </cell>
        </row>
        <row r="8">
          <cell r="B8" t="str">
            <v>Ecuador</v>
          </cell>
          <cell r="C8">
            <v>21724592</v>
          </cell>
          <cell r="D8">
            <v>34470583</v>
          </cell>
          <cell r="E8">
            <v>1259750</v>
          </cell>
          <cell r="F8">
            <v>5214126</v>
          </cell>
        </row>
        <row r="9">
          <cell r="B9" t="str">
            <v xml:space="preserve">Perú </v>
          </cell>
          <cell r="C9">
            <v>58723988</v>
          </cell>
          <cell r="D9">
            <v>89563210</v>
          </cell>
          <cell r="E9">
            <v>5966419</v>
          </cell>
          <cell r="F9">
            <v>7028523</v>
          </cell>
        </row>
        <row r="23">
          <cell r="B23" t="str">
            <v>Argentina</v>
          </cell>
          <cell r="C23">
            <v>72598436</v>
          </cell>
          <cell r="D23">
            <v>51272119</v>
          </cell>
          <cell r="E23">
            <v>9936198</v>
          </cell>
          <cell r="F23">
            <v>4556937</v>
          </cell>
        </row>
        <row r="24">
          <cell r="B24" t="str">
            <v xml:space="preserve">Brasil </v>
          </cell>
          <cell r="C24">
            <v>180922863</v>
          </cell>
          <cell r="D24">
            <v>190969419</v>
          </cell>
          <cell r="E24">
            <v>13399997</v>
          </cell>
          <cell r="F24">
            <v>19820751</v>
          </cell>
        </row>
        <row r="25">
          <cell r="B25" t="str">
            <v xml:space="preserve">Cuba </v>
          </cell>
          <cell r="C25">
            <v>914510</v>
          </cell>
          <cell r="D25">
            <v>654387</v>
          </cell>
          <cell r="E25">
            <v>21230</v>
          </cell>
          <cell r="F25">
            <v>10142</v>
          </cell>
        </row>
        <row r="26">
          <cell r="B26" t="str">
            <v xml:space="preserve">Chile </v>
          </cell>
          <cell r="C26">
            <v>144453361</v>
          </cell>
          <cell r="D26">
            <v>135996298</v>
          </cell>
          <cell r="E26">
            <v>16734828</v>
          </cell>
          <cell r="F26">
            <v>13003406</v>
          </cell>
        </row>
        <row r="27">
          <cell r="B27" t="str">
            <v xml:space="preserve">México </v>
          </cell>
          <cell r="C27">
            <v>126309580</v>
          </cell>
          <cell r="D27">
            <v>327082905</v>
          </cell>
          <cell r="E27">
            <v>11790093</v>
          </cell>
          <cell r="F27">
            <v>42957070</v>
          </cell>
        </row>
        <row r="28">
          <cell r="B28" t="str">
            <v xml:space="preserve">Paraguay </v>
          </cell>
          <cell r="C28">
            <v>58881</v>
          </cell>
          <cell r="D28">
            <v>33901</v>
          </cell>
          <cell r="E28">
            <v>0</v>
          </cell>
          <cell r="F28">
            <v>6844</v>
          </cell>
        </row>
        <row r="29">
          <cell r="B29" t="str">
            <v xml:space="preserve">Uruguay </v>
          </cell>
          <cell r="C29">
            <v>22172572</v>
          </cell>
          <cell r="D29">
            <v>22420493</v>
          </cell>
          <cell r="E29">
            <v>2056369</v>
          </cell>
          <cell r="F29">
            <v>2757714</v>
          </cell>
        </row>
        <row r="30">
          <cell r="B30" t="str">
            <v>Venezuela</v>
          </cell>
          <cell r="C30">
            <v>22922052</v>
          </cell>
          <cell r="D30">
            <v>53548458</v>
          </cell>
          <cell r="E30">
            <v>2815493</v>
          </cell>
          <cell r="F30">
            <v>11825340</v>
          </cell>
        </row>
        <row r="44">
          <cell r="B44" t="str">
            <v xml:space="preserve">Canadá </v>
          </cell>
          <cell r="C44">
            <v>38663292</v>
          </cell>
          <cell r="D44">
            <v>47325701</v>
          </cell>
          <cell r="E44">
            <v>2731176</v>
          </cell>
          <cell r="F44">
            <v>3752733</v>
          </cell>
        </row>
        <row r="45">
          <cell r="B45" t="str">
            <v>Estados Unidos</v>
          </cell>
          <cell r="C45">
            <v>309747846</v>
          </cell>
          <cell r="D45">
            <v>1264707393</v>
          </cell>
          <cell r="E45">
            <v>23502908</v>
          </cell>
          <cell r="F45">
            <v>225280674</v>
          </cell>
        </row>
        <row r="59">
          <cell r="B59" t="str">
            <v xml:space="preserve">Alemania </v>
          </cell>
          <cell r="C59">
            <v>75294083</v>
          </cell>
          <cell r="D59">
            <v>84319949</v>
          </cell>
          <cell r="E59">
            <v>6211928</v>
          </cell>
          <cell r="F59">
            <v>8271063</v>
          </cell>
        </row>
        <row r="60">
          <cell r="B60" t="str">
            <v xml:space="preserve">Bélgica </v>
          </cell>
          <cell r="C60">
            <v>52881316</v>
          </cell>
          <cell r="D60">
            <v>51315585</v>
          </cell>
          <cell r="E60">
            <v>5668761</v>
          </cell>
          <cell r="F60">
            <v>3333516</v>
          </cell>
        </row>
        <row r="61">
          <cell r="B61" t="str">
            <v xml:space="preserve">España </v>
          </cell>
          <cell r="C61">
            <v>33219766</v>
          </cell>
          <cell r="D61">
            <v>48484760</v>
          </cell>
          <cell r="E61">
            <v>2615755</v>
          </cell>
          <cell r="F61">
            <v>4598610</v>
          </cell>
        </row>
        <row r="62">
          <cell r="B62" t="str">
            <v xml:space="preserve">Finlandia </v>
          </cell>
          <cell r="C62">
            <v>10666947</v>
          </cell>
          <cell r="D62">
            <v>15191944</v>
          </cell>
          <cell r="E62">
            <v>1828130</v>
          </cell>
          <cell r="F62">
            <v>1780189</v>
          </cell>
        </row>
        <row r="63">
          <cell r="B63" t="str">
            <v xml:space="preserve">Francia </v>
          </cell>
          <cell r="C63">
            <v>16188481</v>
          </cell>
          <cell r="D63">
            <v>49933345</v>
          </cell>
          <cell r="E63">
            <v>1215557</v>
          </cell>
          <cell r="F63">
            <v>29115018</v>
          </cell>
        </row>
        <row r="64">
          <cell r="B64" t="str">
            <v xml:space="preserve">Irlanda </v>
          </cell>
          <cell r="C64">
            <v>8244859</v>
          </cell>
          <cell r="D64">
            <v>10470917</v>
          </cell>
          <cell r="E64">
            <v>291265</v>
          </cell>
          <cell r="F64">
            <v>999678</v>
          </cell>
        </row>
        <row r="65">
          <cell r="B65" t="str">
            <v xml:space="preserve">Italia </v>
          </cell>
          <cell r="C65">
            <v>33893154</v>
          </cell>
          <cell r="D65">
            <v>49594808</v>
          </cell>
          <cell r="E65">
            <v>4249703</v>
          </cell>
          <cell r="F65">
            <v>2872137</v>
          </cell>
        </row>
        <row r="66">
          <cell r="B66" t="str">
            <v xml:space="preserve">Países Bajos </v>
          </cell>
          <cell r="C66">
            <v>12064862</v>
          </cell>
          <cell r="D66">
            <v>18400385</v>
          </cell>
          <cell r="E66">
            <v>1536929</v>
          </cell>
          <cell r="F66">
            <v>1528150</v>
          </cell>
        </row>
        <row r="67">
          <cell r="B67" t="str">
            <v xml:space="preserve">Reino Unido </v>
          </cell>
          <cell r="C67">
            <v>28719979</v>
          </cell>
          <cell r="D67">
            <v>52973897</v>
          </cell>
          <cell r="E67">
            <v>1809795</v>
          </cell>
          <cell r="F67">
            <v>4072913</v>
          </cell>
        </row>
        <row r="68">
          <cell r="B68" t="str">
            <v xml:space="preserve">Suecia </v>
          </cell>
          <cell r="C68">
            <v>9066094</v>
          </cell>
          <cell r="D68">
            <v>7927530</v>
          </cell>
          <cell r="E68">
            <v>786359</v>
          </cell>
          <cell r="F68">
            <v>964665</v>
          </cell>
        </row>
        <row r="69">
          <cell r="B69" t="str">
            <v xml:space="preserve">Resto </v>
          </cell>
          <cell r="C69">
            <v>12162316</v>
          </cell>
          <cell r="D69">
            <v>13456565</v>
          </cell>
          <cell r="E69">
            <v>927341</v>
          </cell>
          <cell r="F69">
            <v>924939</v>
          </cell>
        </row>
        <row r="83">
          <cell r="B83" t="str">
            <v>Corea del Sur</v>
          </cell>
          <cell r="C83">
            <v>11588833</v>
          </cell>
          <cell r="D83">
            <v>21639031</v>
          </cell>
        </row>
        <row r="84">
          <cell r="B84" t="str">
            <v xml:space="preserve">China </v>
          </cell>
          <cell r="C84">
            <v>138678793</v>
          </cell>
          <cell r="D84">
            <v>201634835</v>
          </cell>
        </row>
        <row r="85">
          <cell r="B85" t="str">
            <v xml:space="preserve">Japón </v>
          </cell>
          <cell r="C85">
            <v>23037196</v>
          </cell>
          <cell r="D85">
            <v>36097457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baja_tek"/>
    </sheetNames>
    <sheetDataSet>
      <sheetData sheetId="0">
        <row r="7">
          <cell r="B7" t="str">
            <v>Bolivia</v>
          </cell>
          <cell r="C7">
            <v>361925</v>
          </cell>
          <cell r="D7">
            <v>208858</v>
          </cell>
          <cell r="E7">
            <v>17038</v>
          </cell>
          <cell r="F7">
            <v>79565</v>
          </cell>
        </row>
        <row r="8">
          <cell r="B8" t="str">
            <v>Ecuador</v>
          </cell>
          <cell r="C8">
            <v>23434806</v>
          </cell>
          <cell r="D8">
            <v>32089466</v>
          </cell>
          <cell r="E8">
            <v>2959768</v>
          </cell>
          <cell r="F8">
            <v>5350584</v>
          </cell>
        </row>
        <row r="9">
          <cell r="B9" t="str">
            <v xml:space="preserve">Perú </v>
          </cell>
          <cell r="C9">
            <v>43350555</v>
          </cell>
          <cell r="D9">
            <v>60912783</v>
          </cell>
          <cell r="E9">
            <v>5123072</v>
          </cell>
          <cell r="F9">
            <v>6387360</v>
          </cell>
        </row>
        <row r="23">
          <cell r="B23" t="str">
            <v>Argentina</v>
          </cell>
          <cell r="C23">
            <v>22903906</v>
          </cell>
          <cell r="D23">
            <v>14401393</v>
          </cell>
          <cell r="E23">
            <v>2484927</v>
          </cell>
          <cell r="F23">
            <v>1621291</v>
          </cell>
        </row>
        <row r="24">
          <cell r="B24" t="str">
            <v xml:space="preserve">Brasil </v>
          </cell>
          <cell r="C24">
            <v>103779485</v>
          </cell>
          <cell r="D24">
            <v>144258195</v>
          </cell>
          <cell r="E24">
            <v>11090962</v>
          </cell>
          <cell r="F24">
            <v>11344469</v>
          </cell>
        </row>
        <row r="25">
          <cell r="B25" t="str">
            <v xml:space="preserve">Cuba </v>
          </cell>
          <cell r="C25">
            <v>183828</v>
          </cell>
          <cell r="D25">
            <v>266</v>
          </cell>
          <cell r="E25">
            <v>0</v>
          </cell>
          <cell r="F25">
            <v>0</v>
          </cell>
        </row>
        <row r="26">
          <cell r="B26" t="str">
            <v xml:space="preserve">Chile </v>
          </cell>
          <cell r="C26">
            <v>21496441</v>
          </cell>
          <cell r="D26">
            <v>36634370</v>
          </cell>
          <cell r="E26">
            <v>2911526</v>
          </cell>
          <cell r="F26">
            <v>4074868</v>
          </cell>
        </row>
        <row r="27">
          <cell r="B27" t="str">
            <v xml:space="preserve">México </v>
          </cell>
          <cell r="C27">
            <v>187105898</v>
          </cell>
          <cell r="D27">
            <v>219005984</v>
          </cell>
          <cell r="E27">
            <v>17359581</v>
          </cell>
          <cell r="F27">
            <v>12898958</v>
          </cell>
        </row>
        <row r="28">
          <cell r="B28" t="str">
            <v xml:space="preserve">Paraguay </v>
          </cell>
          <cell r="C28">
            <v>117089</v>
          </cell>
          <cell r="D28">
            <v>479725</v>
          </cell>
          <cell r="E28">
            <v>39209</v>
          </cell>
          <cell r="F28">
            <v>51018</v>
          </cell>
        </row>
        <row r="29">
          <cell r="B29" t="str">
            <v xml:space="preserve">Uruguay </v>
          </cell>
          <cell r="C29">
            <v>1188877</v>
          </cell>
          <cell r="D29">
            <v>2242002</v>
          </cell>
          <cell r="E29">
            <v>129988</v>
          </cell>
          <cell r="F29">
            <v>361584</v>
          </cell>
        </row>
        <row r="30">
          <cell r="B30" t="str">
            <v>Venezuela</v>
          </cell>
          <cell r="C30">
            <v>15075924</v>
          </cell>
          <cell r="D30">
            <v>49204347</v>
          </cell>
          <cell r="E30">
            <v>1275982</v>
          </cell>
          <cell r="F30">
            <v>3818424</v>
          </cell>
        </row>
        <row r="44">
          <cell r="B44" t="str">
            <v xml:space="preserve">Canadá </v>
          </cell>
          <cell r="C44">
            <v>14071445</v>
          </cell>
          <cell r="D44">
            <v>11050857</v>
          </cell>
          <cell r="E44">
            <v>920793</v>
          </cell>
          <cell r="F44">
            <v>921983</v>
          </cell>
        </row>
        <row r="45">
          <cell r="B45" t="str">
            <v>Estados Unidos</v>
          </cell>
          <cell r="C45">
            <v>448325604</v>
          </cell>
          <cell r="D45">
            <v>542819600</v>
          </cell>
          <cell r="E45">
            <v>55470821</v>
          </cell>
          <cell r="F45">
            <v>58555181</v>
          </cell>
        </row>
        <row r="59">
          <cell r="B59" t="str">
            <v xml:space="preserve">Alemania </v>
          </cell>
          <cell r="C59">
            <v>55319647</v>
          </cell>
          <cell r="D59">
            <v>77058626</v>
          </cell>
          <cell r="E59">
            <v>5091257</v>
          </cell>
          <cell r="F59">
            <v>13716514</v>
          </cell>
        </row>
        <row r="60">
          <cell r="B60" t="str">
            <v xml:space="preserve">Austria </v>
          </cell>
          <cell r="C60">
            <v>4482684</v>
          </cell>
          <cell r="D60">
            <v>6230590</v>
          </cell>
          <cell r="E60">
            <v>737427</v>
          </cell>
          <cell r="F60">
            <v>664401</v>
          </cell>
        </row>
        <row r="61">
          <cell r="B61" t="str">
            <v xml:space="preserve">Bélgica </v>
          </cell>
          <cell r="C61">
            <v>27922758</v>
          </cell>
          <cell r="D61">
            <v>27267099</v>
          </cell>
          <cell r="E61">
            <v>3071779</v>
          </cell>
          <cell r="F61">
            <v>1928109</v>
          </cell>
        </row>
        <row r="62">
          <cell r="B62" t="str">
            <v xml:space="preserve">España </v>
          </cell>
          <cell r="C62">
            <v>85870038</v>
          </cell>
          <cell r="D62">
            <v>98374232</v>
          </cell>
          <cell r="E62">
            <v>11422716</v>
          </cell>
          <cell r="F62">
            <v>7914083</v>
          </cell>
        </row>
        <row r="63">
          <cell r="B63" t="str">
            <v xml:space="preserve">Finlandia </v>
          </cell>
          <cell r="C63">
            <v>4943002</v>
          </cell>
          <cell r="D63">
            <v>9245643</v>
          </cell>
          <cell r="E63">
            <v>773311</v>
          </cell>
          <cell r="F63">
            <v>1704227</v>
          </cell>
        </row>
        <row r="64">
          <cell r="B64" t="str">
            <v xml:space="preserve">Francia </v>
          </cell>
          <cell r="C64">
            <v>16156133</v>
          </cell>
          <cell r="D64">
            <v>19800694</v>
          </cell>
          <cell r="E64">
            <v>2451243</v>
          </cell>
          <cell r="F64">
            <v>2293171</v>
          </cell>
        </row>
        <row r="65">
          <cell r="B65" t="str">
            <v xml:space="preserve">Italia </v>
          </cell>
          <cell r="C65">
            <v>42398653</v>
          </cell>
          <cell r="D65">
            <v>63937540</v>
          </cell>
          <cell r="E65">
            <v>5331732</v>
          </cell>
          <cell r="F65">
            <v>6848174</v>
          </cell>
        </row>
        <row r="66">
          <cell r="B66" t="str">
            <v xml:space="preserve">Países Bajos </v>
          </cell>
          <cell r="C66">
            <v>23253254</v>
          </cell>
          <cell r="D66">
            <v>40911282</v>
          </cell>
          <cell r="E66">
            <v>3030365</v>
          </cell>
          <cell r="F66">
            <v>3614794</v>
          </cell>
        </row>
        <row r="67">
          <cell r="B67" t="str">
            <v xml:space="preserve">Reino Unido </v>
          </cell>
          <cell r="C67">
            <v>9688077</v>
          </cell>
          <cell r="D67">
            <v>13683099</v>
          </cell>
          <cell r="E67">
            <v>1063389</v>
          </cell>
          <cell r="F67">
            <v>1796362</v>
          </cell>
        </row>
        <row r="68">
          <cell r="B68" t="str">
            <v xml:space="preserve">Suecia </v>
          </cell>
          <cell r="C68">
            <v>4693321</v>
          </cell>
          <cell r="D68">
            <v>8098376</v>
          </cell>
          <cell r="E68">
            <v>570360</v>
          </cell>
          <cell r="F68">
            <v>410683</v>
          </cell>
        </row>
        <row r="69">
          <cell r="B69" t="str">
            <v xml:space="preserve">Resto </v>
          </cell>
          <cell r="C69">
            <v>12956728</v>
          </cell>
          <cell r="D69">
            <v>15483333</v>
          </cell>
          <cell r="E69">
            <v>2364311</v>
          </cell>
          <cell r="F69">
            <v>2475307</v>
          </cell>
        </row>
        <row r="83">
          <cell r="B83" t="str">
            <v>Corea del Sur</v>
          </cell>
          <cell r="C83">
            <v>35788750</v>
          </cell>
          <cell r="D83">
            <v>53361419</v>
          </cell>
          <cell r="E83">
            <v>3202614</v>
          </cell>
          <cell r="F83">
            <v>5363154</v>
          </cell>
        </row>
        <row r="84">
          <cell r="B84" t="str">
            <v xml:space="preserve">China </v>
          </cell>
          <cell r="C84">
            <v>516579241</v>
          </cell>
          <cell r="D84">
            <v>887515285</v>
          </cell>
          <cell r="E84">
            <v>63998344</v>
          </cell>
          <cell r="F84">
            <v>95760903</v>
          </cell>
        </row>
        <row r="85">
          <cell r="B85" t="str">
            <v xml:space="preserve">Japón </v>
          </cell>
          <cell r="C85">
            <v>41368836</v>
          </cell>
          <cell r="D85">
            <v>25647335</v>
          </cell>
          <cell r="E85">
            <v>2937257</v>
          </cell>
          <cell r="F85">
            <v>2212705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media_tek"/>
    </sheetNames>
    <sheetDataSet>
      <sheetData sheetId="0">
        <row r="7">
          <cell r="B7" t="str">
            <v>Bolivia</v>
          </cell>
          <cell r="C7">
            <v>398460</v>
          </cell>
          <cell r="D7">
            <v>121022</v>
          </cell>
          <cell r="E7">
            <v>0</v>
          </cell>
          <cell r="F7">
            <v>0</v>
          </cell>
        </row>
        <row r="8">
          <cell r="B8" t="str">
            <v>Ecuador</v>
          </cell>
          <cell r="C8">
            <v>47454483</v>
          </cell>
          <cell r="D8">
            <v>131584110</v>
          </cell>
          <cell r="E8">
            <v>2995423</v>
          </cell>
          <cell r="F8">
            <v>16894819</v>
          </cell>
        </row>
        <row r="9">
          <cell r="B9" t="str">
            <v xml:space="preserve">Perú </v>
          </cell>
          <cell r="C9">
            <v>36435087</v>
          </cell>
          <cell r="D9">
            <v>47094193</v>
          </cell>
          <cell r="E9">
            <v>3914929</v>
          </cell>
          <cell r="F9">
            <v>2961826</v>
          </cell>
        </row>
        <row r="23">
          <cell r="B23" t="str">
            <v>Argentina</v>
          </cell>
          <cell r="C23">
            <v>70462934</v>
          </cell>
          <cell r="D23">
            <v>75292019</v>
          </cell>
          <cell r="E23">
            <v>10815229</v>
          </cell>
          <cell r="F23">
            <v>5964063</v>
          </cell>
        </row>
        <row r="24">
          <cell r="B24" t="str">
            <v xml:space="preserve">Brasil </v>
          </cell>
          <cell r="C24">
            <v>233786010</v>
          </cell>
          <cell r="D24">
            <v>298905247</v>
          </cell>
          <cell r="E24">
            <v>24285401</v>
          </cell>
          <cell r="F24">
            <v>28656835</v>
          </cell>
        </row>
        <row r="25">
          <cell r="B25" t="str">
            <v xml:space="preserve">Cuba </v>
          </cell>
          <cell r="C25">
            <v>1955623</v>
          </cell>
          <cell r="D25">
            <v>1999518</v>
          </cell>
          <cell r="E25">
            <v>34752</v>
          </cell>
          <cell r="F25">
            <v>1730100</v>
          </cell>
        </row>
        <row r="26">
          <cell r="B26" t="str">
            <v xml:space="preserve">Chile </v>
          </cell>
          <cell r="C26">
            <v>52641286</v>
          </cell>
          <cell r="D26">
            <v>69399381</v>
          </cell>
          <cell r="E26">
            <v>5629306</v>
          </cell>
          <cell r="F26">
            <v>7254989</v>
          </cell>
        </row>
        <row r="27">
          <cell r="B27" t="str">
            <v xml:space="preserve">México </v>
          </cell>
          <cell r="C27">
            <v>493596790</v>
          </cell>
          <cell r="D27">
            <v>1293059013</v>
          </cell>
          <cell r="E27">
            <v>55734983</v>
          </cell>
          <cell r="F27">
            <v>171367639</v>
          </cell>
        </row>
        <row r="28">
          <cell r="B28" t="str">
            <v xml:space="preserve">Paraguay </v>
          </cell>
          <cell r="C28">
            <v>35493</v>
          </cell>
          <cell r="D28">
            <v>13572</v>
          </cell>
          <cell r="E28">
            <v>34553</v>
          </cell>
          <cell r="F28">
            <v>0</v>
          </cell>
        </row>
        <row r="29">
          <cell r="B29" t="str">
            <v xml:space="preserve">Uruguay </v>
          </cell>
          <cell r="C29">
            <v>3720170</v>
          </cell>
          <cell r="D29">
            <v>4944031</v>
          </cell>
          <cell r="E29">
            <v>367780</v>
          </cell>
          <cell r="F29">
            <v>378994</v>
          </cell>
        </row>
        <row r="30">
          <cell r="B30" t="str">
            <v>Venezuela</v>
          </cell>
          <cell r="C30">
            <v>29366447</v>
          </cell>
          <cell r="D30">
            <v>39775844</v>
          </cell>
          <cell r="E30">
            <v>2543180</v>
          </cell>
          <cell r="F30">
            <v>6044524</v>
          </cell>
        </row>
        <row r="44">
          <cell r="B44" t="str">
            <v xml:space="preserve">Canadá </v>
          </cell>
          <cell r="C44">
            <v>42342163</v>
          </cell>
          <cell r="D44">
            <v>40814545</v>
          </cell>
          <cell r="E44">
            <v>4290328</v>
          </cell>
          <cell r="F44">
            <v>6383729</v>
          </cell>
        </row>
        <row r="45">
          <cell r="B45" t="str">
            <v>Estados Unidos</v>
          </cell>
          <cell r="C45">
            <v>1520262107</v>
          </cell>
          <cell r="D45">
            <v>1979742678</v>
          </cell>
          <cell r="E45">
            <v>182141850</v>
          </cell>
          <cell r="F45">
            <v>203342674</v>
          </cell>
        </row>
        <row r="59">
          <cell r="B59" t="str">
            <v xml:space="preserve">Alemania </v>
          </cell>
          <cell r="C59">
            <v>224247721</v>
          </cell>
          <cell r="D59">
            <v>336569402</v>
          </cell>
          <cell r="E59">
            <v>24398493</v>
          </cell>
          <cell r="F59">
            <v>38957875</v>
          </cell>
        </row>
        <row r="60">
          <cell r="B60" t="str">
            <v xml:space="preserve">Bélgica </v>
          </cell>
          <cell r="C60">
            <v>213000842</v>
          </cell>
          <cell r="D60">
            <v>286300511</v>
          </cell>
          <cell r="E60">
            <v>30360248</v>
          </cell>
          <cell r="F60">
            <v>31158866</v>
          </cell>
        </row>
        <row r="61">
          <cell r="B61" t="str">
            <v xml:space="preserve">Dinamarca </v>
          </cell>
          <cell r="C61">
            <v>9446551</v>
          </cell>
          <cell r="D61">
            <v>9329868</v>
          </cell>
          <cell r="E61">
            <v>826101</v>
          </cell>
          <cell r="F61">
            <v>550795</v>
          </cell>
        </row>
        <row r="62">
          <cell r="B62" t="str">
            <v xml:space="preserve">España </v>
          </cell>
          <cell r="C62">
            <v>68156396</v>
          </cell>
          <cell r="D62">
            <v>89821380</v>
          </cell>
          <cell r="E62">
            <v>10598610</v>
          </cell>
          <cell r="F62">
            <v>10092289</v>
          </cell>
        </row>
        <row r="63">
          <cell r="B63" t="str">
            <v xml:space="preserve">Francia </v>
          </cell>
          <cell r="C63">
            <v>85276331</v>
          </cell>
          <cell r="D63">
            <v>97503382</v>
          </cell>
          <cell r="E63">
            <v>7509307</v>
          </cell>
          <cell r="F63">
            <v>8408614</v>
          </cell>
        </row>
        <row r="64">
          <cell r="B64" t="str">
            <v xml:space="preserve">Italia </v>
          </cell>
          <cell r="C64">
            <v>107729201</v>
          </cell>
          <cell r="D64">
            <v>159487770</v>
          </cell>
          <cell r="E64">
            <v>11531029</v>
          </cell>
          <cell r="F64">
            <v>15014849</v>
          </cell>
        </row>
        <row r="65">
          <cell r="B65" t="str">
            <v xml:space="preserve">Lituania </v>
          </cell>
          <cell r="C65">
            <v>7183576</v>
          </cell>
          <cell r="D65">
            <v>8171520</v>
          </cell>
          <cell r="E65">
            <v>927815</v>
          </cell>
          <cell r="F65">
            <v>21360</v>
          </cell>
        </row>
        <row r="66">
          <cell r="B66" t="str">
            <v xml:space="preserve">Países Bajos </v>
          </cell>
          <cell r="C66">
            <v>26059898</v>
          </cell>
          <cell r="D66">
            <v>34552685</v>
          </cell>
          <cell r="E66">
            <v>3291407</v>
          </cell>
          <cell r="F66">
            <v>3229105</v>
          </cell>
        </row>
        <row r="67">
          <cell r="B67" t="str">
            <v xml:space="preserve">Reino Unido </v>
          </cell>
          <cell r="C67">
            <v>41077214</v>
          </cell>
          <cell r="D67">
            <v>60102928</v>
          </cell>
          <cell r="E67">
            <v>5657913</v>
          </cell>
          <cell r="F67">
            <v>6029554</v>
          </cell>
        </row>
        <row r="68">
          <cell r="B68" t="str">
            <v xml:space="preserve">Suecia </v>
          </cell>
          <cell r="C68">
            <v>19918610</v>
          </cell>
          <cell r="D68">
            <v>26531965</v>
          </cell>
          <cell r="E68">
            <v>2415149</v>
          </cell>
          <cell r="F68">
            <v>1853064</v>
          </cell>
        </row>
        <row r="69">
          <cell r="B69" t="str">
            <v xml:space="preserve">Resto </v>
          </cell>
          <cell r="C69">
            <v>26503920</v>
          </cell>
          <cell r="D69">
            <v>54692081</v>
          </cell>
          <cell r="E69">
            <v>2433907</v>
          </cell>
          <cell r="F69">
            <v>7175632</v>
          </cell>
        </row>
        <row r="83">
          <cell r="B83" t="str">
            <v>Corea del Sur</v>
          </cell>
          <cell r="C83">
            <v>410964519</v>
          </cell>
          <cell r="D83">
            <v>589270717</v>
          </cell>
          <cell r="E83">
            <v>46584955</v>
          </cell>
          <cell r="F83">
            <v>54443820</v>
          </cell>
        </row>
        <row r="84">
          <cell r="B84" t="str">
            <v xml:space="preserve">China </v>
          </cell>
          <cell r="C84">
            <v>407019667</v>
          </cell>
          <cell r="D84">
            <v>648100740</v>
          </cell>
          <cell r="E84">
            <v>44790194</v>
          </cell>
          <cell r="F84">
            <v>80850886</v>
          </cell>
        </row>
        <row r="85">
          <cell r="B85" t="str">
            <v xml:space="preserve">Japón </v>
          </cell>
          <cell r="C85">
            <v>389271591</v>
          </cell>
          <cell r="D85">
            <v>539755631</v>
          </cell>
          <cell r="E85">
            <v>50075719</v>
          </cell>
          <cell r="F85">
            <v>73726287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alta_tek"/>
    </sheetNames>
    <sheetDataSet>
      <sheetData sheetId="0">
        <row r="7">
          <cell r="B7" t="str">
            <v>Bolivia</v>
          </cell>
          <cell r="C7">
            <v>27807</v>
          </cell>
          <cell r="D7">
            <v>15795</v>
          </cell>
          <cell r="E7">
            <v>0</v>
          </cell>
          <cell r="F7">
            <v>0</v>
          </cell>
        </row>
        <row r="8">
          <cell r="B8" t="str">
            <v>Ecuador</v>
          </cell>
          <cell r="C8">
            <v>44000670</v>
          </cell>
          <cell r="D8">
            <v>31559497</v>
          </cell>
          <cell r="E8">
            <v>2962575</v>
          </cell>
          <cell r="F8">
            <v>3193352</v>
          </cell>
        </row>
        <row r="23">
          <cell r="B23" t="str">
            <v>Argentina</v>
          </cell>
          <cell r="C23">
            <v>37988760</v>
          </cell>
          <cell r="D23">
            <v>36863214</v>
          </cell>
          <cell r="E23">
            <v>2763803</v>
          </cell>
          <cell r="F23">
            <v>3260860</v>
          </cell>
        </row>
        <row r="24">
          <cell r="B24" t="str">
            <v xml:space="preserve">Brasil </v>
          </cell>
          <cell r="C24">
            <v>231339366</v>
          </cell>
          <cell r="D24">
            <v>187168572</v>
          </cell>
          <cell r="E24">
            <v>21893907</v>
          </cell>
          <cell r="F24">
            <v>19958818</v>
          </cell>
        </row>
        <row r="25">
          <cell r="B25" t="str">
            <v xml:space="preserve">Cuba </v>
          </cell>
          <cell r="C25">
            <v>35749</v>
          </cell>
          <cell r="D25">
            <v>652</v>
          </cell>
          <cell r="E25">
            <v>0</v>
          </cell>
          <cell r="F25">
            <v>0</v>
          </cell>
        </row>
        <row r="26">
          <cell r="B26" t="str">
            <v xml:space="preserve">Chile </v>
          </cell>
          <cell r="C26">
            <v>136924741</v>
          </cell>
          <cell r="D26">
            <v>122061952</v>
          </cell>
          <cell r="E26">
            <v>1187006</v>
          </cell>
          <cell r="F26">
            <v>39774992</v>
          </cell>
        </row>
        <row r="27">
          <cell r="B27" t="str">
            <v xml:space="preserve">México </v>
          </cell>
          <cell r="C27">
            <v>647584742</v>
          </cell>
          <cell r="D27">
            <v>1067419302</v>
          </cell>
          <cell r="E27">
            <v>62850575</v>
          </cell>
          <cell r="F27">
            <v>179009346</v>
          </cell>
        </row>
        <row r="28">
          <cell r="B28" t="str">
            <v xml:space="preserve">Paraguay </v>
          </cell>
          <cell r="C28">
            <v>1731151</v>
          </cell>
          <cell r="D28">
            <v>1869153</v>
          </cell>
          <cell r="E28">
            <v>184981</v>
          </cell>
          <cell r="F28">
            <v>45854</v>
          </cell>
        </row>
        <row r="29">
          <cell r="B29" t="str">
            <v xml:space="preserve">Uruguay </v>
          </cell>
          <cell r="C29">
            <v>39303458</v>
          </cell>
          <cell r="D29">
            <v>43821454</v>
          </cell>
          <cell r="E29">
            <v>5029713</v>
          </cell>
          <cell r="F29">
            <v>5446238</v>
          </cell>
        </row>
        <row r="30">
          <cell r="B30" t="str">
            <v>Venezuela</v>
          </cell>
          <cell r="C30">
            <v>5865585</v>
          </cell>
          <cell r="D30">
            <v>32663870</v>
          </cell>
          <cell r="E30">
            <v>615442</v>
          </cell>
          <cell r="F30">
            <v>439216</v>
          </cell>
        </row>
        <row r="44">
          <cell r="B44" t="str">
            <v xml:space="preserve">Canadá </v>
          </cell>
          <cell r="C44">
            <v>22781924</v>
          </cell>
          <cell r="D44">
            <v>32787510</v>
          </cell>
          <cell r="E44">
            <v>3247268</v>
          </cell>
          <cell r="F44">
            <v>8475891</v>
          </cell>
        </row>
        <row r="45">
          <cell r="B45" t="str">
            <v>Estados Unidos</v>
          </cell>
          <cell r="C45">
            <v>1860071548</v>
          </cell>
          <cell r="D45">
            <v>2603785420</v>
          </cell>
          <cell r="E45">
            <v>159814899</v>
          </cell>
          <cell r="F45">
            <v>204302436</v>
          </cell>
        </row>
        <row r="59">
          <cell r="B59" t="str">
            <v xml:space="preserve">Alemania </v>
          </cell>
          <cell r="C59">
            <v>297682151</v>
          </cell>
          <cell r="D59">
            <v>268804543</v>
          </cell>
          <cell r="E59">
            <v>23761031</v>
          </cell>
          <cell r="F59">
            <v>27300510</v>
          </cell>
        </row>
        <row r="60">
          <cell r="B60" t="str">
            <v xml:space="preserve">Bélgica </v>
          </cell>
          <cell r="C60">
            <v>158538192</v>
          </cell>
          <cell r="D60">
            <v>162457955</v>
          </cell>
          <cell r="E60">
            <v>16011418</v>
          </cell>
          <cell r="F60">
            <v>11010327</v>
          </cell>
        </row>
        <row r="61">
          <cell r="B61" t="str">
            <v xml:space="preserve">Dinamarca </v>
          </cell>
          <cell r="C61">
            <v>19274178</v>
          </cell>
          <cell r="D61">
            <v>19047959</v>
          </cell>
          <cell r="E61">
            <v>543033</v>
          </cell>
          <cell r="F61">
            <v>1728016</v>
          </cell>
        </row>
        <row r="62">
          <cell r="B62" t="str">
            <v xml:space="preserve">España </v>
          </cell>
          <cell r="C62">
            <v>33269981</v>
          </cell>
          <cell r="D62">
            <v>51574834</v>
          </cell>
          <cell r="E62">
            <v>2819185</v>
          </cell>
          <cell r="F62">
            <v>8217951</v>
          </cell>
        </row>
        <row r="63">
          <cell r="B63" t="str">
            <v xml:space="preserve">Finlandia </v>
          </cell>
          <cell r="C63">
            <v>34402614</v>
          </cell>
          <cell r="D63">
            <v>48308517</v>
          </cell>
          <cell r="E63">
            <v>3930862</v>
          </cell>
          <cell r="F63">
            <v>8880213</v>
          </cell>
        </row>
        <row r="64">
          <cell r="B64" t="str">
            <v xml:space="preserve">Francia </v>
          </cell>
          <cell r="C64">
            <v>506291320</v>
          </cell>
          <cell r="D64">
            <v>407341586</v>
          </cell>
          <cell r="E64">
            <v>68406127</v>
          </cell>
          <cell r="F64">
            <v>11758417</v>
          </cell>
        </row>
        <row r="65">
          <cell r="B65" t="str">
            <v xml:space="preserve">Italia </v>
          </cell>
          <cell r="C65">
            <v>59525134</v>
          </cell>
          <cell r="D65">
            <v>59304511</v>
          </cell>
          <cell r="E65">
            <v>5334412</v>
          </cell>
          <cell r="F65">
            <v>7582446</v>
          </cell>
        </row>
        <row r="66">
          <cell r="B66" t="str">
            <v xml:space="preserve">Países Bajos </v>
          </cell>
          <cell r="C66">
            <v>135169382</v>
          </cell>
          <cell r="D66">
            <v>148414529</v>
          </cell>
          <cell r="E66">
            <v>13860363</v>
          </cell>
          <cell r="F66">
            <v>35407827</v>
          </cell>
        </row>
        <row r="67">
          <cell r="B67" t="str">
            <v xml:space="preserve">Reino Unido </v>
          </cell>
          <cell r="C67">
            <v>140645964</v>
          </cell>
          <cell r="D67">
            <v>99413866</v>
          </cell>
          <cell r="E67">
            <v>5656095</v>
          </cell>
          <cell r="F67">
            <v>7541028</v>
          </cell>
        </row>
        <row r="68">
          <cell r="B68" t="str">
            <v xml:space="preserve">Suecia </v>
          </cell>
          <cell r="C68">
            <v>27082158</v>
          </cell>
          <cell r="D68">
            <v>18952695</v>
          </cell>
          <cell r="E68">
            <v>3117425</v>
          </cell>
          <cell r="F68">
            <v>2286683</v>
          </cell>
        </row>
        <row r="69">
          <cell r="B69" t="str">
            <v xml:space="preserve">Resto </v>
          </cell>
          <cell r="C69">
            <v>33698309</v>
          </cell>
          <cell r="D69">
            <v>54080598</v>
          </cell>
          <cell r="E69">
            <v>3940136</v>
          </cell>
          <cell r="F69">
            <v>3742070</v>
          </cell>
        </row>
        <row r="83">
          <cell r="B83" t="str">
            <v>Corea del Sur</v>
          </cell>
          <cell r="C83">
            <v>129457547</v>
          </cell>
          <cell r="D83">
            <v>53150310</v>
          </cell>
          <cell r="E83">
            <v>6980948</v>
          </cell>
          <cell r="F83">
            <v>4852733</v>
          </cell>
        </row>
        <row r="84">
          <cell r="B84" t="str">
            <v xml:space="preserve">China </v>
          </cell>
          <cell r="C84">
            <v>586400982</v>
          </cell>
          <cell r="D84">
            <v>750963598</v>
          </cell>
          <cell r="E84">
            <v>76281485</v>
          </cell>
          <cell r="F84">
            <v>100871821</v>
          </cell>
        </row>
        <row r="85">
          <cell r="B85" t="str">
            <v xml:space="preserve">Japón </v>
          </cell>
          <cell r="C85">
            <v>34461404</v>
          </cell>
          <cell r="D85">
            <v>33031934</v>
          </cell>
          <cell r="E85">
            <v>3779359</v>
          </cell>
          <cell r="F85">
            <v>4656547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"/>
    </sheetNames>
    <sheetDataSet>
      <sheetData sheetId="0">
        <row r="7">
          <cell r="C7">
            <v>872229536</v>
          </cell>
          <cell r="D7">
            <v>991004364</v>
          </cell>
          <cell r="E7">
            <v>1365154295</v>
          </cell>
          <cell r="F7">
            <v>1175533729</v>
          </cell>
          <cell r="G7">
            <v>1580149736</v>
          </cell>
        </row>
        <row r="8">
          <cell r="C8">
            <v>976402987</v>
          </cell>
          <cell r="D8">
            <v>1092396122</v>
          </cell>
          <cell r="E8">
            <v>1087848133</v>
          </cell>
          <cell r="F8">
            <v>1168950225</v>
          </cell>
          <cell r="G8">
            <v>1529446422</v>
          </cell>
        </row>
        <row r="9">
          <cell r="C9">
            <v>1024479975</v>
          </cell>
          <cell r="D9">
            <v>1042028836</v>
          </cell>
          <cell r="E9">
            <v>1024142943</v>
          </cell>
          <cell r="F9">
            <v>1516204131</v>
          </cell>
          <cell r="G9">
            <v>2119086497</v>
          </cell>
        </row>
        <row r="10">
          <cell r="C10">
            <v>871516448</v>
          </cell>
          <cell r="D10">
            <v>1243650186</v>
          </cell>
          <cell r="E10">
            <v>1164941495</v>
          </cell>
          <cell r="F10">
            <v>1325559384</v>
          </cell>
          <cell r="G10">
            <v>2120460731</v>
          </cell>
        </row>
        <row r="11">
          <cell r="C11">
            <v>1035234734</v>
          </cell>
          <cell r="D11">
            <v>1167285476</v>
          </cell>
          <cell r="E11">
            <v>981429242</v>
          </cell>
          <cell r="F11">
            <v>1399509950</v>
          </cell>
          <cell r="G11">
            <v>2516467684</v>
          </cell>
        </row>
        <row r="12">
          <cell r="C12">
            <v>958249858</v>
          </cell>
          <cell r="D12">
            <v>1185917839</v>
          </cell>
          <cell r="E12">
            <v>998382557</v>
          </cell>
          <cell r="F12">
            <v>1361948779</v>
          </cell>
          <cell r="G12">
            <v>1860327830</v>
          </cell>
        </row>
        <row r="13">
          <cell r="C13">
            <v>983327343</v>
          </cell>
          <cell r="D13">
            <v>1302702124</v>
          </cell>
          <cell r="E13">
            <v>1374549686</v>
          </cell>
          <cell r="F13">
            <v>1523659805</v>
          </cell>
          <cell r="G13">
            <v>1851208971</v>
          </cell>
        </row>
        <row r="14">
          <cell r="C14">
            <v>1080361685</v>
          </cell>
          <cell r="D14">
            <v>1129622645</v>
          </cell>
          <cell r="E14">
            <v>1101823615</v>
          </cell>
          <cell r="F14">
            <v>1556157787</v>
          </cell>
          <cell r="G14">
            <v>1951941502</v>
          </cell>
        </row>
        <row r="15">
          <cell r="C15">
            <v>1031747233</v>
          </cell>
          <cell r="D15">
            <v>1228642346</v>
          </cell>
          <cell r="E15">
            <v>1166823037</v>
          </cell>
          <cell r="F15">
            <v>1794200102</v>
          </cell>
          <cell r="G15">
            <v>2456372410</v>
          </cell>
        </row>
        <row r="16">
          <cell r="C16">
            <v>1183664924</v>
          </cell>
          <cell r="D16">
            <v>1350050242</v>
          </cell>
          <cell r="E16">
            <v>1265998249</v>
          </cell>
          <cell r="F16">
            <v>1619319872</v>
          </cell>
          <cell r="G16">
            <v>2418381790</v>
          </cell>
        </row>
        <row r="17">
          <cell r="C17">
            <v>1214735728</v>
          </cell>
          <cell r="D17">
            <v>1414186552</v>
          </cell>
          <cell r="E17">
            <v>1112431555</v>
          </cell>
          <cell r="F17">
            <v>1755104619</v>
          </cell>
          <cell r="G17">
            <v>2635060707</v>
          </cell>
        </row>
        <row r="18">
          <cell r="C18">
            <v>1108972560</v>
          </cell>
          <cell r="D18">
            <v>1260684656</v>
          </cell>
          <cell r="E18">
            <v>1328639623</v>
          </cell>
          <cell r="F18">
            <v>1889315560</v>
          </cell>
        </row>
        <row r="32">
          <cell r="C32">
            <v>39320000</v>
          </cell>
          <cell r="D32">
            <v>41336759</v>
          </cell>
          <cell r="E32">
            <v>38668282</v>
          </cell>
          <cell r="F32">
            <v>43958783</v>
          </cell>
          <cell r="G32">
            <v>55337090</v>
          </cell>
        </row>
        <row r="33">
          <cell r="C33">
            <v>35166769</v>
          </cell>
          <cell r="D33">
            <v>40057321</v>
          </cell>
          <cell r="E33">
            <v>28670425</v>
          </cell>
          <cell r="F33">
            <v>47190815</v>
          </cell>
          <cell r="G33">
            <v>48115483</v>
          </cell>
        </row>
        <row r="34">
          <cell r="C34">
            <v>29004576</v>
          </cell>
          <cell r="D34">
            <v>26782728</v>
          </cell>
          <cell r="E34">
            <v>46714812</v>
          </cell>
          <cell r="F34">
            <v>59482695</v>
          </cell>
          <cell r="G34">
            <v>52523979</v>
          </cell>
        </row>
        <row r="35">
          <cell r="C35">
            <v>30844959</v>
          </cell>
          <cell r="D35">
            <v>35672542</v>
          </cell>
          <cell r="E35">
            <v>37528329</v>
          </cell>
          <cell r="F35">
            <v>67349545</v>
          </cell>
          <cell r="G35">
            <v>77568853</v>
          </cell>
        </row>
        <row r="36">
          <cell r="C36">
            <v>29636235</v>
          </cell>
          <cell r="D36">
            <v>36490602</v>
          </cell>
          <cell r="E36">
            <v>35578635</v>
          </cell>
          <cell r="F36">
            <v>44573290</v>
          </cell>
          <cell r="G36">
            <v>85809922</v>
          </cell>
        </row>
        <row r="37">
          <cell r="C37">
            <v>23305485</v>
          </cell>
          <cell r="D37">
            <v>42842741</v>
          </cell>
          <cell r="E37">
            <v>43399468</v>
          </cell>
          <cell r="F37">
            <v>52674779</v>
          </cell>
          <cell r="G37">
            <v>75768917</v>
          </cell>
        </row>
        <row r="38">
          <cell r="C38">
            <v>28465610</v>
          </cell>
          <cell r="D38">
            <v>44067670</v>
          </cell>
          <cell r="E38">
            <v>50850553</v>
          </cell>
          <cell r="F38">
            <v>53804777</v>
          </cell>
          <cell r="G38">
            <v>61378848</v>
          </cell>
        </row>
        <row r="39">
          <cell r="C39">
            <v>25768761</v>
          </cell>
          <cell r="D39">
            <v>54979469</v>
          </cell>
          <cell r="E39">
            <v>40015101</v>
          </cell>
          <cell r="F39">
            <v>52476966</v>
          </cell>
          <cell r="G39">
            <v>65932363</v>
          </cell>
        </row>
        <row r="40">
          <cell r="C40">
            <v>24355043</v>
          </cell>
          <cell r="D40">
            <v>36165873</v>
          </cell>
          <cell r="E40">
            <v>34030462</v>
          </cell>
          <cell r="F40">
            <v>59125891</v>
          </cell>
          <cell r="G40">
            <v>80113670</v>
          </cell>
        </row>
        <row r="41">
          <cell r="C41">
            <v>40530788</v>
          </cell>
          <cell r="D41">
            <v>57182764</v>
          </cell>
          <cell r="E41">
            <v>44752462</v>
          </cell>
          <cell r="F41">
            <v>41996589</v>
          </cell>
          <cell r="G41">
            <v>74314529</v>
          </cell>
        </row>
        <row r="42">
          <cell r="C42">
            <v>43074627</v>
          </cell>
          <cell r="D42">
            <v>73106142</v>
          </cell>
          <cell r="E42">
            <v>40384564</v>
          </cell>
          <cell r="F42">
            <v>56922102</v>
          </cell>
          <cell r="G42">
            <v>83698133</v>
          </cell>
        </row>
        <row r="43">
          <cell r="C43">
            <v>25632357</v>
          </cell>
          <cell r="D43">
            <v>39080975</v>
          </cell>
          <cell r="E43">
            <v>51826391</v>
          </cell>
          <cell r="F43">
            <v>55981636</v>
          </cell>
        </row>
        <row r="57">
          <cell r="C57">
            <v>826621781</v>
          </cell>
          <cell r="D57">
            <v>942181921</v>
          </cell>
          <cell r="E57">
            <v>1317747403</v>
          </cell>
          <cell r="F57">
            <v>1124191757</v>
          </cell>
          <cell r="G57">
            <v>1516037904</v>
          </cell>
        </row>
        <row r="58">
          <cell r="C58">
            <v>936247418</v>
          </cell>
          <cell r="D58">
            <v>1045468615</v>
          </cell>
          <cell r="E58">
            <v>1052961249</v>
          </cell>
          <cell r="F58">
            <v>1115019081</v>
          </cell>
          <cell r="G58">
            <v>1473344190</v>
          </cell>
        </row>
        <row r="59">
          <cell r="C59">
            <v>990819268</v>
          </cell>
          <cell r="D59">
            <v>1009817574</v>
          </cell>
          <cell r="E59">
            <v>971718358</v>
          </cell>
          <cell r="F59">
            <v>1445815370</v>
          </cell>
          <cell r="G59">
            <v>2056666272</v>
          </cell>
        </row>
        <row r="60">
          <cell r="C60">
            <v>836174717</v>
          </cell>
          <cell r="D60">
            <v>1200638087</v>
          </cell>
          <cell r="E60">
            <v>1122003913</v>
          </cell>
          <cell r="F60">
            <v>1246520870</v>
          </cell>
          <cell r="G60">
            <v>2034620977</v>
          </cell>
        </row>
        <row r="61">
          <cell r="C61">
            <v>1001227849</v>
          </cell>
          <cell r="D61">
            <v>1125758704</v>
          </cell>
          <cell r="E61">
            <v>942356146</v>
          </cell>
          <cell r="F61">
            <v>1345434754</v>
          </cell>
          <cell r="G61">
            <v>2424225397</v>
          </cell>
        </row>
        <row r="62">
          <cell r="C62">
            <v>930973434</v>
          </cell>
          <cell r="D62">
            <v>1136810397</v>
          </cell>
          <cell r="E62">
            <v>948937210</v>
          </cell>
          <cell r="F62">
            <v>1301451678</v>
          </cell>
          <cell r="G62">
            <v>1779031930</v>
          </cell>
        </row>
        <row r="63">
          <cell r="C63">
            <v>949486277</v>
          </cell>
          <cell r="D63">
            <v>1250215598</v>
          </cell>
          <cell r="E63">
            <v>1316649748</v>
          </cell>
          <cell r="F63">
            <v>1461994894</v>
          </cell>
          <cell r="G63">
            <v>1779370795</v>
          </cell>
        </row>
        <row r="64">
          <cell r="C64">
            <v>1047989386</v>
          </cell>
          <cell r="D64">
            <v>1065165013</v>
          </cell>
          <cell r="E64">
            <v>1055355927</v>
          </cell>
          <cell r="F64">
            <v>1494208519</v>
          </cell>
          <cell r="G64">
            <v>1875126387</v>
          </cell>
        </row>
        <row r="65">
          <cell r="C65">
            <v>999398679</v>
          </cell>
          <cell r="D65">
            <v>1183118835</v>
          </cell>
          <cell r="E65">
            <v>1126720063</v>
          </cell>
          <cell r="F65">
            <v>1727140667</v>
          </cell>
          <cell r="G65">
            <v>2369503682</v>
          </cell>
        </row>
        <row r="66">
          <cell r="C66">
            <v>1135303590</v>
          </cell>
          <cell r="D66">
            <v>1283337760</v>
          </cell>
          <cell r="E66">
            <v>1215402979</v>
          </cell>
          <cell r="F66">
            <v>1570175130</v>
          </cell>
          <cell r="G66">
            <v>2336635551</v>
          </cell>
        </row>
        <row r="67">
          <cell r="C67">
            <v>1165529213</v>
          </cell>
          <cell r="D67">
            <v>1334886175</v>
          </cell>
          <cell r="E67">
            <v>1064666753</v>
          </cell>
          <cell r="F67">
            <v>1690064499</v>
          </cell>
          <cell r="G67">
            <v>2539767854</v>
          </cell>
        </row>
        <row r="68">
          <cell r="C68">
            <v>1077153903</v>
          </cell>
          <cell r="D68">
            <v>1215069955</v>
          </cell>
          <cell r="E68">
            <v>1268584965</v>
          </cell>
          <cell r="F68">
            <v>1823558672</v>
          </cell>
        </row>
        <row r="82">
          <cell r="C82">
            <v>101682573</v>
          </cell>
          <cell r="D82">
            <v>99665752</v>
          </cell>
          <cell r="E82">
            <v>106041322</v>
          </cell>
          <cell r="F82">
            <v>102461524</v>
          </cell>
          <cell r="G82">
            <v>182613956</v>
          </cell>
        </row>
        <row r="83">
          <cell r="C83">
            <v>76350601</v>
          </cell>
          <cell r="D83">
            <v>95701430</v>
          </cell>
          <cell r="E83">
            <v>85321374</v>
          </cell>
          <cell r="F83">
            <v>98130954</v>
          </cell>
          <cell r="G83">
            <v>143248534</v>
          </cell>
        </row>
        <row r="84">
          <cell r="C84">
            <v>94874535</v>
          </cell>
          <cell r="D84">
            <v>99065320</v>
          </cell>
          <cell r="E84">
            <v>101777687</v>
          </cell>
          <cell r="F84">
            <v>137346865</v>
          </cell>
          <cell r="G84">
            <v>177827240</v>
          </cell>
        </row>
        <row r="85">
          <cell r="C85">
            <v>87989884</v>
          </cell>
          <cell r="D85">
            <v>112880763</v>
          </cell>
          <cell r="E85">
            <v>91814466</v>
          </cell>
          <cell r="F85">
            <v>135422771</v>
          </cell>
          <cell r="G85">
            <v>497908619</v>
          </cell>
        </row>
        <row r="86">
          <cell r="C86">
            <v>99835321</v>
          </cell>
          <cell r="D86">
            <v>110047045</v>
          </cell>
          <cell r="E86">
            <v>94888999</v>
          </cell>
          <cell r="F86">
            <v>143319278</v>
          </cell>
          <cell r="G86">
            <v>435501179</v>
          </cell>
        </row>
        <row r="87">
          <cell r="C87">
            <v>96517592</v>
          </cell>
          <cell r="D87">
            <v>108975738</v>
          </cell>
          <cell r="E87">
            <v>95849572</v>
          </cell>
          <cell r="F87">
            <v>143883299</v>
          </cell>
          <cell r="G87">
            <v>168293944</v>
          </cell>
        </row>
        <row r="88">
          <cell r="C88">
            <v>92787089</v>
          </cell>
          <cell r="D88">
            <v>127652149</v>
          </cell>
          <cell r="E88">
            <v>106620969</v>
          </cell>
          <cell r="F88">
            <v>150021198</v>
          </cell>
          <cell r="G88">
            <v>157683704</v>
          </cell>
        </row>
        <row r="89">
          <cell r="C89">
            <v>91229917</v>
          </cell>
          <cell r="D89">
            <v>113311092</v>
          </cell>
          <cell r="E89">
            <v>107776649</v>
          </cell>
          <cell r="F89">
            <v>166188832</v>
          </cell>
          <cell r="G89">
            <v>174044219</v>
          </cell>
        </row>
        <row r="90">
          <cell r="C90">
            <v>94827505</v>
          </cell>
          <cell r="D90">
            <v>108538030</v>
          </cell>
          <cell r="E90">
            <v>106417785</v>
          </cell>
          <cell r="F90">
            <v>188452735</v>
          </cell>
          <cell r="G90">
            <v>432415363</v>
          </cell>
        </row>
        <row r="91">
          <cell r="C91">
            <v>103274103</v>
          </cell>
          <cell r="D91">
            <v>126682428</v>
          </cell>
          <cell r="E91">
            <v>113913602</v>
          </cell>
          <cell r="F91">
            <v>232461015</v>
          </cell>
          <cell r="G91">
            <v>387531520</v>
          </cell>
        </row>
        <row r="92">
          <cell r="C92">
            <v>99293338</v>
          </cell>
          <cell r="D92">
            <v>106465921</v>
          </cell>
          <cell r="E92">
            <v>117345350</v>
          </cell>
          <cell r="F92">
            <v>147210411</v>
          </cell>
          <cell r="G92">
            <v>529769705</v>
          </cell>
        </row>
        <row r="93">
          <cell r="C93">
            <v>83608660</v>
          </cell>
          <cell r="D93">
            <v>112214927</v>
          </cell>
          <cell r="E93">
            <v>121744673</v>
          </cell>
          <cell r="F93">
            <v>326099767</v>
          </cell>
        </row>
        <row r="107">
          <cell r="C107">
            <v>101404296</v>
          </cell>
          <cell r="D107">
            <v>145649159</v>
          </cell>
          <cell r="E107">
            <v>185395669</v>
          </cell>
          <cell r="F107">
            <v>128124262</v>
          </cell>
          <cell r="G107">
            <v>205996210</v>
          </cell>
        </row>
        <row r="108">
          <cell r="C108">
            <v>98224159</v>
          </cell>
          <cell r="D108">
            <v>124608467</v>
          </cell>
          <cell r="E108">
            <v>127712198</v>
          </cell>
          <cell r="F108">
            <v>158815571</v>
          </cell>
          <cell r="G108">
            <v>212246035</v>
          </cell>
        </row>
        <row r="109">
          <cell r="C109">
            <v>110373496</v>
          </cell>
          <cell r="D109">
            <v>119281124</v>
          </cell>
          <cell r="E109">
            <v>117754178</v>
          </cell>
          <cell r="F109">
            <v>189945907</v>
          </cell>
          <cell r="G109">
            <v>242006950</v>
          </cell>
        </row>
        <row r="110">
          <cell r="C110">
            <v>108527657</v>
          </cell>
          <cell r="D110">
            <v>153417817</v>
          </cell>
          <cell r="E110">
            <v>125964979</v>
          </cell>
          <cell r="F110">
            <v>160877749</v>
          </cell>
          <cell r="G110">
            <v>254922442</v>
          </cell>
        </row>
        <row r="111">
          <cell r="C111">
            <v>123460783</v>
          </cell>
          <cell r="D111">
            <v>145395260</v>
          </cell>
          <cell r="E111">
            <v>109471045</v>
          </cell>
          <cell r="F111">
            <v>158416368</v>
          </cell>
          <cell r="G111">
            <v>315229433</v>
          </cell>
        </row>
        <row r="112">
          <cell r="C112">
            <v>121987472</v>
          </cell>
          <cell r="D112">
            <v>133375661</v>
          </cell>
          <cell r="E112">
            <v>122924665</v>
          </cell>
          <cell r="F112">
            <v>196421229</v>
          </cell>
          <cell r="G112">
            <v>268192921</v>
          </cell>
        </row>
        <row r="113">
          <cell r="C113">
            <v>134384868</v>
          </cell>
          <cell r="D113">
            <v>169165347</v>
          </cell>
          <cell r="E113">
            <v>142199203</v>
          </cell>
          <cell r="F113">
            <v>224740332</v>
          </cell>
          <cell r="G113">
            <v>280183505</v>
          </cell>
        </row>
        <row r="114">
          <cell r="C114">
            <v>156487016</v>
          </cell>
          <cell r="D114">
            <v>167159778</v>
          </cell>
          <cell r="E114">
            <v>136700203</v>
          </cell>
          <cell r="F114">
            <v>228667538</v>
          </cell>
          <cell r="G114">
            <v>315190322</v>
          </cell>
        </row>
        <row r="115">
          <cell r="C115">
            <v>140890304</v>
          </cell>
          <cell r="D115">
            <v>171788901</v>
          </cell>
          <cell r="E115">
            <v>153863444</v>
          </cell>
          <cell r="F115">
            <v>260890746</v>
          </cell>
          <cell r="G115">
            <v>311203645</v>
          </cell>
        </row>
        <row r="116">
          <cell r="C116">
            <v>155780857</v>
          </cell>
          <cell r="D116">
            <v>193556869</v>
          </cell>
          <cell r="E116">
            <v>157769708</v>
          </cell>
          <cell r="F116">
            <v>259159730</v>
          </cell>
          <cell r="G116">
            <v>339990449</v>
          </cell>
        </row>
        <row r="117">
          <cell r="C117">
            <v>170365208</v>
          </cell>
          <cell r="D117">
            <v>197899623</v>
          </cell>
          <cell r="E117">
            <v>144802286</v>
          </cell>
          <cell r="F117">
            <v>255131992</v>
          </cell>
          <cell r="G117">
            <v>334431662</v>
          </cell>
        </row>
        <row r="118">
          <cell r="C118">
            <v>137491218</v>
          </cell>
          <cell r="D118">
            <v>166167325</v>
          </cell>
          <cell r="E118">
            <v>175981752</v>
          </cell>
          <cell r="F118">
            <v>236751499</v>
          </cell>
        </row>
        <row r="132">
          <cell r="C132">
            <v>307599060</v>
          </cell>
          <cell r="D132">
            <v>307987007</v>
          </cell>
          <cell r="E132">
            <v>385681219</v>
          </cell>
          <cell r="F132">
            <v>332777555</v>
          </cell>
          <cell r="G132">
            <v>532646096</v>
          </cell>
        </row>
        <row r="133">
          <cell r="C133">
            <v>325995505</v>
          </cell>
          <cell r="D133">
            <v>330330994</v>
          </cell>
          <cell r="E133">
            <v>319586945</v>
          </cell>
          <cell r="F133">
            <v>352404042</v>
          </cell>
          <cell r="G133">
            <v>558454830</v>
          </cell>
        </row>
        <row r="134">
          <cell r="C134">
            <v>346518847</v>
          </cell>
          <cell r="D134">
            <v>323041798</v>
          </cell>
          <cell r="E134">
            <v>313553589</v>
          </cell>
          <cell r="F134">
            <v>435926877</v>
          </cell>
          <cell r="G134">
            <v>683946753</v>
          </cell>
        </row>
        <row r="135">
          <cell r="C135">
            <v>324442706</v>
          </cell>
          <cell r="D135">
            <v>416049994</v>
          </cell>
          <cell r="E135">
            <v>304515036</v>
          </cell>
          <cell r="F135">
            <v>415839396</v>
          </cell>
          <cell r="G135">
            <v>677894392</v>
          </cell>
        </row>
        <row r="136">
          <cell r="C136">
            <v>379477561</v>
          </cell>
          <cell r="D136">
            <v>390293453</v>
          </cell>
          <cell r="E136">
            <v>272696479</v>
          </cell>
          <cell r="F136">
            <v>412747434</v>
          </cell>
          <cell r="G136">
            <v>796885276</v>
          </cell>
        </row>
        <row r="137">
          <cell r="C137">
            <v>355226471</v>
          </cell>
          <cell r="D137">
            <v>386486374</v>
          </cell>
          <cell r="E137">
            <v>279702248</v>
          </cell>
          <cell r="F137">
            <v>483927327</v>
          </cell>
          <cell r="G137">
            <v>630271175</v>
          </cell>
        </row>
        <row r="138">
          <cell r="C138">
            <v>347715509</v>
          </cell>
          <cell r="D138">
            <v>442181410</v>
          </cell>
          <cell r="E138">
            <v>359357214</v>
          </cell>
          <cell r="F138">
            <v>462481727</v>
          </cell>
          <cell r="G138">
            <v>648267582</v>
          </cell>
        </row>
        <row r="139">
          <cell r="C139">
            <v>387500207</v>
          </cell>
          <cell r="D139">
            <v>374717530</v>
          </cell>
          <cell r="E139">
            <v>293921181</v>
          </cell>
          <cell r="F139">
            <v>469910598</v>
          </cell>
          <cell r="G139">
            <v>719836129</v>
          </cell>
        </row>
        <row r="140">
          <cell r="C140">
            <v>351284328</v>
          </cell>
          <cell r="D140">
            <v>355212004</v>
          </cell>
          <cell r="E140">
            <v>337850086</v>
          </cell>
          <cell r="F140">
            <v>513445965</v>
          </cell>
          <cell r="G140">
            <v>824580631</v>
          </cell>
        </row>
        <row r="141">
          <cell r="C141">
            <v>385228635</v>
          </cell>
          <cell r="D141">
            <v>440984618</v>
          </cell>
          <cell r="E141">
            <v>381155938</v>
          </cell>
          <cell r="F141">
            <v>621181922</v>
          </cell>
          <cell r="G141">
            <v>762930385</v>
          </cell>
        </row>
        <row r="142">
          <cell r="C142">
            <v>362243169</v>
          </cell>
          <cell r="D142">
            <v>407744191</v>
          </cell>
          <cell r="E142">
            <v>341720873</v>
          </cell>
          <cell r="F142">
            <v>597664591</v>
          </cell>
          <cell r="G142">
            <v>880651038</v>
          </cell>
        </row>
        <row r="143">
          <cell r="C143">
            <v>352932535</v>
          </cell>
          <cell r="D143">
            <v>372721754</v>
          </cell>
          <cell r="E143">
            <v>393343590</v>
          </cell>
          <cell r="F143">
            <v>698984072</v>
          </cell>
        </row>
        <row r="157">
          <cell r="C157">
            <v>315935852</v>
          </cell>
          <cell r="D157">
            <v>388880003</v>
          </cell>
          <cell r="E157">
            <v>640629193</v>
          </cell>
          <cell r="F157">
            <v>560828415</v>
          </cell>
          <cell r="G157">
            <v>594781642</v>
          </cell>
        </row>
        <row r="158">
          <cell r="C158">
            <v>435677152</v>
          </cell>
          <cell r="D158">
            <v>494827724</v>
          </cell>
          <cell r="E158">
            <v>520340732</v>
          </cell>
          <cell r="F158">
            <v>505668514</v>
          </cell>
          <cell r="G158">
            <v>559394792</v>
          </cell>
        </row>
        <row r="159">
          <cell r="C159">
            <v>439052390</v>
          </cell>
          <cell r="D159">
            <v>468429331</v>
          </cell>
          <cell r="E159">
            <v>438632904</v>
          </cell>
          <cell r="F159">
            <v>682595721</v>
          </cell>
          <cell r="G159">
            <v>952885329</v>
          </cell>
        </row>
        <row r="160">
          <cell r="C160">
            <v>315214469</v>
          </cell>
          <cell r="D160">
            <v>518289513</v>
          </cell>
          <cell r="E160">
            <v>599709432</v>
          </cell>
          <cell r="F160">
            <v>534380954</v>
          </cell>
          <cell r="G160">
            <v>603895524</v>
          </cell>
        </row>
        <row r="161">
          <cell r="C161">
            <v>398454184</v>
          </cell>
          <cell r="D161">
            <v>480022947</v>
          </cell>
          <cell r="E161">
            <v>465299623</v>
          </cell>
          <cell r="F161">
            <v>630951675</v>
          </cell>
          <cell r="G161">
            <v>876609509</v>
          </cell>
        </row>
        <row r="162">
          <cell r="C162">
            <v>357241899</v>
          </cell>
          <cell r="D162">
            <v>507972624</v>
          </cell>
          <cell r="E162">
            <v>450460725</v>
          </cell>
          <cell r="F162">
            <v>477219823</v>
          </cell>
          <cell r="G162">
            <v>712273890</v>
          </cell>
        </row>
        <row r="163">
          <cell r="C163">
            <v>374598811</v>
          </cell>
          <cell r="D163">
            <v>511216693</v>
          </cell>
          <cell r="E163">
            <v>708472362</v>
          </cell>
          <cell r="F163">
            <v>624751637</v>
          </cell>
          <cell r="G163">
            <v>693236004</v>
          </cell>
        </row>
        <row r="164">
          <cell r="C164">
            <v>412772245</v>
          </cell>
          <cell r="D164">
            <v>409976613</v>
          </cell>
          <cell r="E164">
            <v>516957894</v>
          </cell>
          <cell r="F164">
            <v>629441552</v>
          </cell>
          <cell r="G164">
            <v>666055716</v>
          </cell>
        </row>
        <row r="165">
          <cell r="C165">
            <v>412396541</v>
          </cell>
          <cell r="D165">
            <v>547579900</v>
          </cell>
          <cell r="E165">
            <v>528588748</v>
          </cell>
          <cell r="F165">
            <v>764351220</v>
          </cell>
          <cell r="G165">
            <v>801304043</v>
          </cell>
        </row>
        <row r="166">
          <cell r="C166">
            <v>491019995</v>
          </cell>
          <cell r="D166">
            <v>522113845</v>
          </cell>
          <cell r="E166">
            <v>562563731</v>
          </cell>
          <cell r="F166">
            <v>457372463</v>
          </cell>
          <cell r="G166">
            <v>846183197</v>
          </cell>
        </row>
        <row r="167">
          <cell r="C167">
            <v>533627497</v>
          </cell>
          <cell r="D167">
            <v>622776439</v>
          </cell>
          <cell r="E167">
            <v>460798245</v>
          </cell>
          <cell r="F167">
            <v>690057506</v>
          </cell>
          <cell r="G167">
            <v>794915449</v>
          </cell>
        </row>
        <row r="168">
          <cell r="C168">
            <v>503121490</v>
          </cell>
          <cell r="D168">
            <v>563965949</v>
          </cell>
          <cell r="E168">
            <v>577514950</v>
          </cell>
          <cell r="F168">
            <v>561723333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22">
          <cell r="E22">
            <v>39326</v>
          </cell>
        </row>
        <row r="24">
          <cell r="E24">
            <v>39387</v>
          </cell>
          <cell r="F24">
            <v>1015.235861142498</v>
          </cell>
        </row>
        <row r="25">
          <cell r="E25">
            <v>39417</v>
          </cell>
          <cell r="F25">
            <v>1028.4102508308304</v>
          </cell>
        </row>
        <row r="26">
          <cell r="E26">
            <v>39448</v>
          </cell>
          <cell r="F26">
            <v>1038.308153130831</v>
          </cell>
        </row>
        <row r="27">
          <cell r="E27">
            <v>39479</v>
          </cell>
          <cell r="F27">
            <v>1047.9742476799968</v>
          </cell>
        </row>
        <row r="28">
          <cell r="E28">
            <v>39508</v>
          </cell>
          <cell r="F28">
            <v>1049.4366528008311</v>
          </cell>
        </row>
        <row r="29">
          <cell r="E29">
            <v>39539</v>
          </cell>
          <cell r="F29">
            <v>1080.4477975649966</v>
          </cell>
        </row>
        <row r="30">
          <cell r="E30">
            <v>39569</v>
          </cell>
          <cell r="F30">
            <v>1091.4520261358291</v>
          </cell>
        </row>
        <row r="31">
          <cell r="E31">
            <v>39600</v>
          </cell>
          <cell r="F31">
            <v>1110.4243578849955</v>
          </cell>
        </row>
        <row r="32">
          <cell r="E32">
            <v>39630</v>
          </cell>
          <cell r="F32">
            <v>1137.038923029163</v>
          </cell>
        </row>
        <row r="33">
          <cell r="E33">
            <v>39661</v>
          </cell>
          <cell r="F33">
            <v>1141.1440030349966</v>
          </cell>
        </row>
        <row r="34">
          <cell r="E34">
            <v>39692</v>
          </cell>
          <cell r="F34">
            <v>1157.5519290824961</v>
          </cell>
        </row>
        <row r="35">
          <cell r="E35">
            <v>39722</v>
          </cell>
          <cell r="F35">
            <v>1171.4173721791628</v>
          </cell>
        </row>
        <row r="36">
          <cell r="E36">
            <v>39753</v>
          </cell>
          <cell r="F36">
            <v>1188.0382741933313</v>
          </cell>
        </row>
        <row r="37">
          <cell r="E37">
            <v>39783</v>
          </cell>
          <cell r="F37">
            <v>1200.6809488824979</v>
          </cell>
        </row>
        <row r="38">
          <cell r="E38">
            <v>39814</v>
          </cell>
          <cell r="F38">
            <v>1231.8601098166662</v>
          </cell>
        </row>
        <row r="39">
          <cell r="E39">
            <v>39845</v>
          </cell>
          <cell r="F39">
            <v>1231.4811107208336</v>
          </cell>
        </row>
        <row r="40">
          <cell r="E40">
            <v>39873</v>
          </cell>
          <cell r="F40">
            <v>1229.990619600834</v>
          </cell>
        </row>
        <row r="41">
          <cell r="E41">
            <v>39904</v>
          </cell>
          <cell r="F41">
            <v>1223.4315620333364</v>
          </cell>
        </row>
        <row r="42">
          <cell r="E42">
            <v>39934</v>
          </cell>
          <cell r="F42">
            <v>1207.9435425225049</v>
          </cell>
        </row>
        <row r="43">
          <cell r="E43">
            <v>39965</v>
          </cell>
          <cell r="F43">
            <v>1192.3156023775059</v>
          </cell>
        </row>
        <row r="44">
          <cell r="E44">
            <v>39995</v>
          </cell>
          <cell r="F44">
            <v>1198.3028991725064</v>
          </cell>
        </row>
        <row r="45">
          <cell r="E45">
            <v>40026</v>
          </cell>
          <cell r="F45">
            <v>1195.9863133375059</v>
          </cell>
        </row>
        <row r="46">
          <cell r="E46">
            <v>40057</v>
          </cell>
          <cell r="F46">
            <v>1190.8347042625062</v>
          </cell>
        </row>
        <row r="47">
          <cell r="E47">
            <v>40087</v>
          </cell>
          <cell r="F47">
            <v>1183.8303715883378</v>
          </cell>
        </row>
        <row r="48">
          <cell r="E48">
            <v>40118</v>
          </cell>
          <cell r="F48">
            <v>1158.6841218266707</v>
          </cell>
        </row>
        <row r="49">
          <cell r="E49">
            <v>40148</v>
          </cell>
          <cell r="F49">
            <v>1164.3470357383383</v>
          </cell>
        </row>
        <row r="50">
          <cell r="E50">
            <v>40179</v>
          </cell>
          <cell r="F50">
            <v>1148.5453219616711</v>
          </cell>
        </row>
        <row r="51">
          <cell r="E51">
            <v>40210</v>
          </cell>
          <cell r="F51">
            <v>1155.3038296425041</v>
          </cell>
        </row>
        <row r="52">
          <cell r="E52">
            <v>40238</v>
          </cell>
          <cell r="F52">
            <v>1196.3089286683351</v>
          </cell>
        </row>
        <row r="53">
          <cell r="E53">
            <v>40269</v>
          </cell>
          <cell r="F53">
            <v>1209.6937527841653</v>
          </cell>
        </row>
        <row r="54">
          <cell r="E54">
            <v>40299</v>
          </cell>
          <cell r="F54">
            <v>1244.5338117974961</v>
          </cell>
        </row>
        <row r="55">
          <cell r="E55">
            <v>40330</v>
          </cell>
          <cell r="F55">
            <v>1274.8309969716615</v>
          </cell>
        </row>
        <row r="56">
          <cell r="E56">
            <v>40360</v>
          </cell>
          <cell r="F56">
            <v>1287.2568402033266</v>
          </cell>
        </row>
        <row r="57">
          <cell r="E57">
            <v>40391</v>
          </cell>
          <cell r="F57">
            <v>1325.1180212066618</v>
          </cell>
        </row>
        <row r="58">
          <cell r="E58">
            <v>40422</v>
          </cell>
          <cell r="F58">
            <v>1377.3994433024955</v>
          </cell>
        </row>
        <row r="59">
          <cell r="E59">
            <v>40452</v>
          </cell>
          <cell r="F59">
            <v>1406.842911835832</v>
          </cell>
        </row>
        <row r="60">
          <cell r="E60">
            <v>40483</v>
          </cell>
          <cell r="F60">
            <v>1460.3990005349979</v>
          </cell>
        </row>
        <row r="61">
          <cell r="E61">
            <v>40513</v>
          </cell>
          <cell r="F61">
            <v>1507.1219952916642</v>
          </cell>
        </row>
        <row r="62">
          <cell r="E62">
            <v>40544</v>
          </cell>
          <cell r="F62">
            <v>1540.8399958133298</v>
          </cell>
        </row>
        <row r="63">
          <cell r="E63">
            <v>40575</v>
          </cell>
          <cell r="F63">
            <v>1570.8813455183288</v>
          </cell>
        </row>
        <row r="64">
          <cell r="E64">
            <v>40603</v>
          </cell>
          <cell r="F64">
            <v>1621.121542658331</v>
          </cell>
        </row>
        <row r="65">
          <cell r="E65">
            <v>40634</v>
          </cell>
          <cell r="F65">
            <v>1687.3633215699995</v>
          </cell>
        </row>
        <row r="66">
          <cell r="E66">
            <v>40664</v>
          </cell>
          <cell r="F66">
            <v>1780.4431327333323</v>
          </cell>
        </row>
        <row r="67">
          <cell r="E67">
            <v>40695</v>
          </cell>
          <cell r="F67">
            <v>1821.97472029917</v>
          </cell>
        </row>
        <row r="68">
          <cell r="E68">
            <v>40725</v>
          </cell>
          <cell r="F68">
            <v>1849.2704841583381</v>
          </cell>
        </row>
        <row r="69">
          <cell r="E69">
            <v>40756</v>
          </cell>
          <cell r="F69">
            <v>1882.252460441671</v>
          </cell>
        </row>
        <row r="70">
          <cell r="E70">
            <v>40787</v>
          </cell>
          <cell r="F70">
            <v>1937.4334861383375</v>
          </cell>
        </row>
        <row r="71">
          <cell r="E71">
            <v>40817</v>
          </cell>
          <cell r="F71">
            <v>2004.0219793183358</v>
          </cell>
        </row>
        <row r="72">
          <cell r="E72">
            <v>40848</v>
          </cell>
          <cell r="F72">
            <v>2077.3516533033367</v>
          </cell>
        </row>
      </sheetData>
      <sheetData sheetId="1">
        <row r="22">
          <cell r="E22">
            <v>39326</v>
          </cell>
        </row>
        <row r="24">
          <cell r="E24">
            <v>39387</v>
          </cell>
          <cell r="F24">
            <v>31.328622681666644</v>
          </cell>
        </row>
        <row r="25">
          <cell r="E25">
            <v>39417</v>
          </cell>
          <cell r="F25">
            <v>31.25876753999998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31.649222727499989</v>
          </cell>
        </row>
        <row r="29">
          <cell r="E29">
            <v>39539</v>
          </cell>
          <cell r="F29">
            <v>32.051521303333338</v>
          </cell>
        </row>
        <row r="30">
          <cell r="E30">
            <v>39569</v>
          </cell>
          <cell r="F30">
            <v>32.622718589166666</v>
          </cell>
        </row>
        <row r="31">
          <cell r="E31">
            <v>39600</v>
          </cell>
          <cell r="F31">
            <v>34.250823239166664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37.985220570833334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40.357121055833339</v>
          </cell>
        </row>
        <row r="36">
          <cell r="E36">
            <v>39753</v>
          </cell>
          <cell r="F36">
            <v>42.859747333333338</v>
          </cell>
        </row>
        <row r="37">
          <cell r="E37">
            <v>39783</v>
          </cell>
          <cell r="F37">
            <v>43.980465499166677</v>
          </cell>
        </row>
        <row r="38">
          <cell r="E38">
            <v>39814</v>
          </cell>
          <cell r="F38">
            <v>43.758092452500016</v>
          </cell>
        </row>
        <row r="39">
          <cell r="E39">
            <v>39845</v>
          </cell>
          <cell r="F39">
            <v>42.809184508333345</v>
          </cell>
        </row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44.548843210000022</v>
          </cell>
        </row>
        <row r="43">
          <cell r="E43">
            <v>39965</v>
          </cell>
          <cell r="F43">
            <v>44.595237090000033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43.913446645000015</v>
          </cell>
        </row>
        <row r="46">
          <cell r="E46">
            <v>40057</v>
          </cell>
          <cell r="F46">
            <v>43.735495691666692</v>
          </cell>
        </row>
        <row r="47">
          <cell r="E47">
            <v>40087</v>
          </cell>
          <cell r="F47">
            <v>42.699637239166684</v>
          </cell>
        </row>
        <row r="48">
          <cell r="E48">
            <v>40118</v>
          </cell>
          <cell r="F48">
            <v>39.972839045833339</v>
          </cell>
        </row>
        <row r="49">
          <cell r="E49">
            <v>40148</v>
          </cell>
          <cell r="F49">
            <v>41.034956977500009</v>
          </cell>
        </row>
        <row r="50">
          <cell r="E50">
            <v>40179</v>
          </cell>
          <cell r="F50">
            <v>41.475832010833336</v>
          </cell>
        </row>
        <row r="51">
          <cell r="E51">
            <v>40210</v>
          </cell>
          <cell r="F51">
            <v>43.019197867500004</v>
          </cell>
        </row>
        <row r="52">
          <cell r="E52">
            <v>40238</v>
          </cell>
          <cell r="F52">
            <v>44.083188125000014</v>
          </cell>
        </row>
        <row r="53">
          <cell r="E53">
            <v>40269</v>
          </cell>
          <cell r="F53">
            <v>46.568289399999998</v>
          </cell>
        </row>
        <row r="54">
          <cell r="E54">
            <v>40299</v>
          </cell>
          <cell r="F54">
            <v>47.317843987500005</v>
          </cell>
        </row>
        <row r="55">
          <cell r="E55">
            <v>40330</v>
          </cell>
          <cell r="F55">
            <v>48.090786568333336</v>
          </cell>
        </row>
        <row r="56">
          <cell r="E56">
            <v>40360</v>
          </cell>
          <cell r="F56">
            <v>48.336971965833335</v>
          </cell>
        </row>
        <row r="57">
          <cell r="E57">
            <v>40391</v>
          </cell>
          <cell r="F57">
            <v>49.375460670000002</v>
          </cell>
        </row>
        <row r="58">
          <cell r="E58">
            <v>40422</v>
          </cell>
          <cell r="F58">
            <v>51.466746475000001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52.61521853833333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53.406843819999999</v>
          </cell>
        </row>
        <row r="65">
          <cell r="E65">
            <v>40634</v>
          </cell>
          <cell r="F65">
            <v>54.25845285916666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59.619350425000015</v>
          </cell>
        </row>
        <row r="68">
          <cell r="E68">
            <v>40725</v>
          </cell>
          <cell r="F68">
            <v>60.250522963333339</v>
          </cell>
        </row>
        <row r="69">
          <cell r="E69">
            <v>40756</v>
          </cell>
          <cell r="F69">
            <v>61.371806063333359</v>
          </cell>
        </row>
        <row r="70">
          <cell r="E70">
            <v>40787</v>
          </cell>
          <cell r="F70">
            <v>63.120787590000013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</sheetData>
      <sheetData sheetId="2">
        <row r="22">
          <cell r="E22">
            <v>39326</v>
          </cell>
        </row>
        <row r="24">
          <cell r="E24">
            <v>39387</v>
          </cell>
          <cell r="F24">
            <v>977.96973478333223</v>
          </cell>
        </row>
        <row r="25">
          <cell r="E25">
            <v>39417</v>
          </cell>
          <cell r="F25">
            <v>991.41045951666558</v>
          </cell>
        </row>
        <row r="26">
          <cell r="E26">
            <v>39448</v>
          </cell>
          <cell r="F26">
            <v>1001.0404711383331</v>
          </cell>
        </row>
        <row r="27">
          <cell r="E27">
            <v>39479</v>
          </cell>
          <cell r="F27">
            <v>1010.1422376008326</v>
          </cell>
        </row>
        <row r="28">
          <cell r="E28">
            <v>39508</v>
          </cell>
          <cell r="F28">
            <v>1011.7254297500002</v>
          </cell>
        </row>
        <row r="29">
          <cell r="E29">
            <v>39539</v>
          </cell>
          <cell r="F29">
            <v>1042.097377227499</v>
          </cell>
        </row>
        <row r="30">
          <cell r="E30">
            <v>39569</v>
          </cell>
          <cell r="F30">
            <v>1052.4749484424985</v>
          </cell>
        </row>
        <row r="31">
          <cell r="E31">
            <v>39600</v>
          </cell>
          <cell r="F31">
            <v>1069.6280287358315</v>
          </cell>
        </row>
        <row r="32">
          <cell r="E32">
            <v>39630</v>
          </cell>
          <cell r="F32">
            <v>1094.6888055116647</v>
          </cell>
        </row>
        <row r="33">
          <cell r="E33">
            <v>39661</v>
          </cell>
          <cell r="F33">
            <v>1096.1201078141646</v>
          </cell>
        </row>
        <row r="34">
          <cell r="E34">
            <v>39692</v>
          </cell>
          <cell r="F34">
            <v>1111.4301208174977</v>
          </cell>
        </row>
        <row r="35">
          <cell r="E35">
            <v>39722</v>
          </cell>
          <cell r="F35">
            <v>1123.7663016558306</v>
          </cell>
        </row>
        <row r="36">
          <cell r="E36">
            <v>39753</v>
          </cell>
          <cell r="F36">
            <v>1137.8793818374968</v>
          </cell>
        </row>
        <row r="37">
          <cell r="E37">
            <v>39783</v>
          </cell>
          <cell r="F37">
            <v>1149.3723861449969</v>
          </cell>
        </row>
        <row r="38">
          <cell r="E38">
            <v>39814</v>
          </cell>
          <cell r="F38">
            <v>1180.6695096991643</v>
          </cell>
        </row>
        <row r="39">
          <cell r="E39">
            <v>39845</v>
          </cell>
          <cell r="F39">
            <v>1181.2938958208308</v>
          </cell>
        </row>
        <row r="40">
          <cell r="E40">
            <v>39873</v>
          </cell>
          <cell r="F40">
            <v>1178.1189611499983</v>
          </cell>
        </row>
        <row r="41">
          <cell r="E41">
            <v>39904</v>
          </cell>
          <cell r="F41">
            <v>1171.5661133625001</v>
          </cell>
        </row>
        <row r="42">
          <cell r="E42">
            <v>39934</v>
          </cell>
          <cell r="F42">
            <v>1156.282566889168</v>
          </cell>
        </row>
        <row r="43">
          <cell r="E43">
            <v>39965</v>
          </cell>
          <cell r="F43">
            <v>1140.6264679458359</v>
          </cell>
        </row>
        <row r="44">
          <cell r="E44">
            <v>39995</v>
          </cell>
          <cell r="F44">
            <v>1146.1626471058362</v>
          </cell>
        </row>
        <row r="45">
          <cell r="E45">
            <v>40026</v>
          </cell>
          <cell r="F45">
            <v>1145.345223225836</v>
          </cell>
        </row>
        <row r="46">
          <cell r="E46">
            <v>40057</v>
          </cell>
          <cell r="F46">
            <v>1140.645325560836</v>
          </cell>
        </row>
        <row r="47">
          <cell r="E47">
            <v>40087</v>
          </cell>
          <cell r="F47">
            <v>1134.9840937975005</v>
          </cell>
        </row>
        <row r="48">
          <cell r="E48">
            <v>40118</v>
          </cell>
          <cell r="F48">
            <v>1112.4658086566671</v>
          </cell>
        </row>
        <row r="49">
          <cell r="E49">
            <v>40148</v>
          </cell>
          <cell r="F49">
            <v>1116.9253928916676</v>
          </cell>
        </row>
        <row r="50">
          <cell r="E50">
            <v>40179</v>
          </cell>
          <cell r="F50">
            <v>1100.7957556533336</v>
          </cell>
        </row>
        <row r="51">
          <cell r="E51">
            <v>40210</v>
          </cell>
          <cell r="F51">
            <v>1105.9672416666667</v>
          </cell>
        </row>
        <row r="52">
          <cell r="E52">
            <v>40238</v>
          </cell>
          <cell r="F52">
            <v>1145.4753260208324</v>
          </cell>
        </row>
        <row r="53">
          <cell r="E53">
            <v>40269</v>
          </cell>
          <cell r="F53">
            <v>1155.8517391141634</v>
          </cell>
        </row>
        <row r="54">
          <cell r="E54">
            <v>40299</v>
          </cell>
          <cell r="F54">
            <v>1189.4416231024961</v>
          </cell>
        </row>
        <row r="55">
          <cell r="E55">
            <v>40330</v>
          </cell>
          <cell r="F55">
            <v>1218.8178287749947</v>
          </cell>
        </row>
        <row r="56">
          <cell r="E56">
            <v>40360</v>
          </cell>
          <cell r="F56">
            <v>1230.9299242574953</v>
          </cell>
        </row>
        <row r="57">
          <cell r="E57">
            <v>40391</v>
          </cell>
          <cell r="F57">
            <v>1267.5009736533289</v>
          </cell>
        </row>
        <row r="58">
          <cell r="E58">
            <v>40422</v>
          </cell>
          <cell r="F58">
            <v>1317.5360240174948</v>
          </cell>
        </row>
        <row r="59">
          <cell r="E59">
            <v>40452</v>
          </cell>
          <cell r="F59">
            <v>1347.1003699649978</v>
          </cell>
        </row>
        <row r="60">
          <cell r="E60">
            <v>40483</v>
          </cell>
          <cell r="F60">
            <v>1399.2168487874978</v>
          </cell>
        </row>
        <row r="61">
          <cell r="E61">
            <v>40513</v>
          </cell>
          <cell r="F61">
            <v>1445.4646576641642</v>
          </cell>
        </row>
        <row r="62">
          <cell r="E62">
            <v>40544</v>
          </cell>
          <cell r="F62">
            <v>1478.1185033266645</v>
          </cell>
        </row>
        <row r="63">
          <cell r="E63">
            <v>40575</v>
          </cell>
          <cell r="F63">
            <v>1507.9789291358304</v>
          </cell>
        </row>
        <row r="64">
          <cell r="E64">
            <v>40603</v>
          </cell>
          <cell r="F64">
            <v>1558.8831709441629</v>
          </cell>
        </row>
        <row r="65">
          <cell r="E65">
            <v>40634</v>
          </cell>
          <cell r="F65">
            <v>1624.5581797983323</v>
          </cell>
        </row>
        <row r="66">
          <cell r="E66">
            <v>40664</v>
          </cell>
          <cell r="F66">
            <v>1714.4574000041678</v>
          </cell>
        </row>
        <row r="67">
          <cell r="E67">
            <v>40695</v>
          </cell>
          <cell r="F67">
            <v>1754.2557543758394</v>
          </cell>
        </row>
        <row r="68">
          <cell r="E68">
            <v>40725</v>
          </cell>
          <cell r="F68">
            <v>1780.7037461000064</v>
          </cell>
        </row>
        <row r="69">
          <cell r="E69">
            <v>40756</v>
          </cell>
          <cell r="F69">
            <v>1812.4469017466736</v>
          </cell>
        </row>
        <row r="70">
          <cell r="E70">
            <v>40787</v>
          </cell>
          <cell r="F70">
            <v>1865.9771529550062</v>
          </cell>
        </row>
        <row r="71">
          <cell r="E71">
            <v>40817</v>
          </cell>
          <cell r="F71">
            <v>1929.8488546625056</v>
          </cell>
        </row>
        <row r="72">
          <cell r="E72">
            <v>40848</v>
          </cell>
          <cell r="F72">
            <v>2000.6574675983375</v>
          </cell>
        </row>
      </sheetData>
      <sheetData sheetId="3">
        <row r="22">
          <cell r="E22">
            <v>39326</v>
          </cell>
        </row>
        <row r="24">
          <cell r="E24">
            <v>39387</v>
          </cell>
          <cell r="F24">
            <v>94.7534642108334</v>
          </cell>
        </row>
        <row r="25">
          <cell r="E25">
            <v>39417</v>
          </cell>
          <cell r="F25">
            <v>93.522593147500103</v>
          </cell>
        </row>
        <row r="26">
          <cell r="E26">
            <v>39448</v>
          </cell>
          <cell r="F26">
            <v>93.354524720000086</v>
          </cell>
        </row>
        <row r="27">
          <cell r="E27">
            <v>39479</v>
          </cell>
          <cell r="F27">
            <v>94.96709377166674</v>
          </cell>
        </row>
        <row r="28">
          <cell r="E28">
            <v>39508</v>
          </cell>
          <cell r="F28">
            <v>95.316325866666773</v>
          </cell>
        </row>
        <row r="29">
          <cell r="E29">
            <v>39539</v>
          </cell>
          <cell r="F29">
            <v>97.390565758333437</v>
          </cell>
        </row>
        <row r="30">
          <cell r="E30">
            <v>39569</v>
          </cell>
          <cell r="F30">
            <v>98.241542709166765</v>
          </cell>
        </row>
        <row r="31">
          <cell r="E31">
            <v>39600</v>
          </cell>
          <cell r="F31">
            <v>99.279721545833368</v>
          </cell>
        </row>
        <row r="32">
          <cell r="E32">
            <v>39630</v>
          </cell>
          <cell r="F32">
            <v>102.18514320583341</v>
          </cell>
        </row>
        <row r="33">
          <cell r="E33">
            <v>39661</v>
          </cell>
          <cell r="F33">
            <v>104.02524109333338</v>
          </cell>
        </row>
        <row r="34">
          <cell r="E34">
            <v>39692</v>
          </cell>
          <cell r="F34">
            <v>105.1677848275</v>
          </cell>
        </row>
        <row r="35">
          <cell r="E35">
            <v>39722</v>
          </cell>
          <cell r="F35">
            <v>107.11847862333333</v>
          </cell>
        </row>
        <row r="36">
          <cell r="E36">
            <v>39753</v>
          </cell>
          <cell r="F36">
            <v>107.71619387500004</v>
          </cell>
        </row>
        <row r="37">
          <cell r="E37">
            <v>39783</v>
          </cell>
          <cell r="F37">
            <v>110.10004946083336</v>
          </cell>
        </row>
        <row r="38">
          <cell r="E38">
            <v>39814</v>
          </cell>
          <cell r="F38">
            <v>110.63134699000007</v>
          </cell>
        </row>
        <row r="39">
          <cell r="E39">
            <v>39845</v>
          </cell>
          <cell r="F39">
            <v>109.76634230333339</v>
          </cell>
        </row>
        <row r="40">
          <cell r="E40">
            <v>39873</v>
          </cell>
          <cell r="F40">
            <v>109.9923728683334</v>
          </cell>
        </row>
        <row r="41">
          <cell r="E41">
            <v>39904</v>
          </cell>
          <cell r="F41">
            <v>108.23684813750005</v>
          </cell>
        </row>
        <row r="42">
          <cell r="E42">
            <v>39934</v>
          </cell>
          <cell r="F42">
            <v>106.97367766666669</v>
          </cell>
        </row>
        <row r="43">
          <cell r="E43">
            <v>39965</v>
          </cell>
          <cell r="F43">
            <v>105.87983048250008</v>
          </cell>
        </row>
        <row r="44">
          <cell r="E44">
            <v>39995</v>
          </cell>
          <cell r="F44">
            <v>104.12723220916673</v>
          </cell>
        </row>
        <row r="45">
          <cell r="E45">
            <v>40026</v>
          </cell>
          <cell r="F45">
            <v>103.66602865750006</v>
          </cell>
        </row>
        <row r="46">
          <cell r="E46">
            <v>40057</v>
          </cell>
          <cell r="F46">
            <v>103.4893415825001</v>
          </cell>
        </row>
        <row r="47">
          <cell r="E47">
            <v>40087</v>
          </cell>
          <cell r="F47">
            <v>102.42527277333342</v>
          </cell>
        </row>
        <row r="48">
          <cell r="E48">
            <v>40118</v>
          </cell>
          <cell r="F48">
            <v>103.33189182916674</v>
          </cell>
        </row>
        <row r="49">
          <cell r="E49">
            <v>40148</v>
          </cell>
          <cell r="F49">
            <v>104.12603738500009</v>
          </cell>
        </row>
        <row r="50">
          <cell r="E50">
            <v>40179</v>
          </cell>
          <cell r="F50">
            <v>103.82772087750008</v>
          </cell>
        </row>
        <row r="51">
          <cell r="E51">
            <v>40210</v>
          </cell>
          <cell r="F51">
            <v>104.89518587666674</v>
          </cell>
        </row>
        <row r="52">
          <cell r="E52">
            <v>40238</v>
          </cell>
          <cell r="F52">
            <v>107.85928405833334</v>
          </cell>
        </row>
        <row r="53">
          <cell r="E53">
            <v>40269</v>
          </cell>
          <cell r="F53">
            <v>111.49330946249997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119.53197662416665</v>
          </cell>
        </row>
        <row r="56">
          <cell r="E56">
            <v>40360</v>
          </cell>
          <cell r="F56">
            <v>123.14866238833328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144.73154127749982</v>
          </cell>
        </row>
        <row r="60">
          <cell r="E60">
            <v>40483</v>
          </cell>
          <cell r="F60">
            <v>147.22029632499977</v>
          </cell>
        </row>
        <row r="61">
          <cell r="E61">
            <v>40513</v>
          </cell>
          <cell r="F61">
            <v>164.24988747083299</v>
          </cell>
        </row>
        <row r="62">
          <cell r="E62">
            <v>40544</v>
          </cell>
          <cell r="F62">
            <v>170.929256795833</v>
          </cell>
        </row>
        <row r="63">
          <cell r="E63">
            <v>40575</v>
          </cell>
          <cell r="F63">
            <v>174.6890551624997</v>
          </cell>
        </row>
        <row r="64">
          <cell r="E64">
            <v>40603</v>
          </cell>
          <cell r="F64">
            <v>178.0624197049998</v>
          </cell>
        </row>
        <row r="65">
          <cell r="E65">
            <v>40634</v>
          </cell>
          <cell r="F65">
            <v>208.26957367416648</v>
          </cell>
        </row>
        <row r="66">
          <cell r="E66">
            <v>40664</v>
          </cell>
          <cell r="F66">
            <v>232.61806543500006</v>
          </cell>
        </row>
        <row r="67">
          <cell r="E67">
            <v>40695</v>
          </cell>
          <cell r="F67">
            <v>234.65228583666669</v>
          </cell>
        </row>
        <row r="68">
          <cell r="E68">
            <v>40725</v>
          </cell>
          <cell r="F68">
            <v>235.29082795750011</v>
          </cell>
        </row>
        <row r="69">
          <cell r="E69">
            <v>40756</v>
          </cell>
          <cell r="F69">
            <v>235.94544352666682</v>
          </cell>
        </row>
        <row r="70">
          <cell r="E70">
            <v>40787</v>
          </cell>
          <cell r="F70">
            <v>256.27566247750025</v>
          </cell>
        </row>
        <row r="71">
          <cell r="E71">
            <v>40817</v>
          </cell>
          <cell r="F71">
            <v>269.19820449583358</v>
          </cell>
        </row>
        <row r="72">
          <cell r="E72">
            <v>40848</v>
          </cell>
          <cell r="F72">
            <v>301.07814570333375</v>
          </cell>
        </row>
      </sheetData>
      <sheetData sheetId="4">
        <row r="22">
          <cell r="E22">
            <v>39326</v>
          </cell>
        </row>
        <row r="24">
          <cell r="E24">
            <v>39387</v>
          </cell>
          <cell r="F24">
            <v>127.44579716666651</v>
          </cell>
        </row>
        <row r="25">
          <cell r="E25">
            <v>39417</v>
          </cell>
          <cell r="F25">
            <v>129.94811133416661</v>
          </cell>
        </row>
        <row r="26">
          <cell r="E26">
            <v>39448</v>
          </cell>
          <cell r="F26">
            <v>133.6351832516666</v>
          </cell>
        </row>
        <row r="27">
          <cell r="E27">
            <v>39479</v>
          </cell>
          <cell r="F27">
            <v>135.83387558583317</v>
          </cell>
        </row>
        <row r="28">
          <cell r="E28">
            <v>39508</v>
          </cell>
          <cell r="F28">
            <v>136.5761779466666</v>
          </cell>
        </row>
        <row r="29">
          <cell r="E29">
            <v>39539</v>
          </cell>
          <cell r="F29">
            <v>140.31702460833321</v>
          </cell>
        </row>
        <row r="30">
          <cell r="E30">
            <v>39569</v>
          </cell>
          <cell r="F30">
            <v>142.14489762749977</v>
          </cell>
        </row>
        <row r="31">
          <cell r="E31">
            <v>39600</v>
          </cell>
          <cell r="F31">
            <v>143.09391338999984</v>
          </cell>
        </row>
        <row r="32">
          <cell r="E32">
            <v>39630</v>
          </cell>
          <cell r="F32">
            <v>145.99228662499993</v>
          </cell>
        </row>
        <row r="33">
          <cell r="E33">
            <v>39661</v>
          </cell>
          <cell r="F33">
            <v>146.88168347916644</v>
          </cell>
        </row>
        <row r="34">
          <cell r="E34">
            <v>39692</v>
          </cell>
          <cell r="F34">
            <v>149.45656653333296</v>
          </cell>
        </row>
        <row r="35">
          <cell r="E35">
            <v>39722</v>
          </cell>
          <cell r="F35">
            <v>152.60456747916643</v>
          </cell>
        </row>
        <row r="36">
          <cell r="E36">
            <v>39753</v>
          </cell>
          <cell r="F36">
            <v>154.89910203583301</v>
          </cell>
        </row>
        <row r="37">
          <cell r="E37">
            <v>39783</v>
          </cell>
          <cell r="F37">
            <v>157.28877759416645</v>
          </cell>
        </row>
        <row r="38">
          <cell r="E38">
            <v>39814</v>
          </cell>
          <cell r="F38">
            <v>160.6009867399998</v>
          </cell>
        </row>
        <row r="39">
          <cell r="E39">
            <v>39845</v>
          </cell>
          <cell r="F39">
            <v>160.85963094333314</v>
          </cell>
        </row>
        <row r="40">
          <cell r="E40">
            <v>39873</v>
          </cell>
          <cell r="F40">
            <v>160.73238543583315</v>
          </cell>
        </row>
        <row r="41">
          <cell r="E41">
            <v>39904</v>
          </cell>
          <cell r="F41">
            <v>158.44464894916658</v>
          </cell>
        </row>
        <row r="42">
          <cell r="E42">
            <v>39934</v>
          </cell>
          <cell r="F42">
            <v>155.45096442749994</v>
          </cell>
        </row>
        <row r="43">
          <cell r="E43">
            <v>39965</v>
          </cell>
          <cell r="F43">
            <v>154.58004805916664</v>
          </cell>
        </row>
        <row r="44">
          <cell r="E44">
            <v>39995</v>
          </cell>
          <cell r="F44">
            <v>152.33286942166671</v>
          </cell>
        </row>
        <row r="45">
          <cell r="E45">
            <v>40026</v>
          </cell>
          <cell r="F45">
            <v>149.79457146166683</v>
          </cell>
        </row>
        <row r="46">
          <cell r="E46">
            <v>40057</v>
          </cell>
          <cell r="F46">
            <v>148.30078338833363</v>
          </cell>
        </row>
        <row r="47">
          <cell r="E47">
            <v>40087</v>
          </cell>
          <cell r="F47">
            <v>145.31851997583348</v>
          </cell>
        </row>
        <row r="48">
          <cell r="E48">
            <v>40118</v>
          </cell>
          <cell r="F48">
            <v>140.89374188250022</v>
          </cell>
        </row>
        <row r="49">
          <cell r="E49">
            <v>40148</v>
          </cell>
          <cell r="F49">
            <v>141.71161079333353</v>
          </cell>
        </row>
        <row r="50">
          <cell r="E50">
            <v>40179</v>
          </cell>
          <cell r="F50">
            <v>136.93899356083358</v>
          </cell>
        </row>
        <row r="51">
          <cell r="E51">
            <v>40210</v>
          </cell>
          <cell r="F51">
            <v>139.53094131500026</v>
          </cell>
        </row>
        <row r="52">
          <cell r="E52">
            <v>40238</v>
          </cell>
          <cell r="F52">
            <v>145.54691871666691</v>
          </cell>
        </row>
        <row r="53">
          <cell r="E53">
            <v>40269</v>
          </cell>
          <cell r="F53">
            <v>148.45631624166683</v>
          </cell>
        </row>
        <row r="54">
          <cell r="E54">
            <v>40299</v>
          </cell>
          <cell r="F54">
            <v>152.53509310250024</v>
          </cell>
        </row>
        <row r="55">
          <cell r="E55">
            <v>40330</v>
          </cell>
          <cell r="F55">
            <v>158.65980679166691</v>
          </cell>
        </row>
        <row r="56">
          <cell r="E56">
            <v>40360</v>
          </cell>
          <cell r="F56">
            <v>165.53823414250004</v>
          </cell>
        </row>
        <row r="57">
          <cell r="E57">
            <v>40391</v>
          </cell>
          <cell r="F57">
            <v>173.2021787149998</v>
          </cell>
        </row>
        <row r="58">
          <cell r="E58">
            <v>40422</v>
          </cell>
          <cell r="F58">
            <v>182.12112057083323</v>
          </cell>
        </row>
        <row r="59">
          <cell r="E59">
            <v>40452</v>
          </cell>
          <cell r="F59">
            <v>190.57028911083307</v>
          </cell>
        </row>
        <row r="60">
          <cell r="E60">
            <v>40483</v>
          </cell>
          <cell r="F60">
            <v>199.76443132333301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211.31790591833308</v>
          </cell>
        </row>
        <row r="63">
          <cell r="E63">
            <v>40575</v>
          </cell>
          <cell r="F63">
            <v>215.77044458499995</v>
          </cell>
        </row>
        <row r="64">
          <cell r="E64">
            <v>40603</v>
          </cell>
          <cell r="F64">
            <v>220.10886486083328</v>
          </cell>
        </row>
        <row r="65">
          <cell r="E65">
            <v>40634</v>
          </cell>
          <cell r="F65">
            <v>227.9459226433332</v>
          </cell>
        </row>
        <row r="66">
          <cell r="E66">
            <v>40664</v>
          </cell>
          <cell r="F66">
            <v>241.01367808999996</v>
          </cell>
        </row>
        <row r="67">
          <cell r="E67">
            <v>40695</v>
          </cell>
          <cell r="F67">
            <v>246.99465243083321</v>
          </cell>
        </row>
        <row r="68">
          <cell r="E68">
            <v>40725</v>
          </cell>
          <cell r="F68">
            <v>251.61491688166666</v>
          </cell>
        </row>
        <row r="69">
          <cell r="E69">
            <v>40756</v>
          </cell>
          <cell r="F69">
            <v>258.82514893083373</v>
          </cell>
        </row>
        <row r="70">
          <cell r="E70">
            <v>40787</v>
          </cell>
          <cell r="F70">
            <v>263.01789049083362</v>
          </cell>
        </row>
        <row r="71">
          <cell r="E71">
            <v>40817</v>
          </cell>
          <cell r="F71">
            <v>269.75378371250036</v>
          </cell>
        </row>
        <row r="72">
          <cell r="E72">
            <v>40848</v>
          </cell>
          <cell r="F72">
            <v>276.36208953916702</v>
          </cell>
        </row>
      </sheetData>
      <sheetData sheetId="5">
        <row r="22">
          <cell r="E22">
            <v>39326</v>
          </cell>
        </row>
        <row r="24">
          <cell r="E24">
            <v>39387</v>
          </cell>
          <cell r="F24">
            <v>348.55810527166688</v>
          </cell>
        </row>
        <row r="25">
          <cell r="E25">
            <v>39417</v>
          </cell>
          <cell r="F25">
            <v>352.18037798500035</v>
          </cell>
        </row>
        <row r="26">
          <cell r="E26">
            <v>39448</v>
          </cell>
          <cell r="F26">
            <v>352.21270690083355</v>
          </cell>
        </row>
        <row r="27">
          <cell r="E27">
            <v>39479</v>
          </cell>
          <cell r="F27">
            <v>352.57399761166681</v>
          </cell>
        </row>
        <row r="28">
          <cell r="E28">
            <v>39508</v>
          </cell>
          <cell r="F28">
            <v>350.61757686416678</v>
          </cell>
        </row>
        <row r="29">
          <cell r="E29">
            <v>39539</v>
          </cell>
          <cell r="F29">
            <v>358.25151746250009</v>
          </cell>
        </row>
        <row r="30">
          <cell r="E30">
            <v>39569</v>
          </cell>
          <cell r="F30">
            <v>359.1528418066668</v>
          </cell>
        </row>
        <row r="31">
          <cell r="E31">
            <v>39600</v>
          </cell>
          <cell r="F31">
            <v>361.75783371500029</v>
          </cell>
        </row>
        <row r="32">
          <cell r="E32">
            <v>39630</v>
          </cell>
          <cell r="F32">
            <v>369.62999210000038</v>
          </cell>
        </row>
        <row r="33">
          <cell r="E33">
            <v>39661</v>
          </cell>
          <cell r="F33">
            <v>368.56476899500029</v>
          </cell>
        </row>
        <row r="34">
          <cell r="E34">
            <v>39692</v>
          </cell>
          <cell r="F34">
            <v>368.89207527833361</v>
          </cell>
        </row>
        <row r="35">
          <cell r="E35">
            <v>39722</v>
          </cell>
          <cell r="F35">
            <v>373.53840721333353</v>
          </cell>
        </row>
        <row r="36">
          <cell r="E36">
            <v>39753</v>
          </cell>
          <cell r="F36">
            <v>377.33015905416687</v>
          </cell>
        </row>
        <row r="37">
          <cell r="E37">
            <v>39783</v>
          </cell>
          <cell r="F37">
            <v>378.97926059249994</v>
          </cell>
        </row>
        <row r="38">
          <cell r="E38">
            <v>39814</v>
          </cell>
          <cell r="F38">
            <v>385.45377826999993</v>
          </cell>
        </row>
        <row r="39">
          <cell r="E39">
            <v>39845</v>
          </cell>
          <cell r="F39">
            <v>384.55844090666625</v>
          </cell>
        </row>
        <row r="40">
          <cell r="E40">
            <v>39873</v>
          </cell>
          <cell r="F40">
            <v>383.76775680833265</v>
          </cell>
        </row>
        <row r="41">
          <cell r="E41">
            <v>39904</v>
          </cell>
          <cell r="F41">
            <v>374.47317700999974</v>
          </cell>
        </row>
        <row r="42">
          <cell r="E42">
            <v>39934</v>
          </cell>
          <cell r="F42">
            <v>364.67342921249946</v>
          </cell>
        </row>
        <row r="43">
          <cell r="E43">
            <v>39965</v>
          </cell>
          <cell r="F43">
            <v>355.77475204749936</v>
          </cell>
        </row>
        <row r="44">
          <cell r="E44">
            <v>39995</v>
          </cell>
          <cell r="F44">
            <v>348.87273567749907</v>
          </cell>
        </row>
        <row r="45">
          <cell r="E45">
            <v>40026</v>
          </cell>
          <cell r="F45">
            <v>342.13970659833257</v>
          </cell>
        </row>
        <row r="46">
          <cell r="E46">
            <v>40057</v>
          </cell>
          <cell r="F46">
            <v>340.69288011916564</v>
          </cell>
        </row>
        <row r="47">
          <cell r="E47">
            <v>40087</v>
          </cell>
          <cell r="F47">
            <v>335.70715674999911</v>
          </cell>
        </row>
        <row r="48">
          <cell r="E48">
            <v>40118</v>
          </cell>
          <cell r="F48">
            <v>330.20521351499877</v>
          </cell>
        </row>
        <row r="49">
          <cell r="E49">
            <v>40148</v>
          </cell>
          <cell r="F49">
            <v>331.9236998724989</v>
          </cell>
        </row>
        <row r="50">
          <cell r="E50">
            <v>40179</v>
          </cell>
          <cell r="F50">
            <v>327.515061234999</v>
          </cell>
        </row>
        <row r="51">
          <cell r="E51">
            <v>40210</v>
          </cell>
          <cell r="F51">
            <v>330.24981929249924</v>
          </cell>
        </row>
        <row r="52">
          <cell r="E52">
            <v>40238</v>
          </cell>
          <cell r="F52">
            <v>340.44759326666582</v>
          </cell>
        </row>
        <row r="53">
          <cell r="E53">
            <v>40269</v>
          </cell>
          <cell r="F53">
            <v>349.72462327499926</v>
          </cell>
        </row>
        <row r="54">
          <cell r="E54">
            <v>40299</v>
          </cell>
          <cell r="F54">
            <v>361.39553611749926</v>
          </cell>
        </row>
        <row r="55">
          <cell r="E55">
            <v>40330</v>
          </cell>
          <cell r="F55">
            <v>378.41429268166604</v>
          </cell>
        </row>
        <row r="56">
          <cell r="E56">
            <v>40360</v>
          </cell>
          <cell r="F56">
            <v>387.00800214833265</v>
          </cell>
        </row>
        <row r="57">
          <cell r="E57">
            <v>40391</v>
          </cell>
          <cell r="F57">
            <v>401.67378689083245</v>
          </cell>
        </row>
        <row r="58">
          <cell r="E58">
            <v>40422</v>
          </cell>
          <cell r="F58">
            <v>416.30677683999903</v>
          </cell>
        </row>
        <row r="59">
          <cell r="E59">
            <v>40452</v>
          </cell>
          <cell r="F59">
            <v>436.30894215583248</v>
          </cell>
        </row>
        <row r="60">
          <cell r="E60">
            <v>40483</v>
          </cell>
          <cell r="F60">
            <v>457.63758531499889</v>
          </cell>
        </row>
        <row r="61">
          <cell r="E61">
            <v>40513</v>
          </cell>
          <cell r="F61">
            <v>483.10762549833288</v>
          </cell>
        </row>
        <row r="62">
          <cell r="E62">
            <v>40544</v>
          </cell>
          <cell r="F62">
            <v>499.76333721999936</v>
          </cell>
        </row>
        <row r="63">
          <cell r="E63">
            <v>40575</v>
          </cell>
          <cell r="F63">
            <v>516.93423619999976</v>
          </cell>
        </row>
        <row r="64">
          <cell r="E64">
            <v>40603</v>
          </cell>
          <cell r="F64">
            <v>537.60255921333419</v>
          </cell>
        </row>
        <row r="65">
          <cell r="E65">
            <v>40634</v>
          </cell>
          <cell r="F65">
            <v>559.44047551083452</v>
          </cell>
        </row>
        <row r="66">
          <cell r="E66">
            <v>40664</v>
          </cell>
          <cell r="F66">
            <v>591.45196241666736</v>
          </cell>
        </row>
        <row r="67">
          <cell r="E67">
            <v>40695</v>
          </cell>
          <cell r="F67">
            <v>603.64728310000055</v>
          </cell>
        </row>
        <row r="68">
          <cell r="E68">
            <v>40725</v>
          </cell>
          <cell r="F68">
            <v>619.12943766166791</v>
          </cell>
        </row>
        <row r="69">
          <cell r="E69">
            <v>40756</v>
          </cell>
          <cell r="F69">
            <v>639.95656529000109</v>
          </cell>
        </row>
        <row r="70">
          <cell r="E70">
            <v>40787</v>
          </cell>
          <cell r="F70">
            <v>665.88445407750146</v>
          </cell>
        </row>
        <row r="71">
          <cell r="E71">
            <v>40817</v>
          </cell>
          <cell r="F71">
            <v>677.69682605500179</v>
          </cell>
        </row>
        <row r="72">
          <cell r="E72">
            <v>40848</v>
          </cell>
          <cell r="F72">
            <v>701.2790299816678</v>
          </cell>
        </row>
      </sheetData>
      <sheetData sheetId="6">
        <row r="22">
          <cell r="E22">
            <v>39326</v>
          </cell>
        </row>
        <row r="24">
          <cell r="E24">
            <v>39387</v>
          </cell>
          <cell r="F24">
            <v>407.21236813416613</v>
          </cell>
        </row>
        <row r="25">
          <cell r="E25">
            <v>39417</v>
          </cell>
          <cell r="F25">
            <v>415.75937704999927</v>
          </cell>
        </row>
        <row r="26">
          <cell r="E26">
            <v>39448</v>
          </cell>
          <cell r="F26">
            <v>421.83805626583262</v>
          </cell>
        </row>
        <row r="27">
          <cell r="E27">
            <v>39479</v>
          </cell>
          <cell r="F27">
            <v>426.76727063166601</v>
          </cell>
        </row>
        <row r="28">
          <cell r="E28">
            <v>39508</v>
          </cell>
          <cell r="F28">
            <v>429.21534907249958</v>
          </cell>
        </row>
        <row r="29">
          <cell r="E29">
            <v>39539</v>
          </cell>
          <cell r="F29">
            <v>446.13826939833285</v>
          </cell>
        </row>
        <row r="30">
          <cell r="E30">
            <v>39569</v>
          </cell>
          <cell r="F30">
            <v>452.9356662991666</v>
          </cell>
        </row>
        <row r="31">
          <cell r="E31">
            <v>39600</v>
          </cell>
          <cell r="F31">
            <v>465.49656008499989</v>
          </cell>
        </row>
        <row r="32">
          <cell r="E32">
            <v>39630</v>
          </cell>
          <cell r="F32">
            <v>476.88138358083353</v>
          </cell>
        </row>
        <row r="33">
          <cell r="E33">
            <v>39661</v>
          </cell>
          <cell r="F33">
            <v>476.64841424666656</v>
          </cell>
        </row>
        <row r="34">
          <cell r="E34">
            <v>39692</v>
          </cell>
          <cell r="F34">
            <v>487.91369417833317</v>
          </cell>
        </row>
        <row r="35">
          <cell r="E35">
            <v>39722</v>
          </cell>
          <cell r="F35">
            <v>490.50484833999991</v>
          </cell>
        </row>
        <row r="36">
          <cell r="E36">
            <v>39753</v>
          </cell>
          <cell r="F36">
            <v>497.93392687250008</v>
          </cell>
        </row>
        <row r="37">
          <cell r="E37">
            <v>39783</v>
          </cell>
          <cell r="F37">
            <v>503.00429849750026</v>
          </cell>
        </row>
        <row r="38">
          <cell r="E38">
            <v>39814</v>
          </cell>
          <cell r="F38">
            <v>523.98339769916686</v>
          </cell>
        </row>
        <row r="39">
          <cell r="E39">
            <v>39845</v>
          </cell>
          <cell r="F39">
            <v>526.10948166750029</v>
          </cell>
        </row>
        <row r="40">
          <cell r="E40">
            <v>39873</v>
          </cell>
          <cell r="F40">
            <v>523.62644603750016</v>
          </cell>
        </row>
        <row r="41">
          <cell r="E41">
            <v>39904</v>
          </cell>
          <cell r="F41">
            <v>530.41143926583311</v>
          </cell>
        </row>
        <row r="42">
          <cell r="E42">
            <v>39934</v>
          </cell>
          <cell r="F42">
            <v>529.18449558249961</v>
          </cell>
        </row>
        <row r="43">
          <cell r="E43">
            <v>39965</v>
          </cell>
          <cell r="F43">
            <v>524.39183735666654</v>
          </cell>
        </row>
        <row r="44">
          <cell r="E44">
            <v>39995</v>
          </cell>
          <cell r="F44">
            <v>540.82980979749948</v>
          </cell>
        </row>
        <row r="45">
          <cell r="E45">
            <v>40026</v>
          </cell>
          <cell r="F45">
            <v>549.74491650833295</v>
          </cell>
        </row>
        <row r="46">
          <cell r="E46">
            <v>40057</v>
          </cell>
          <cell r="F46">
            <v>548.16232047083304</v>
          </cell>
        </row>
        <row r="47">
          <cell r="E47">
            <v>40087</v>
          </cell>
          <cell r="F47">
            <v>551.53314429833324</v>
          </cell>
        </row>
        <row r="48">
          <cell r="E48">
            <v>40118</v>
          </cell>
          <cell r="F48">
            <v>538.03496142999973</v>
          </cell>
        </row>
        <row r="49">
          <cell r="E49">
            <v>40148</v>
          </cell>
          <cell r="F49">
            <v>539.16404484083375</v>
          </cell>
        </row>
        <row r="50">
          <cell r="E50">
            <v>40179</v>
          </cell>
          <cell r="F50">
            <v>532.51397998000027</v>
          </cell>
        </row>
        <row r="51">
          <cell r="E51">
            <v>40210</v>
          </cell>
          <cell r="F51">
            <v>531.29129518250022</v>
          </cell>
        </row>
        <row r="52">
          <cell r="E52">
            <v>40238</v>
          </cell>
          <cell r="F52">
            <v>551.62152997916701</v>
          </cell>
        </row>
        <row r="53">
          <cell r="E53">
            <v>40269</v>
          </cell>
          <cell r="F53">
            <v>546.17749013500099</v>
          </cell>
        </row>
        <row r="54">
          <cell r="E54">
            <v>40299</v>
          </cell>
          <cell r="F54">
            <v>559.98182787500082</v>
          </cell>
        </row>
        <row r="55">
          <cell r="E55">
            <v>40330</v>
          </cell>
          <cell r="F55">
            <v>562.21175267750095</v>
          </cell>
        </row>
        <row r="56">
          <cell r="E56">
            <v>40360</v>
          </cell>
          <cell r="F56">
            <v>555.23502557833478</v>
          </cell>
        </row>
        <row r="57">
          <cell r="E57">
            <v>40391</v>
          </cell>
          <cell r="F57">
            <v>564.60866371583484</v>
          </cell>
        </row>
        <row r="58">
          <cell r="E58">
            <v>40422</v>
          </cell>
          <cell r="F58">
            <v>584.25553640916803</v>
          </cell>
        </row>
        <row r="59">
          <cell r="E59">
            <v>40452</v>
          </cell>
          <cell r="F59">
            <v>575.48959742083412</v>
          </cell>
        </row>
        <row r="60">
          <cell r="E60">
            <v>40483</v>
          </cell>
          <cell r="F60">
            <v>594.59453582416711</v>
          </cell>
        </row>
        <row r="61">
          <cell r="E61">
            <v>40513</v>
          </cell>
          <cell r="F61">
            <v>593.27856774333361</v>
          </cell>
        </row>
        <row r="62">
          <cell r="E62">
            <v>40544</v>
          </cell>
          <cell r="F62">
            <v>596.10800339250022</v>
          </cell>
        </row>
        <row r="63">
          <cell r="E63">
            <v>40575</v>
          </cell>
          <cell r="F63">
            <v>600.58519318833339</v>
          </cell>
        </row>
        <row r="64">
          <cell r="E64">
            <v>40603</v>
          </cell>
          <cell r="F64">
            <v>623.10932716499985</v>
          </cell>
        </row>
        <row r="65">
          <cell r="E65">
            <v>40634</v>
          </cell>
          <cell r="F65">
            <v>628.90220796999984</v>
          </cell>
        </row>
        <row r="66">
          <cell r="E66">
            <v>40664</v>
          </cell>
          <cell r="F66">
            <v>649.37369406249945</v>
          </cell>
        </row>
        <row r="67">
          <cell r="E67">
            <v>40695</v>
          </cell>
          <cell r="F67">
            <v>668.96153300833305</v>
          </cell>
        </row>
        <row r="68">
          <cell r="E68">
            <v>40725</v>
          </cell>
          <cell r="F68">
            <v>674.6685635991663</v>
          </cell>
        </row>
        <row r="69">
          <cell r="E69">
            <v>40756</v>
          </cell>
          <cell r="F69">
            <v>677.7197439991661</v>
          </cell>
        </row>
        <row r="70">
          <cell r="E70">
            <v>40787</v>
          </cell>
          <cell r="F70">
            <v>680.79914590916621</v>
          </cell>
        </row>
        <row r="71">
          <cell r="E71">
            <v>40817</v>
          </cell>
          <cell r="F71">
            <v>713.20004039916591</v>
          </cell>
        </row>
        <row r="72">
          <cell r="E72">
            <v>40848</v>
          </cell>
          <cell r="F72">
            <v>721.9382023741656</v>
          </cell>
        </row>
      </sheetData>
      <sheetData sheetId="7">
        <row r="22">
          <cell r="E22">
            <v>39326</v>
          </cell>
        </row>
        <row r="24">
          <cell r="E24">
            <v>39387</v>
          </cell>
          <cell r="F24">
            <v>304.46309201916574</v>
          </cell>
        </row>
        <row r="25">
          <cell r="E25">
            <v>39417</v>
          </cell>
          <cell r="F25">
            <v>312.9339198124992</v>
          </cell>
        </row>
        <row r="26">
          <cell r="E26">
            <v>39448</v>
          </cell>
          <cell r="F26">
            <v>316.61522833999936</v>
          </cell>
        </row>
        <row r="27">
          <cell r="E27">
            <v>39479</v>
          </cell>
          <cell r="F27">
            <v>315.80843955916617</v>
          </cell>
        </row>
        <row r="28">
          <cell r="E28">
            <v>39508</v>
          </cell>
          <cell r="F28">
            <v>319.57213816666621</v>
          </cell>
        </row>
        <row r="29">
          <cell r="E29">
            <v>39539</v>
          </cell>
          <cell r="F29">
            <v>330.97161332749943</v>
          </cell>
        </row>
        <row r="30">
          <cell r="E30">
            <v>39569</v>
          </cell>
          <cell r="F30">
            <v>334.24636439833324</v>
          </cell>
        </row>
        <row r="31">
          <cell r="E31">
            <v>39600</v>
          </cell>
          <cell r="F31">
            <v>340.11207670499971</v>
          </cell>
        </row>
        <row r="32">
          <cell r="E32">
            <v>39630</v>
          </cell>
          <cell r="F32">
            <v>349.69709709833336</v>
          </cell>
        </row>
        <row r="33">
          <cell r="E33">
            <v>39661</v>
          </cell>
          <cell r="F33">
            <v>349.98880695083335</v>
          </cell>
        </row>
        <row r="34">
          <cell r="E34">
            <v>39692</v>
          </cell>
          <cell r="F34">
            <v>351.98014086416691</v>
          </cell>
        </row>
        <row r="35">
          <cell r="E35">
            <v>39722</v>
          </cell>
          <cell r="F35">
            <v>351.72062270250052</v>
          </cell>
        </row>
        <row r="36">
          <cell r="E36">
            <v>39753</v>
          </cell>
          <cell r="F36">
            <v>351.15440042333381</v>
          </cell>
        </row>
        <row r="37">
          <cell r="E37">
            <v>39783</v>
          </cell>
          <cell r="F37">
            <v>354.94134151750058</v>
          </cell>
        </row>
        <row r="38">
          <cell r="E38">
            <v>39814</v>
          </cell>
          <cell r="F38">
            <v>355.72066081333338</v>
          </cell>
        </row>
        <row r="39">
          <cell r="E39">
            <v>39845</v>
          </cell>
          <cell r="F39">
            <v>355.77814447916677</v>
          </cell>
        </row>
        <row r="40">
          <cell r="E40">
            <v>39873</v>
          </cell>
          <cell r="F40">
            <v>356.72806626583338</v>
          </cell>
        </row>
        <row r="41">
          <cell r="E41">
            <v>39904</v>
          </cell>
          <cell r="F41">
            <v>352.03138725750023</v>
          </cell>
        </row>
        <row r="42">
          <cell r="E42">
            <v>39934</v>
          </cell>
          <cell r="F42">
            <v>344.78040985999996</v>
          </cell>
        </row>
        <row r="43">
          <cell r="E43">
            <v>39965</v>
          </cell>
          <cell r="F43">
            <v>339.79456982333346</v>
          </cell>
        </row>
        <row r="44">
          <cell r="E44">
            <v>39995</v>
          </cell>
          <cell r="F44">
            <v>333.3820280383332</v>
          </cell>
        </row>
        <row r="45">
          <cell r="E45">
            <v>40026</v>
          </cell>
          <cell r="F45">
            <v>327.72500387999992</v>
          </cell>
        </row>
        <row r="46">
          <cell r="E46">
            <v>40057</v>
          </cell>
          <cell r="F46">
            <v>326.96103067666678</v>
          </cell>
        </row>
        <row r="47">
          <cell r="E47">
            <v>40087</v>
          </cell>
          <cell r="F47">
            <v>324.9406803683334</v>
          </cell>
        </row>
        <row r="48">
          <cell r="E48">
            <v>40118</v>
          </cell>
          <cell r="F48">
            <v>321.48808217666658</v>
          </cell>
        </row>
        <row r="49">
          <cell r="E49">
            <v>40148</v>
          </cell>
          <cell r="F49">
            <v>320.13657507833335</v>
          </cell>
        </row>
        <row r="50">
          <cell r="E50">
            <v>40179</v>
          </cell>
          <cell r="F50">
            <v>320.10793020500017</v>
          </cell>
        </row>
        <row r="51">
          <cell r="E51">
            <v>40210</v>
          </cell>
          <cell r="F51">
            <v>321.62069941250007</v>
          </cell>
        </row>
        <row r="52">
          <cell r="E52">
            <v>40238</v>
          </cell>
          <cell r="F52">
            <v>326.49380637583346</v>
          </cell>
        </row>
        <row r="53">
          <cell r="E53">
            <v>40269</v>
          </cell>
          <cell r="F53">
            <v>329.1904680300002</v>
          </cell>
        </row>
        <row r="54">
          <cell r="E54">
            <v>40299</v>
          </cell>
          <cell r="F54">
            <v>336.21825692333363</v>
          </cell>
        </row>
        <row r="55">
          <cell r="E55">
            <v>40330</v>
          </cell>
          <cell r="F55">
            <v>339.1213948925004</v>
          </cell>
        </row>
        <row r="56">
          <cell r="E56">
            <v>40360</v>
          </cell>
          <cell r="F56">
            <v>342.28787585750047</v>
          </cell>
        </row>
        <row r="57">
          <cell r="E57">
            <v>40391</v>
          </cell>
          <cell r="F57">
            <v>359.30579001250061</v>
          </cell>
        </row>
        <row r="58">
          <cell r="E58">
            <v>40422</v>
          </cell>
          <cell r="F58">
            <v>369.05362511416729</v>
          </cell>
        </row>
        <row r="59">
          <cell r="E59">
            <v>40452</v>
          </cell>
          <cell r="F59">
            <v>376.29247970666705</v>
          </cell>
        </row>
        <row r="60">
          <cell r="E60">
            <v>40483</v>
          </cell>
          <cell r="F60">
            <v>386.95801358250083</v>
          </cell>
        </row>
        <row r="61">
          <cell r="E61">
            <v>40513</v>
          </cell>
          <cell r="F61">
            <v>407.98442705583489</v>
          </cell>
        </row>
        <row r="62">
          <cell r="E62">
            <v>40544</v>
          </cell>
          <cell r="F62">
            <v>418.49388753333477</v>
          </cell>
        </row>
        <row r="63">
          <cell r="E63">
            <v>40575</v>
          </cell>
          <cell r="F63">
            <v>429.7024303400014</v>
          </cell>
        </row>
        <row r="64">
          <cell r="E64">
            <v>40603</v>
          </cell>
          <cell r="F64">
            <v>443.20615414750154</v>
          </cell>
        </row>
        <row r="65">
          <cell r="E65">
            <v>40634</v>
          </cell>
          <cell r="F65">
            <v>473.07456379750221</v>
          </cell>
        </row>
        <row r="66">
          <cell r="E66">
            <v>40664</v>
          </cell>
          <cell r="F66">
            <v>514.010173694169</v>
          </cell>
        </row>
        <row r="67">
          <cell r="E67">
            <v>40695</v>
          </cell>
          <cell r="F67">
            <v>527.80104611583556</v>
          </cell>
        </row>
        <row r="68">
          <cell r="E68">
            <v>40725</v>
          </cell>
          <cell r="F68">
            <v>536.41126456250231</v>
          </cell>
        </row>
        <row r="69">
          <cell r="E69">
            <v>40756</v>
          </cell>
          <cell r="F69">
            <v>540.60739737000233</v>
          </cell>
        </row>
        <row r="70">
          <cell r="E70">
            <v>40787</v>
          </cell>
          <cell r="F70">
            <v>559.2720999816687</v>
          </cell>
        </row>
        <row r="71">
          <cell r="E71">
            <v>40817</v>
          </cell>
          <cell r="F71">
            <v>575.55421812583484</v>
          </cell>
        </row>
        <row r="72">
          <cell r="E72">
            <v>40848</v>
          </cell>
          <cell r="F72">
            <v>598.55344696750115</v>
          </cell>
        </row>
      </sheetData>
      <sheetData sheetId="8">
        <row r="22">
          <cell r="E22">
            <v>39326</v>
          </cell>
        </row>
        <row r="24">
          <cell r="E24">
            <v>39387</v>
          </cell>
          <cell r="F24">
            <v>91.279617054166749</v>
          </cell>
        </row>
        <row r="25">
          <cell r="E25">
            <v>39417</v>
          </cell>
          <cell r="F25">
            <v>93.435844630000091</v>
          </cell>
        </row>
        <row r="26">
          <cell r="E26">
            <v>39448</v>
          </cell>
          <cell r="F26">
            <v>94.034481665833439</v>
          </cell>
        </row>
        <row r="27">
          <cell r="E27">
            <v>39479</v>
          </cell>
          <cell r="F27">
            <v>94.768779571666755</v>
          </cell>
        </row>
        <row r="28">
          <cell r="E28">
            <v>39508</v>
          </cell>
          <cell r="F28">
            <v>94.802430794166739</v>
          </cell>
        </row>
        <row r="29">
          <cell r="E29">
            <v>39539</v>
          </cell>
          <cell r="F29">
            <v>98.367047167500075</v>
          </cell>
        </row>
        <row r="30">
          <cell r="E30">
            <v>39569</v>
          </cell>
          <cell r="F30">
            <v>98.865373124166766</v>
          </cell>
        </row>
        <row r="31">
          <cell r="E31">
            <v>39600</v>
          </cell>
          <cell r="F31">
            <v>96.913330728333392</v>
          </cell>
        </row>
        <row r="32">
          <cell r="E32">
            <v>39630</v>
          </cell>
          <cell r="F32">
            <v>97.675597549166753</v>
          </cell>
        </row>
        <row r="33">
          <cell r="E33">
            <v>39661</v>
          </cell>
          <cell r="F33">
            <v>95.745012895000073</v>
          </cell>
        </row>
        <row r="34">
          <cell r="E34">
            <v>39692</v>
          </cell>
          <cell r="F34">
            <v>93.056462040000056</v>
          </cell>
        </row>
        <row r="35">
          <cell r="E35">
            <v>39722</v>
          </cell>
          <cell r="F35">
            <v>93.845989350000039</v>
          </cell>
        </row>
        <row r="36">
          <cell r="E36">
            <v>39753</v>
          </cell>
          <cell r="F36">
            <v>92.473427422499995</v>
          </cell>
        </row>
        <row r="37">
          <cell r="E37">
            <v>39783</v>
          </cell>
          <cell r="F37">
            <v>91.892090585833316</v>
          </cell>
        </row>
        <row r="38">
          <cell r="E38">
            <v>39814</v>
          </cell>
          <cell r="F38">
            <v>92.883973913333321</v>
          </cell>
        </row>
        <row r="39">
          <cell r="E39">
            <v>39845</v>
          </cell>
          <cell r="F39">
            <v>91.579659411666668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79.62767802499998</v>
          </cell>
        </row>
        <row r="43">
          <cell r="E43">
            <v>39965</v>
          </cell>
          <cell r="F43">
            <v>77.680766097499983</v>
          </cell>
        </row>
        <row r="44">
          <cell r="E44">
            <v>39995</v>
          </cell>
          <cell r="F44">
            <v>74.735023849999962</v>
          </cell>
        </row>
        <row r="45">
          <cell r="E45">
            <v>40026</v>
          </cell>
          <cell r="F45">
            <v>73.477183166666649</v>
          </cell>
        </row>
        <row r="46">
          <cell r="E46">
            <v>40057</v>
          </cell>
          <cell r="F46">
            <v>72.947535848333317</v>
          </cell>
        </row>
        <row r="47">
          <cell r="E47">
            <v>40087</v>
          </cell>
          <cell r="F47">
            <v>74.236160620833346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72.392592035833346</v>
          </cell>
        </row>
        <row r="50">
          <cell r="E50">
            <v>40179</v>
          </cell>
          <cell r="F50">
            <v>70.526520132500025</v>
          </cell>
        </row>
        <row r="51">
          <cell r="E51">
            <v>40210</v>
          </cell>
          <cell r="F51">
            <v>73.009929453333328</v>
          </cell>
        </row>
        <row r="52">
          <cell r="E52">
            <v>40238</v>
          </cell>
          <cell r="F52">
            <v>79.357017137500023</v>
          </cell>
        </row>
        <row r="53">
          <cell r="E53">
            <v>40269</v>
          </cell>
          <cell r="F53">
            <v>85.939218159999996</v>
          </cell>
        </row>
        <row r="54">
          <cell r="E54">
            <v>40299</v>
          </cell>
          <cell r="F54">
            <v>93.299301968333296</v>
          </cell>
        </row>
        <row r="55">
          <cell r="E55">
            <v>40330</v>
          </cell>
          <cell r="F55">
            <v>101.0320785583333</v>
          </cell>
        </row>
        <row r="56">
          <cell r="E56">
            <v>40360</v>
          </cell>
          <cell r="F56">
            <v>107.34914444666664</v>
          </cell>
        </row>
        <row r="57">
          <cell r="E57">
            <v>40391</v>
          </cell>
          <cell r="F57">
            <v>113.75989245166666</v>
          </cell>
        </row>
        <row r="58">
          <cell r="E58">
            <v>40422</v>
          </cell>
          <cell r="F58">
            <v>121.43138750583334</v>
          </cell>
        </row>
        <row r="59">
          <cell r="E59">
            <v>40452</v>
          </cell>
          <cell r="F59">
            <v>125.84692743500004</v>
          </cell>
        </row>
        <row r="60">
          <cell r="E60">
            <v>40483</v>
          </cell>
          <cell r="F60">
            <v>131.77708382500006</v>
          </cell>
        </row>
        <row r="61">
          <cell r="E61">
            <v>40513</v>
          </cell>
          <cell r="F61">
            <v>140.65366833833335</v>
          </cell>
        </row>
        <row r="62">
          <cell r="E62">
            <v>40544</v>
          </cell>
          <cell r="F62">
            <v>147.5309907491667</v>
          </cell>
        </row>
        <row r="63">
          <cell r="E63">
            <v>40575</v>
          </cell>
          <cell r="F63">
            <v>151.74448595250007</v>
          </cell>
        </row>
        <row r="64">
          <cell r="E64">
            <v>40603</v>
          </cell>
          <cell r="F64">
            <v>156.6013168075001</v>
          </cell>
        </row>
        <row r="65">
          <cell r="E65">
            <v>40634</v>
          </cell>
          <cell r="F65">
            <v>163.59264496916691</v>
          </cell>
        </row>
        <row r="66">
          <cell r="E66">
            <v>40664</v>
          </cell>
          <cell r="F66">
            <v>179.10190338333359</v>
          </cell>
        </row>
        <row r="67">
          <cell r="E67">
            <v>40695</v>
          </cell>
          <cell r="F67">
            <v>188.93938525500027</v>
          </cell>
        </row>
        <row r="68">
          <cell r="E68">
            <v>40725</v>
          </cell>
          <cell r="F68">
            <v>194.67301969250028</v>
          </cell>
        </row>
        <row r="69">
          <cell r="E69">
            <v>40756</v>
          </cell>
          <cell r="F69">
            <v>202.92316523166696</v>
          </cell>
        </row>
        <row r="70">
          <cell r="E70">
            <v>40787</v>
          </cell>
          <cell r="F70">
            <v>221.80796176666686</v>
          </cell>
        </row>
        <row r="71">
          <cell r="E71">
            <v>40817</v>
          </cell>
          <cell r="F71">
            <v>239.377506679167</v>
          </cell>
        </row>
        <row r="72">
          <cell r="E72">
            <v>40848</v>
          </cell>
          <cell r="F72">
            <v>260.96935176333358</v>
          </cell>
        </row>
      </sheetData>
      <sheetData sheetId="9">
        <row r="22">
          <cell r="E22">
            <v>39326</v>
          </cell>
        </row>
        <row r="24">
          <cell r="E24">
            <v>39387</v>
          </cell>
          <cell r="F24">
            <v>78.058007160833299</v>
          </cell>
        </row>
        <row r="25">
          <cell r="E25">
            <v>39417</v>
          </cell>
          <cell r="F25">
            <v>80.356023007499957</v>
          </cell>
        </row>
        <row r="26">
          <cell r="E26">
            <v>39448</v>
          </cell>
          <cell r="F26">
            <v>83.994612023333246</v>
          </cell>
        </row>
        <row r="27">
          <cell r="E27">
            <v>39479</v>
          </cell>
          <cell r="F27">
            <v>86.158757009166607</v>
          </cell>
        </row>
        <row r="28">
          <cell r="E28">
            <v>39508</v>
          </cell>
          <cell r="F28">
            <v>86.731489594999971</v>
          </cell>
        </row>
        <row r="29">
          <cell r="E29">
            <v>39539</v>
          </cell>
          <cell r="F29">
            <v>89.368003406666631</v>
          </cell>
        </row>
        <row r="30">
          <cell r="E30">
            <v>39569</v>
          </cell>
          <cell r="F30">
            <v>91.196514994166662</v>
          </cell>
        </row>
        <row r="31">
          <cell r="E31">
            <v>39600</v>
          </cell>
          <cell r="F31">
            <v>94.851429723333368</v>
          </cell>
        </row>
        <row r="32">
          <cell r="E32">
            <v>39630</v>
          </cell>
          <cell r="F32">
            <v>98.630762911666693</v>
          </cell>
        </row>
        <row r="33">
          <cell r="E33">
            <v>39661</v>
          </cell>
          <cell r="F33">
            <v>98.920612649166671</v>
          </cell>
        </row>
        <row r="34">
          <cell r="E34">
            <v>39692</v>
          </cell>
          <cell r="F34">
            <v>100.870345245</v>
          </cell>
        </row>
        <row r="35">
          <cell r="E35">
            <v>39722</v>
          </cell>
          <cell r="F35">
            <v>104.02688808333328</v>
          </cell>
        </row>
        <row r="36">
          <cell r="E36">
            <v>39753</v>
          </cell>
          <cell r="F36">
            <v>108.9341577675</v>
          </cell>
        </row>
        <row r="37">
          <cell r="E37">
            <v>39783</v>
          </cell>
          <cell r="F37">
            <v>111.81329665250003</v>
          </cell>
        </row>
        <row r="38">
          <cell r="E38">
            <v>39814</v>
          </cell>
          <cell r="F38">
            <v>112.85010229916672</v>
          </cell>
        </row>
        <row r="39">
          <cell r="E39">
            <v>39845</v>
          </cell>
          <cell r="F39">
            <v>113.70508636416673</v>
          </cell>
        </row>
        <row r="40">
          <cell r="E40">
            <v>39873</v>
          </cell>
          <cell r="F40">
            <v>113.54511165416672</v>
          </cell>
        </row>
        <row r="41">
          <cell r="E41">
            <v>39904</v>
          </cell>
          <cell r="F41">
            <v>112.08798124750005</v>
          </cell>
        </row>
        <row r="42">
          <cell r="E42">
            <v>39934</v>
          </cell>
          <cell r="F42">
            <v>110.78793853250001</v>
          </cell>
        </row>
        <row r="43">
          <cell r="E43">
            <v>39965</v>
          </cell>
          <cell r="F43">
            <v>109.02052584083332</v>
          </cell>
        </row>
        <row r="44">
          <cell r="E44">
            <v>39995</v>
          </cell>
          <cell r="F44">
            <v>106.70825967083334</v>
          </cell>
        </row>
        <row r="45">
          <cell r="E45">
            <v>40026</v>
          </cell>
          <cell r="F45">
            <v>104.51094372750002</v>
          </cell>
        </row>
        <row r="46">
          <cell r="E46">
            <v>40057</v>
          </cell>
          <cell r="F46">
            <v>103.12191220500011</v>
          </cell>
        </row>
        <row r="47">
          <cell r="E47">
            <v>40087</v>
          </cell>
          <cell r="F47">
            <v>101.2919916900001</v>
          </cell>
        </row>
        <row r="48">
          <cell r="E48">
            <v>40118</v>
          </cell>
          <cell r="F48">
            <v>97.066552281666745</v>
          </cell>
        </row>
        <row r="49">
          <cell r="E49">
            <v>40148</v>
          </cell>
          <cell r="F49">
            <v>98.182995955000081</v>
          </cell>
        </row>
        <row r="50">
          <cell r="E50">
            <v>40179</v>
          </cell>
          <cell r="F50">
            <v>97.082120467500104</v>
          </cell>
        </row>
        <row r="51">
          <cell r="E51">
            <v>40210</v>
          </cell>
          <cell r="F51">
            <v>97.908852493333441</v>
          </cell>
        </row>
        <row r="52">
          <cell r="E52">
            <v>40238</v>
          </cell>
          <cell r="F52">
            <v>101.88989509666679</v>
          </cell>
        </row>
        <row r="53">
          <cell r="E53">
            <v>40269</v>
          </cell>
          <cell r="F53">
            <v>105.20356637750014</v>
          </cell>
        </row>
        <row r="54">
          <cell r="E54">
            <v>40299</v>
          </cell>
          <cell r="F54">
            <v>108.60814835000015</v>
          </cell>
        </row>
        <row r="55">
          <cell r="E55">
            <v>40330</v>
          </cell>
          <cell r="F55">
            <v>113.71424204666687</v>
          </cell>
        </row>
        <row r="56">
          <cell r="E56">
            <v>40360</v>
          </cell>
          <cell r="F56">
            <v>119.44333249833346</v>
          </cell>
        </row>
        <row r="57">
          <cell r="E57">
            <v>40391</v>
          </cell>
          <cell r="F57">
            <v>127.03428351083342</v>
          </cell>
        </row>
        <row r="58">
          <cell r="E58">
            <v>40422</v>
          </cell>
          <cell r="F58">
            <v>133.52194592333339</v>
          </cell>
        </row>
        <row r="59">
          <cell r="E59">
            <v>40452</v>
          </cell>
          <cell r="F59">
            <v>141.39329050666683</v>
          </cell>
        </row>
        <row r="60">
          <cell r="E60">
            <v>40483</v>
          </cell>
          <cell r="F60">
            <v>149.58843158833346</v>
          </cell>
        </row>
        <row r="61">
          <cell r="E61">
            <v>40513</v>
          </cell>
          <cell r="F61">
            <v>153.82022122833348</v>
          </cell>
        </row>
        <row r="62">
          <cell r="E62">
            <v>40544</v>
          </cell>
          <cell r="F62">
            <v>158.14711102500016</v>
          </cell>
        </row>
        <row r="63">
          <cell r="E63">
            <v>40575</v>
          </cell>
          <cell r="F63">
            <v>161.94596784416674</v>
          </cell>
        </row>
        <row r="64">
          <cell r="E64">
            <v>40603</v>
          </cell>
          <cell r="F64">
            <v>166.19610749833345</v>
          </cell>
        </row>
        <row r="65">
          <cell r="E65">
            <v>40634</v>
          </cell>
          <cell r="F65">
            <v>172.60482185250018</v>
          </cell>
        </row>
        <row r="66">
          <cell r="E66">
            <v>40664</v>
          </cell>
          <cell r="F66">
            <v>185.33663533916686</v>
          </cell>
        </row>
        <row r="67">
          <cell r="E67">
            <v>40695</v>
          </cell>
          <cell r="F67">
            <v>191.25388151750022</v>
          </cell>
        </row>
        <row r="68">
          <cell r="E68">
            <v>40725</v>
          </cell>
          <cell r="F68">
            <v>197.53871672083355</v>
          </cell>
        </row>
        <row r="69">
          <cell r="E69">
            <v>40756</v>
          </cell>
          <cell r="F69">
            <v>201.86704152750022</v>
          </cell>
        </row>
        <row r="70">
          <cell r="E70">
            <v>40787</v>
          </cell>
          <cell r="F70">
            <v>208.36004752916699</v>
          </cell>
        </row>
        <row r="71">
          <cell r="E71">
            <v>40817</v>
          </cell>
          <cell r="F71">
            <v>215.66030798416682</v>
          </cell>
        </row>
        <row r="72">
          <cell r="E72">
            <v>40848</v>
          </cell>
          <cell r="F72">
            <v>223.8701952800003</v>
          </cell>
        </row>
      </sheetData>
      <sheetData sheetId="10">
        <row r="22">
          <cell r="E22">
            <v>39326</v>
          </cell>
        </row>
        <row r="24">
          <cell r="E24">
            <v>39387</v>
          </cell>
          <cell r="F24">
            <v>83.280119561666709</v>
          </cell>
        </row>
        <row r="25">
          <cell r="E25">
            <v>39417</v>
          </cell>
          <cell r="F25">
            <v>82.055186277500013</v>
          </cell>
        </row>
        <row r="26">
          <cell r="E26">
            <v>39448</v>
          </cell>
          <cell r="F26">
            <v>84.311942880833328</v>
          </cell>
        </row>
        <row r="27">
          <cell r="E27">
            <v>39479</v>
          </cell>
          <cell r="F27">
            <v>79.782511964166645</v>
          </cell>
        </row>
        <row r="28">
          <cell r="E28">
            <v>39508</v>
          </cell>
          <cell r="F28">
            <v>78.465914168333299</v>
          </cell>
        </row>
        <row r="29">
          <cell r="E29">
            <v>39539</v>
          </cell>
          <cell r="F29">
            <v>78.024885872499979</v>
          </cell>
        </row>
        <row r="30">
          <cell r="E30">
            <v>39569</v>
          </cell>
          <cell r="F30">
            <v>76.585612319166643</v>
          </cell>
        </row>
        <row r="31">
          <cell r="E31">
            <v>39600</v>
          </cell>
          <cell r="F31">
            <v>79.950033521666654</v>
          </cell>
        </row>
        <row r="32">
          <cell r="E32">
            <v>39630</v>
          </cell>
          <cell r="F32">
            <v>80.581819585833316</v>
          </cell>
        </row>
        <row r="33">
          <cell r="E33">
            <v>39661</v>
          </cell>
          <cell r="F33">
            <v>85.8169887108333</v>
          </cell>
        </row>
        <row r="34">
          <cell r="E34">
            <v>39692</v>
          </cell>
          <cell r="F34">
            <v>85.978968886666621</v>
          </cell>
        </row>
        <row r="35">
          <cell r="E35">
            <v>39722</v>
          </cell>
          <cell r="F35">
            <v>84.157302770833283</v>
          </cell>
        </row>
        <row r="36">
          <cell r="E36">
            <v>39753</v>
          </cell>
          <cell r="F36">
            <v>80.29409957833326</v>
          </cell>
        </row>
        <row r="37">
          <cell r="E37">
            <v>39783</v>
          </cell>
          <cell r="F37">
            <v>79.778622040833298</v>
          </cell>
        </row>
        <row r="38">
          <cell r="E38">
            <v>39814</v>
          </cell>
          <cell r="F38">
            <v>77.266641381666645</v>
          </cell>
        </row>
        <row r="39">
          <cell r="E39">
            <v>39845</v>
          </cell>
          <cell r="F39">
            <v>80.596752348333325</v>
          </cell>
        </row>
        <row r="40">
          <cell r="E40">
            <v>39873</v>
          </cell>
          <cell r="F40">
            <v>83.205848108333285</v>
          </cell>
        </row>
        <row r="41">
          <cell r="E41">
            <v>39904</v>
          </cell>
          <cell r="F41">
            <v>82.652263418333305</v>
          </cell>
        </row>
        <row r="42">
          <cell r="E42">
            <v>39934</v>
          </cell>
          <cell r="F42">
            <v>82.122681517499998</v>
          </cell>
        </row>
        <row r="43">
          <cell r="E43">
            <v>39965</v>
          </cell>
          <cell r="F43">
            <v>80.342326788333295</v>
          </cell>
        </row>
        <row r="44">
          <cell r="E44">
            <v>39995</v>
          </cell>
          <cell r="F44">
            <v>81.418849500833304</v>
          </cell>
        </row>
        <row r="45">
          <cell r="E45">
            <v>40026</v>
          </cell>
          <cell r="F45">
            <v>76.080557766666658</v>
          </cell>
        </row>
        <row r="46">
          <cell r="E46">
            <v>40057</v>
          </cell>
          <cell r="F46">
            <v>72.951270123333316</v>
          </cell>
        </row>
        <row r="47">
          <cell r="E47">
            <v>40087</v>
          </cell>
          <cell r="F47">
            <v>71.526291714999971</v>
          </cell>
        </row>
        <row r="48">
          <cell r="E48">
            <v>40118</v>
          </cell>
          <cell r="F48">
            <v>71.286146210833323</v>
          </cell>
        </row>
        <row r="49">
          <cell r="E49">
            <v>40148</v>
          </cell>
          <cell r="F49">
            <v>69.411983321666654</v>
          </cell>
        </row>
        <row r="50">
          <cell r="E50">
            <v>40179</v>
          </cell>
          <cell r="F50">
            <v>67.988808959999986</v>
          </cell>
        </row>
        <row r="51">
          <cell r="E51">
            <v>40210</v>
          </cell>
          <cell r="F51">
            <v>63.315062850833279</v>
          </cell>
        </row>
        <row r="52">
          <cell r="E52">
            <v>40238</v>
          </cell>
          <cell r="F52">
            <v>62.402437743333337</v>
          </cell>
        </row>
        <row r="53">
          <cell r="E53">
            <v>40269</v>
          </cell>
          <cell r="F53">
            <v>62.619014565833346</v>
          </cell>
        </row>
        <row r="54">
          <cell r="E54">
            <v>40299</v>
          </cell>
          <cell r="F54">
            <v>63.79107577416665</v>
          </cell>
        </row>
        <row r="55">
          <cell r="E55">
            <v>40330</v>
          </cell>
          <cell r="F55">
            <v>64.048084387499998</v>
          </cell>
        </row>
        <row r="56">
          <cell r="E56">
            <v>40360</v>
          </cell>
          <cell r="F56">
            <v>62.574637084166689</v>
          </cell>
        </row>
        <row r="57">
          <cell r="E57">
            <v>40391</v>
          </cell>
          <cell r="F57">
            <v>65.03886086</v>
          </cell>
        </row>
        <row r="58">
          <cell r="E58">
            <v>40422</v>
          </cell>
          <cell r="F58">
            <v>67.785553770833317</v>
          </cell>
        </row>
        <row r="59">
          <cell r="E59">
            <v>40452</v>
          </cell>
          <cell r="F59">
            <v>69.669394058333282</v>
          </cell>
        </row>
        <row r="60">
          <cell r="E60">
            <v>40483</v>
          </cell>
          <cell r="F60">
            <v>70.135036880833283</v>
          </cell>
        </row>
        <row r="61">
          <cell r="E61">
            <v>40513</v>
          </cell>
          <cell r="F61">
            <v>71.574962658333291</v>
          </cell>
        </row>
        <row r="62">
          <cell r="E62">
            <v>40544</v>
          </cell>
          <cell r="F62">
            <v>73.637805949999986</v>
          </cell>
        </row>
        <row r="63">
          <cell r="E63">
            <v>40575</v>
          </cell>
          <cell r="F63">
            <v>75.692673034166631</v>
          </cell>
        </row>
        <row r="64">
          <cell r="E64">
            <v>40603</v>
          </cell>
          <cell r="F64">
            <v>74.848398260833292</v>
          </cell>
        </row>
        <row r="65">
          <cell r="E65">
            <v>40634</v>
          </cell>
          <cell r="F65">
            <v>76.083223141666636</v>
          </cell>
        </row>
        <row r="66">
          <cell r="E66">
            <v>40664</v>
          </cell>
          <cell r="F66">
            <v>77.636490446666613</v>
          </cell>
        </row>
        <row r="67">
          <cell r="E67">
            <v>40695</v>
          </cell>
          <cell r="F67">
            <v>77.66508792166664</v>
          </cell>
        </row>
        <row r="68">
          <cell r="E68">
            <v>40725</v>
          </cell>
          <cell r="F68">
            <v>79.039237392499999</v>
          </cell>
        </row>
        <row r="69">
          <cell r="E69">
            <v>40756</v>
          </cell>
          <cell r="F69">
            <v>78.519465890833331</v>
          </cell>
        </row>
        <row r="70">
          <cell r="E70">
            <v>40787</v>
          </cell>
          <cell r="F70">
            <v>77.702193466666714</v>
          </cell>
        </row>
        <row r="71">
          <cell r="E71">
            <v>40817</v>
          </cell>
          <cell r="F71">
            <v>77.015525953333409</v>
          </cell>
        </row>
        <row r="72">
          <cell r="E72">
            <v>40848</v>
          </cell>
          <cell r="F72">
            <v>78.186566747500052</v>
          </cell>
        </row>
      </sheetData>
      <sheetData sheetId="11">
        <row r="22">
          <cell r="E22">
            <v>39326</v>
          </cell>
        </row>
        <row r="24">
          <cell r="E24">
            <v>39387</v>
          </cell>
          <cell r="F24">
            <v>39.460032181666669</v>
          </cell>
        </row>
        <row r="25">
          <cell r="E25">
            <v>39417</v>
          </cell>
          <cell r="F25">
            <v>38.614335614166663</v>
          </cell>
        </row>
        <row r="26">
          <cell r="E26">
            <v>39448</v>
          </cell>
          <cell r="F26">
            <v>39.147204689166671</v>
          </cell>
        </row>
        <row r="27">
          <cell r="E27">
            <v>39479</v>
          </cell>
          <cell r="F27">
            <v>40.105219527500012</v>
          </cell>
        </row>
        <row r="28">
          <cell r="E28">
            <v>39508</v>
          </cell>
          <cell r="F28">
            <v>40.885402650000017</v>
          </cell>
        </row>
        <row r="29">
          <cell r="E29">
            <v>39539</v>
          </cell>
          <cell r="F29">
            <v>43.260239520000006</v>
          </cell>
        </row>
        <row r="30">
          <cell r="E30">
            <v>39569</v>
          </cell>
          <cell r="F30">
            <v>47.530323236666696</v>
          </cell>
        </row>
        <row r="31">
          <cell r="E31">
            <v>39600</v>
          </cell>
          <cell r="F31">
            <v>48.562629949166706</v>
          </cell>
        </row>
        <row r="32">
          <cell r="E32">
            <v>39630</v>
          </cell>
          <cell r="F32">
            <v>49.324651929166713</v>
          </cell>
        </row>
        <row r="33">
          <cell r="E33">
            <v>39661</v>
          </cell>
          <cell r="F33">
            <v>48.374825852500017</v>
          </cell>
        </row>
        <row r="34">
          <cell r="E34">
            <v>39692</v>
          </cell>
          <cell r="F34">
            <v>51.791682795833367</v>
          </cell>
        </row>
        <row r="35">
          <cell r="E35">
            <v>39722</v>
          </cell>
          <cell r="F35">
            <v>52.24012897583335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56.427148755000026</v>
          </cell>
        </row>
        <row r="38">
          <cell r="E38">
            <v>39814</v>
          </cell>
          <cell r="F38">
            <v>56.91999309166669</v>
          </cell>
        </row>
        <row r="39">
          <cell r="E39">
            <v>39845</v>
          </cell>
          <cell r="F39">
            <v>56.312125363333344</v>
          </cell>
        </row>
        <row r="40">
          <cell r="E40">
            <v>39873</v>
          </cell>
          <cell r="F40">
            <v>55.380076637500004</v>
          </cell>
        </row>
        <row r="41">
          <cell r="E41">
            <v>39904</v>
          </cell>
          <cell r="F41">
            <v>53.917667687500007</v>
          </cell>
        </row>
        <row r="42">
          <cell r="E42">
            <v>39934</v>
          </cell>
          <cell r="F42">
            <v>50.068127644166644</v>
          </cell>
        </row>
        <row r="43">
          <cell r="E43">
            <v>39965</v>
          </cell>
          <cell r="F43">
            <v>49.244126375833304</v>
          </cell>
        </row>
        <row r="44">
          <cell r="E44">
            <v>39995</v>
          </cell>
          <cell r="F44">
            <v>48.447113450833292</v>
          </cell>
        </row>
        <row r="45">
          <cell r="E45">
            <v>40026</v>
          </cell>
          <cell r="F45">
            <v>48.341758004166643</v>
          </cell>
        </row>
        <row r="46">
          <cell r="E46">
            <v>40057</v>
          </cell>
          <cell r="F46">
            <v>44.710403694166644</v>
          </cell>
        </row>
        <row r="47">
          <cell r="E47">
            <v>40087</v>
          </cell>
          <cell r="F47">
            <v>47.90960065499997</v>
          </cell>
        </row>
        <row r="48">
          <cell r="E48">
            <v>40118</v>
          </cell>
          <cell r="F48">
            <v>44.057779269999976</v>
          </cell>
        </row>
        <row r="49">
          <cell r="E49">
            <v>40148</v>
          </cell>
          <cell r="F49">
            <v>44.547287956666651</v>
          </cell>
        </row>
        <row r="50">
          <cell r="E50">
            <v>40179</v>
          </cell>
          <cell r="F50">
            <v>44.425481353333318</v>
          </cell>
        </row>
        <row r="51">
          <cell r="E51">
            <v>40210</v>
          </cell>
          <cell r="F51">
            <v>49.279371994166645</v>
          </cell>
        </row>
        <row r="52">
          <cell r="E52">
            <v>40238</v>
          </cell>
          <cell r="F52">
            <v>55.033160605000006</v>
          </cell>
        </row>
        <row r="53">
          <cell r="E53">
            <v>40269</v>
          </cell>
          <cell r="F53">
            <v>55.593348081666669</v>
          </cell>
        </row>
        <row r="54">
          <cell r="E54">
            <v>40299</v>
          </cell>
          <cell r="F54">
            <v>56.232214746666706</v>
          </cell>
        </row>
        <row r="55">
          <cell r="E55">
            <v>40330</v>
          </cell>
          <cell r="F55">
            <v>57.345756594166716</v>
          </cell>
        </row>
        <row r="56">
          <cell r="E56">
            <v>40360</v>
          </cell>
          <cell r="F56">
            <v>58.23411854750006</v>
          </cell>
        </row>
        <row r="57">
          <cell r="E57">
            <v>40391</v>
          </cell>
          <cell r="F57">
            <v>58.766111830000057</v>
          </cell>
        </row>
        <row r="58">
          <cell r="E58">
            <v>40422</v>
          </cell>
          <cell r="F58">
            <v>60.451189672500043</v>
          </cell>
        </row>
        <row r="59">
          <cell r="E59">
            <v>40452</v>
          </cell>
          <cell r="F59">
            <v>57.366885135000054</v>
          </cell>
        </row>
        <row r="60">
          <cell r="E60">
            <v>40483</v>
          </cell>
          <cell r="F60">
            <v>58.904810800000043</v>
          </cell>
        </row>
        <row r="61">
          <cell r="E61">
            <v>40513</v>
          </cell>
          <cell r="F61">
            <v>60.8588771741667</v>
          </cell>
        </row>
        <row r="62">
          <cell r="E62">
            <v>40544</v>
          </cell>
          <cell r="F62">
            <v>61.560355245833364</v>
          </cell>
        </row>
        <row r="63">
          <cell r="E63">
            <v>40575</v>
          </cell>
          <cell r="F63">
            <v>59.726141107500041</v>
          </cell>
        </row>
        <row r="64">
          <cell r="E64">
            <v>40603</v>
          </cell>
          <cell r="F64">
            <v>56.839206722500016</v>
          </cell>
        </row>
        <row r="65">
          <cell r="E65">
            <v>40634</v>
          </cell>
          <cell r="F65">
            <v>58.197212753333339</v>
          </cell>
        </row>
        <row r="66">
          <cell r="E66">
            <v>40664</v>
          </cell>
          <cell r="F66">
            <v>60.23647279916667</v>
          </cell>
        </row>
        <row r="67">
          <cell r="E67">
            <v>40695</v>
          </cell>
          <cell r="F67">
            <v>62.287085368333294</v>
          </cell>
        </row>
        <row r="68">
          <cell r="E68">
            <v>40725</v>
          </cell>
          <cell r="F68">
            <v>63.59510261749994</v>
          </cell>
        </row>
        <row r="69">
          <cell r="E69">
            <v>40756</v>
          </cell>
          <cell r="F69">
            <v>64.787370785833289</v>
          </cell>
        </row>
        <row r="70">
          <cell r="E70">
            <v>40787</v>
          </cell>
          <cell r="F70">
            <v>65.894333999999958</v>
          </cell>
        </row>
        <row r="71">
          <cell r="E71">
            <v>40817</v>
          </cell>
          <cell r="F71">
            <v>68.022796237499961</v>
          </cell>
        </row>
        <row r="72">
          <cell r="E72">
            <v>40848</v>
          </cell>
          <cell r="F72">
            <v>70.439528012499991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princ_paises"/>
    </sheetNames>
    <sheetDataSet>
      <sheetData sheetId="0">
        <row r="7">
          <cell r="D7">
            <v>270897497</v>
          </cell>
          <cell r="E7">
            <v>315073200</v>
          </cell>
          <cell r="F7">
            <v>324425031</v>
          </cell>
          <cell r="G7">
            <v>324081293</v>
          </cell>
          <cell r="H7">
            <v>450194819</v>
          </cell>
        </row>
        <row r="8">
          <cell r="D8">
            <v>320406371</v>
          </cell>
          <cell r="E8">
            <v>310724906</v>
          </cell>
          <cell r="F8">
            <v>311414710</v>
          </cell>
          <cell r="G8">
            <v>329567940</v>
          </cell>
          <cell r="H8">
            <v>464070454</v>
          </cell>
        </row>
        <row r="9">
          <cell r="D9">
            <v>286729028</v>
          </cell>
          <cell r="E9">
            <v>331893411</v>
          </cell>
          <cell r="F9">
            <v>343292472</v>
          </cell>
          <cell r="G9">
            <v>401769756</v>
          </cell>
          <cell r="H9">
            <v>563814442</v>
          </cell>
        </row>
        <row r="10">
          <cell r="D10">
            <v>268546332</v>
          </cell>
          <cell r="E10">
            <v>405340034</v>
          </cell>
          <cell r="F10">
            <v>348979886</v>
          </cell>
          <cell r="G10">
            <v>381339826</v>
          </cell>
          <cell r="H10">
            <v>739760742</v>
          </cell>
        </row>
        <row r="11">
          <cell r="D11">
            <v>297720789</v>
          </cell>
          <cell r="E11">
            <v>337017801</v>
          </cell>
          <cell r="F11">
            <v>250006073</v>
          </cell>
          <cell r="G11">
            <v>334339539</v>
          </cell>
          <cell r="H11">
            <v>825566858</v>
          </cell>
        </row>
        <row r="12">
          <cell r="D12">
            <v>293216778</v>
          </cell>
          <cell r="E12">
            <v>363605326</v>
          </cell>
          <cell r="F12">
            <v>303775246</v>
          </cell>
          <cell r="G12">
            <v>338612901</v>
          </cell>
          <cell r="H12">
            <v>504103370</v>
          </cell>
        </row>
        <row r="13">
          <cell r="D13">
            <v>298901841</v>
          </cell>
          <cell r="E13">
            <v>413922086</v>
          </cell>
          <cell r="F13">
            <v>336971584</v>
          </cell>
          <cell r="G13">
            <v>374969356</v>
          </cell>
          <cell r="H13">
            <v>478291977</v>
          </cell>
        </row>
        <row r="14">
          <cell r="D14">
            <v>331519154</v>
          </cell>
          <cell r="E14">
            <v>335019672</v>
          </cell>
          <cell r="F14">
            <v>267135382</v>
          </cell>
          <cell r="G14">
            <v>471350352</v>
          </cell>
          <cell r="H14">
            <v>521703946</v>
          </cell>
        </row>
        <row r="15">
          <cell r="D15">
            <v>302108007</v>
          </cell>
          <cell r="E15">
            <v>326004014</v>
          </cell>
          <cell r="F15">
            <v>316836336</v>
          </cell>
          <cell r="G15">
            <v>433810357</v>
          </cell>
          <cell r="H15">
            <v>657786788</v>
          </cell>
        </row>
        <row r="16">
          <cell r="D16">
            <v>380803197</v>
          </cell>
          <cell r="E16">
            <v>377688979</v>
          </cell>
          <cell r="F16">
            <v>353444776</v>
          </cell>
          <cell r="G16">
            <v>440311031</v>
          </cell>
          <cell r="H16">
            <v>635696449</v>
          </cell>
        </row>
        <row r="17">
          <cell r="D17">
            <v>351125028</v>
          </cell>
          <cell r="E17">
            <v>344330360</v>
          </cell>
          <cell r="F17">
            <v>302899182</v>
          </cell>
          <cell r="G17">
            <v>430885589</v>
          </cell>
          <cell r="H17">
            <v>706876335</v>
          </cell>
        </row>
        <row r="18">
          <cell r="D18">
            <v>353233015</v>
          </cell>
          <cell r="E18">
            <v>398676308</v>
          </cell>
          <cell r="F18">
            <v>382458223</v>
          </cell>
          <cell r="G18">
            <v>634775185</v>
          </cell>
        </row>
        <row r="32">
          <cell r="D32">
            <v>71820669</v>
          </cell>
          <cell r="E32">
            <v>79004313</v>
          </cell>
          <cell r="F32">
            <v>90906913</v>
          </cell>
          <cell r="G32">
            <v>68514050</v>
          </cell>
          <cell r="H32">
            <v>151041919</v>
          </cell>
        </row>
        <row r="33">
          <cell r="D33">
            <v>78882541</v>
          </cell>
          <cell r="E33">
            <v>87694116</v>
          </cell>
          <cell r="F33">
            <v>72042342</v>
          </cell>
          <cell r="G33">
            <v>101843254</v>
          </cell>
          <cell r="H33">
            <v>152405196</v>
          </cell>
        </row>
        <row r="34">
          <cell r="D34">
            <v>89596866</v>
          </cell>
          <cell r="E34">
            <v>90000680</v>
          </cell>
          <cell r="F34">
            <v>62628125</v>
          </cell>
          <cell r="G34">
            <v>138793177</v>
          </cell>
          <cell r="H34">
            <v>197075148</v>
          </cell>
        </row>
        <row r="35">
          <cell r="D35">
            <v>64837641</v>
          </cell>
          <cell r="E35">
            <v>107613038</v>
          </cell>
          <cell r="F35">
            <v>61256333</v>
          </cell>
          <cell r="G35">
            <v>140242745</v>
          </cell>
          <cell r="H35">
            <v>224138683</v>
          </cell>
        </row>
        <row r="36">
          <cell r="D36">
            <v>106686482</v>
          </cell>
          <cell r="E36">
            <v>112666393</v>
          </cell>
          <cell r="F36">
            <v>42971877</v>
          </cell>
          <cell r="G36">
            <v>131292883</v>
          </cell>
          <cell r="H36">
            <v>317403984</v>
          </cell>
        </row>
        <row r="37">
          <cell r="D37">
            <v>97262258</v>
          </cell>
          <cell r="E37">
            <v>73837749</v>
          </cell>
          <cell r="F37">
            <v>50474806</v>
          </cell>
          <cell r="G37">
            <v>143268125</v>
          </cell>
          <cell r="H37">
            <v>261317907</v>
          </cell>
        </row>
        <row r="38">
          <cell r="D38">
            <v>91361443</v>
          </cell>
          <cell r="E38">
            <v>100508644</v>
          </cell>
          <cell r="F38">
            <v>65159738</v>
          </cell>
          <cell r="G38">
            <v>140964528</v>
          </cell>
          <cell r="H38">
            <v>209768141</v>
          </cell>
        </row>
        <row r="39">
          <cell r="D39">
            <v>94053914</v>
          </cell>
          <cell r="E39">
            <v>70886898</v>
          </cell>
          <cell r="F39">
            <v>55792810</v>
          </cell>
          <cell r="G39">
            <v>132721786</v>
          </cell>
          <cell r="H39">
            <v>231723533</v>
          </cell>
        </row>
        <row r="40">
          <cell r="D40">
            <v>101324786</v>
          </cell>
          <cell r="E40">
            <v>69062176</v>
          </cell>
          <cell r="F40">
            <v>62706408</v>
          </cell>
          <cell r="G40">
            <v>154764349</v>
          </cell>
          <cell r="H40">
            <v>381381907</v>
          </cell>
        </row>
        <row r="41">
          <cell r="D41">
            <v>104140991</v>
          </cell>
          <cell r="E41">
            <v>113615318</v>
          </cell>
          <cell r="F41">
            <v>129078816</v>
          </cell>
          <cell r="G41">
            <v>182065295</v>
          </cell>
          <cell r="H41">
            <v>392899834</v>
          </cell>
        </row>
        <row r="42">
          <cell r="D42">
            <v>114197162</v>
          </cell>
          <cell r="E42">
            <v>97726419</v>
          </cell>
          <cell r="F42">
            <v>78472666</v>
          </cell>
          <cell r="G42">
            <v>149634543</v>
          </cell>
          <cell r="H42">
            <v>408736684</v>
          </cell>
        </row>
        <row r="43">
          <cell r="D43">
            <v>107065384</v>
          </cell>
          <cell r="E43">
            <v>100089341</v>
          </cell>
          <cell r="F43">
            <v>97220271</v>
          </cell>
          <cell r="G43">
            <v>203739285</v>
          </cell>
        </row>
        <row r="57">
          <cell r="D57">
            <v>54902939</v>
          </cell>
          <cell r="E57">
            <v>98566007</v>
          </cell>
          <cell r="F57">
            <v>111007675</v>
          </cell>
          <cell r="G57">
            <v>97797169</v>
          </cell>
          <cell r="H57">
            <v>149719847</v>
          </cell>
        </row>
        <row r="58">
          <cell r="D58">
            <v>56304304</v>
          </cell>
          <cell r="E58">
            <v>82274044</v>
          </cell>
          <cell r="F58">
            <v>92533852</v>
          </cell>
          <cell r="G58">
            <v>102454637</v>
          </cell>
          <cell r="H58">
            <v>148040918</v>
          </cell>
        </row>
        <row r="59">
          <cell r="D59">
            <v>72105998</v>
          </cell>
          <cell r="E59">
            <v>78978789</v>
          </cell>
          <cell r="F59">
            <v>77059093</v>
          </cell>
          <cell r="G59">
            <v>124831604</v>
          </cell>
          <cell r="H59">
            <v>175833280</v>
          </cell>
        </row>
        <row r="60">
          <cell r="D60">
            <v>66535872</v>
          </cell>
          <cell r="E60">
            <v>98174038</v>
          </cell>
          <cell r="F60">
            <v>80688473</v>
          </cell>
          <cell r="G60">
            <v>120452528</v>
          </cell>
          <cell r="H60">
            <v>197357100</v>
          </cell>
        </row>
        <row r="61">
          <cell r="D61">
            <v>74097904</v>
          </cell>
          <cell r="E61">
            <v>96040043</v>
          </cell>
          <cell r="F61">
            <v>80439530</v>
          </cell>
          <cell r="G61">
            <v>121294514</v>
          </cell>
          <cell r="H61">
            <v>274076276</v>
          </cell>
        </row>
        <row r="62">
          <cell r="D62">
            <v>71890561</v>
          </cell>
          <cell r="E62">
            <v>115749537</v>
          </cell>
          <cell r="F62">
            <v>94540585</v>
          </cell>
          <cell r="G62">
            <v>155813709</v>
          </cell>
          <cell r="H62">
            <v>226820664</v>
          </cell>
        </row>
        <row r="63">
          <cell r="D63">
            <v>82810235</v>
          </cell>
          <cell r="E63">
            <v>128162233</v>
          </cell>
          <cell r="F63">
            <v>100415039</v>
          </cell>
          <cell r="G63">
            <v>169164124</v>
          </cell>
          <cell r="H63">
            <v>244582147</v>
          </cell>
        </row>
        <row r="64">
          <cell r="D64">
            <v>111686664</v>
          </cell>
          <cell r="E64">
            <v>115164861</v>
          </cell>
          <cell r="F64">
            <v>88797070</v>
          </cell>
          <cell r="G64">
            <v>179888482</v>
          </cell>
          <cell r="H64">
            <v>231828379</v>
          </cell>
        </row>
        <row r="65">
          <cell r="D65">
            <v>97471212</v>
          </cell>
          <cell r="E65">
            <v>120868003</v>
          </cell>
          <cell r="F65">
            <v>104199624</v>
          </cell>
          <cell r="G65">
            <v>182051573</v>
          </cell>
          <cell r="H65">
            <v>259967645</v>
          </cell>
        </row>
        <row r="66">
          <cell r="D66">
            <v>101480598</v>
          </cell>
          <cell r="E66">
            <v>139359113</v>
          </cell>
          <cell r="F66">
            <v>117400066</v>
          </cell>
          <cell r="G66">
            <v>211856201</v>
          </cell>
          <cell r="H66">
            <v>299459327</v>
          </cell>
        </row>
        <row r="67">
          <cell r="D67">
            <v>94649005</v>
          </cell>
          <cell r="E67">
            <v>153536241</v>
          </cell>
          <cell r="F67">
            <v>102830968</v>
          </cell>
          <cell r="G67">
            <v>201172661</v>
          </cell>
          <cell r="H67">
            <v>299691308</v>
          </cell>
        </row>
        <row r="68">
          <cell r="D68">
            <v>80336985</v>
          </cell>
          <cell r="E68">
            <v>114886652</v>
          </cell>
          <cell r="F68">
            <v>128283976</v>
          </cell>
          <cell r="G68">
            <v>179065452</v>
          </cell>
        </row>
        <row r="82">
          <cell r="D82">
            <v>67826542</v>
          </cell>
          <cell r="E82">
            <v>94907622</v>
          </cell>
          <cell r="F82">
            <v>64763854</v>
          </cell>
          <cell r="G82">
            <v>47685761</v>
          </cell>
          <cell r="H82">
            <v>72439881</v>
          </cell>
        </row>
        <row r="83">
          <cell r="D83">
            <v>131969931</v>
          </cell>
          <cell r="E83">
            <v>77616760</v>
          </cell>
          <cell r="F83">
            <v>117578092</v>
          </cell>
          <cell r="G83">
            <v>61493139</v>
          </cell>
          <cell r="H83">
            <v>86151544</v>
          </cell>
        </row>
        <row r="84">
          <cell r="D84">
            <v>83981835</v>
          </cell>
          <cell r="E84">
            <v>68182662</v>
          </cell>
          <cell r="F84">
            <v>99491811</v>
          </cell>
          <cell r="G84">
            <v>88540310</v>
          </cell>
          <cell r="H84">
            <v>78409012</v>
          </cell>
        </row>
        <row r="85">
          <cell r="D85">
            <v>67819825</v>
          </cell>
          <cell r="E85">
            <v>62527485</v>
          </cell>
          <cell r="F85">
            <v>55884469</v>
          </cell>
          <cell r="G85">
            <v>58483391</v>
          </cell>
          <cell r="H85">
            <v>73301290</v>
          </cell>
        </row>
        <row r="86">
          <cell r="D86">
            <v>72942410</v>
          </cell>
          <cell r="E86">
            <v>55671127</v>
          </cell>
          <cell r="F86">
            <v>49316145</v>
          </cell>
          <cell r="G86">
            <v>63380879</v>
          </cell>
          <cell r="H86">
            <v>82020087</v>
          </cell>
        </row>
        <row r="87">
          <cell r="D87">
            <v>53560025</v>
          </cell>
          <cell r="E87">
            <v>93933080</v>
          </cell>
          <cell r="F87">
            <v>72568823</v>
          </cell>
          <cell r="G87">
            <v>75652926</v>
          </cell>
          <cell r="H87">
            <v>75996096</v>
          </cell>
        </row>
        <row r="88">
          <cell r="D88">
            <v>58616193</v>
          </cell>
          <cell r="E88">
            <v>66197625</v>
          </cell>
          <cell r="F88">
            <v>79115898</v>
          </cell>
          <cell r="G88">
            <v>61434530</v>
          </cell>
          <cell r="H88">
            <v>77924324</v>
          </cell>
        </row>
        <row r="89">
          <cell r="D89">
            <v>56004313</v>
          </cell>
          <cell r="E89">
            <v>118826342</v>
          </cell>
          <cell r="F89">
            <v>54766842</v>
          </cell>
          <cell r="G89">
            <v>84337527</v>
          </cell>
          <cell r="H89">
            <v>78100269</v>
          </cell>
        </row>
        <row r="90">
          <cell r="D90">
            <v>89149790</v>
          </cell>
          <cell r="E90">
            <v>91093552</v>
          </cell>
          <cell r="F90">
            <v>53542100</v>
          </cell>
          <cell r="G90">
            <v>86502415</v>
          </cell>
          <cell r="H90">
            <v>76695146</v>
          </cell>
        </row>
        <row r="91">
          <cell r="D91">
            <v>98044387</v>
          </cell>
          <cell r="E91">
            <v>76184393</v>
          </cell>
          <cell r="F91">
            <v>59084652</v>
          </cell>
          <cell r="G91">
            <v>81690736</v>
          </cell>
          <cell r="H91">
            <v>73450726</v>
          </cell>
        </row>
        <row r="92">
          <cell r="D92">
            <v>117127562</v>
          </cell>
          <cell r="E92">
            <v>70769124</v>
          </cell>
          <cell r="F92">
            <v>67887378</v>
          </cell>
          <cell r="G92">
            <v>73475091</v>
          </cell>
          <cell r="H92">
            <v>87527581</v>
          </cell>
        </row>
        <row r="93">
          <cell r="D93">
            <v>87619422</v>
          </cell>
          <cell r="E93">
            <v>81433692</v>
          </cell>
          <cell r="F93">
            <v>58943737</v>
          </cell>
          <cell r="G93">
            <v>76222846</v>
          </cell>
        </row>
        <row r="107">
          <cell r="D107">
            <v>32285137</v>
          </cell>
          <cell r="E107">
            <v>38679566</v>
          </cell>
          <cell r="F107">
            <v>44593698</v>
          </cell>
          <cell r="G107">
            <v>43132019</v>
          </cell>
          <cell r="H107">
            <v>51549756</v>
          </cell>
        </row>
        <row r="108">
          <cell r="D108">
            <v>27996580</v>
          </cell>
          <cell r="E108">
            <v>39492758</v>
          </cell>
          <cell r="F108">
            <v>32198345</v>
          </cell>
          <cell r="G108">
            <v>90445033</v>
          </cell>
          <cell r="H108">
            <v>68434463</v>
          </cell>
        </row>
        <row r="109">
          <cell r="D109">
            <v>37015792</v>
          </cell>
          <cell r="E109">
            <v>46377989</v>
          </cell>
          <cell r="F109">
            <v>35193405</v>
          </cell>
          <cell r="G109">
            <v>104238868</v>
          </cell>
          <cell r="H109">
            <v>69595655</v>
          </cell>
        </row>
        <row r="110">
          <cell r="D110">
            <v>26454795</v>
          </cell>
          <cell r="E110">
            <v>54952838</v>
          </cell>
          <cell r="F110">
            <v>37403931</v>
          </cell>
          <cell r="G110">
            <v>44126180</v>
          </cell>
          <cell r="H110">
            <v>60422253</v>
          </cell>
        </row>
        <row r="111">
          <cell r="D111">
            <v>34660088</v>
          </cell>
          <cell r="E111">
            <v>85901092</v>
          </cell>
          <cell r="F111">
            <v>39706612</v>
          </cell>
          <cell r="G111">
            <v>47373012</v>
          </cell>
          <cell r="H111">
            <v>71844132</v>
          </cell>
        </row>
        <row r="112">
          <cell r="D112">
            <v>32682103</v>
          </cell>
          <cell r="E112">
            <v>45069784</v>
          </cell>
          <cell r="F112">
            <v>35181768</v>
          </cell>
          <cell r="G112">
            <v>48544271</v>
          </cell>
          <cell r="H112">
            <v>73151621</v>
          </cell>
        </row>
        <row r="113">
          <cell r="D113">
            <v>46335331</v>
          </cell>
          <cell r="E113">
            <v>55479595</v>
          </cell>
          <cell r="F113">
            <v>45915440</v>
          </cell>
          <cell r="G113">
            <v>56575783</v>
          </cell>
          <cell r="H113">
            <v>72271990</v>
          </cell>
        </row>
        <row r="114">
          <cell r="D114">
            <v>55517829</v>
          </cell>
          <cell r="E114">
            <v>44119916</v>
          </cell>
          <cell r="F114">
            <v>42855651</v>
          </cell>
          <cell r="G114">
            <v>49239570</v>
          </cell>
          <cell r="H114">
            <v>63546789</v>
          </cell>
        </row>
        <row r="115">
          <cell r="D115">
            <v>43072735</v>
          </cell>
          <cell r="E115">
            <v>84075019</v>
          </cell>
          <cell r="F115">
            <v>40498767</v>
          </cell>
          <cell r="G115">
            <v>60719701</v>
          </cell>
          <cell r="H115">
            <v>74003260</v>
          </cell>
        </row>
        <row r="116">
          <cell r="D116">
            <v>46284271</v>
          </cell>
          <cell r="E116">
            <v>51665625</v>
          </cell>
          <cell r="F116">
            <v>90055988</v>
          </cell>
          <cell r="G116">
            <v>53044334</v>
          </cell>
          <cell r="H116">
            <v>78585881</v>
          </cell>
        </row>
        <row r="117">
          <cell r="D117">
            <v>42515953</v>
          </cell>
          <cell r="E117">
            <v>87784576</v>
          </cell>
          <cell r="F117">
            <v>41562720</v>
          </cell>
          <cell r="G117">
            <v>60017828</v>
          </cell>
          <cell r="H117">
            <v>89018609</v>
          </cell>
        </row>
        <row r="118">
          <cell r="D118">
            <v>38551412</v>
          </cell>
          <cell r="E118">
            <v>43527027</v>
          </cell>
          <cell r="F118">
            <v>49401131</v>
          </cell>
          <cell r="G118">
            <v>72849927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rturas"/>
      <sheetName val="Rec_naturales"/>
      <sheetName val="Baja_tek"/>
      <sheetName val="Tek_media"/>
      <sheetName val="Alta_tek"/>
    </sheetNames>
    <sheetDataSet>
      <sheetData sheetId="0">
        <row r="2">
          <cell r="A2" t="str">
            <v>Bogotá</v>
          </cell>
          <cell r="B2">
            <v>16196148383.639725</v>
          </cell>
          <cell r="C2">
            <v>23038904279.779842</v>
          </cell>
          <cell r="D2">
            <v>1755104618.9400008</v>
          </cell>
          <cell r="E2">
            <v>2635060706.7599511</v>
          </cell>
        </row>
        <row r="3">
          <cell r="A3" t="str">
            <v>Antioquia</v>
          </cell>
          <cell r="B3">
            <v>4385325804.0499516</v>
          </cell>
          <cell r="C3">
            <v>6186211318.9697094</v>
          </cell>
          <cell r="D3">
            <v>458764751.33000052</v>
          </cell>
          <cell r="E3">
            <v>618460005.12000716</v>
          </cell>
        </row>
        <row r="4">
          <cell r="A4" t="str">
            <v>Cundinamarca</v>
          </cell>
          <cell r="B4">
            <v>3259232952.750021</v>
          </cell>
          <cell r="C4">
            <v>4784832917.2999964</v>
          </cell>
          <cell r="D4">
            <v>379017057.18999964</v>
          </cell>
          <cell r="E4">
            <v>550624645.05999959</v>
          </cell>
        </row>
        <row r="5">
          <cell r="A5" t="str">
            <v>Valle del Cauca</v>
          </cell>
          <cell r="B5">
            <v>3879134193.9899249</v>
          </cell>
          <cell r="C5">
            <v>4784354124.9599457</v>
          </cell>
          <cell r="D5">
            <v>438807852.40999889</v>
          </cell>
          <cell r="E5">
            <v>379289251.88000059</v>
          </cell>
        </row>
        <row r="6">
          <cell r="A6" t="str">
            <v>Bolívar</v>
          </cell>
          <cell r="B6">
            <v>2237583265.7200122</v>
          </cell>
          <cell r="C6">
            <v>2897410528.839994</v>
          </cell>
          <cell r="D6">
            <v>198364914.8300007</v>
          </cell>
          <cell r="E6">
            <v>238733811.84000012</v>
          </cell>
        </row>
        <row r="7">
          <cell r="A7" t="str">
            <v>Atlántico</v>
          </cell>
          <cell r="B7">
            <v>1901226377.0300062</v>
          </cell>
          <cell r="C7">
            <v>2498336111.3000216</v>
          </cell>
          <cell r="D7">
            <v>166773561.64999986</v>
          </cell>
          <cell r="E7">
            <v>274120833.04000056</v>
          </cell>
        </row>
        <row r="8">
          <cell r="A8" t="str">
            <v>Magdalena</v>
          </cell>
          <cell r="B8">
            <v>1367348634.3000023</v>
          </cell>
          <cell r="C8">
            <v>1665749585.8099911</v>
          </cell>
          <cell r="D8">
            <v>59235589.310000077</v>
          </cell>
          <cell r="E8">
            <v>18834682.430000011</v>
          </cell>
        </row>
        <row r="9">
          <cell r="A9" t="str">
            <v>Guajira</v>
          </cell>
          <cell r="B9">
            <v>596354580.43000174</v>
          </cell>
          <cell r="C9">
            <v>716707284.6000011</v>
          </cell>
          <cell r="D9">
            <v>62997147.709999979</v>
          </cell>
          <cell r="E9">
            <v>54120979.119999878</v>
          </cell>
        </row>
        <row r="10">
          <cell r="A10" t="str">
            <v>Santander</v>
          </cell>
          <cell r="B10">
            <v>556954440.82999766</v>
          </cell>
          <cell r="C10">
            <v>701083306.94000006</v>
          </cell>
          <cell r="D10">
            <v>61608940.579999931</v>
          </cell>
          <cell r="E10">
            <v>59512759.450000092</v>
          </cell>
        </row>
        <row r="11">
          <cell r="A11" t="str">
            <v>Nariño</v>
          </cell>
          <cell r="B11">
            <v>389146536.73999888</v>
          </cell>
          <cell r="C11">
            <v>484727783.6099993</v>
          </cell>
          <cell r="D11">
            <v>49024043.860000007</v>
          </cell>
          <cell r="E11">
            <v>31017725.109999966</v>
          </cell>
        </row>
        <row r="12">
          <cell r="A12" t="str">
            <v>Cesar</v>
          </cell>
          <cell r="B12">
            <v>468970847.94999951</v>
          </cell>
          <cell r="C12">
            <v>461219129.38000065</v>
          </cell>
          <cell r="D12">
            <v>30350766.760000039</v>
          </cell>
          <cell r="E12">
            <v>26588180.400000006</v>
          </cell>
        </row>
        <row r="13">
          <cell r="A13" t="str">
            <v>Cauca</v>
          </cell>
          <cell r="B13">
            <v>269817728.97999996</v>
          </cell>
          <cell r="C13">
            <v>319589826.36000037</v>
          </cell>
          <cell r="D13">
            <v>27753432.490000028</v>
          </cell>
          <cell r="E13">
            <v>31787505.369999915</v>
          </cell>
        </row>
        <row r="14">
          <cell r="A14" t="str">
            <v>Caldas</v>
          </cell>
          <cell r="B14">
            <v>274330064.62999952</v>
          </cell>
          <cell r="C14">
            <v>305337893.72999865</v>
          </cell>
          <cell r="D14">
            <v>20605193.819999985</v>
          </cell>
          <cell r="E14">
            <v>31728663.680000037</v>
          </cell>
        </row>
        <row r="15">
          <cell r="A15" t="str">
            <v>Risaralda</v>
          </cell>
          <cell r="B15">
            <v>241481129.25999963</v>
          </cell>
          <cell r="C15">
            <v>304552057.49999756</v>
          </cell>
          <cell r="D15">
            <v>23722305.179999992</v>
          </cell>
          <cell r="E15">
            <v>34227929.30999998</v>
          </cell>
        </row>
        <row r="16">
          <cell r="A16" t="str">
            <v>Casanare</v>
          </cell>
          <cell r="B16">
            <v>113633032.44999994</v>
          </cell>
          <cell r="C16">
            <v>204680277.33999968</v>
          </cell>
          <cell r="D16">
            <v>6633214.3399999971</v>
          </cell>
          <cell r="E16">
            <v>4124080.3900000015</v>
          </cell>
        </row>
        <row r="17">
          <cell r="A17" t="str">
            <v>Boyacá</v>
          </cell>
          <cell r="B17">
            <v>146045453.99999997</v>
          </cell>
          <cell r="C17">
            <v>163117885.99000013</v>
          </cell>
          <cell r="D17">
            <v>23188710.79999999</v>
          </cell>
          <cell r="E17">
            <v>25019076.049999993</v>
          </cell>
        </row>
        <row r="18">
          <cell r="A18" t="str">
            <v>Meta</v>
          </cell>
          <cell r="B18">
            <v>86045236.399999887</v>
          </cell>
          <cell r="C18">
            <v>153138988.80000034</v>
          </cell>
          <cell r="D18">
            <v>1212300.17</v>
          </cell>
          <cell r="E18">
            <v>9562203.2700000033</v>
          </cell>
        </row>
        <row r="19">
          <cell r="A19" t="str">
            <v>Norte de Santander</v>
          </cell>
          <cell r="B19">
            <v>123837414.43999974</v>
          </cell>
          <cell r="C19">
            <v>144567006.81999969</v>
          </cell>
          <cell r="D19">
            <v>11003599.499999989</v>
          </cell>
          <cell r="E19">
            <v>11470815.900000006</v>
          </cell>
        </row>
        <row r="20">
          <cell r="A20" t="str">
            <v>Córdoba</v>
          </cell>
          <cell r="B20">
            <v>62140826.36999999</v>
          </cell>
          <cell r="C20">
            <v>130475586.65999977</v>
          </cell>
          <cell r="D20">
            <v>4954971.150000006</v>
          </cell>
          <cell r="E20">
            <v>5724377.3999999966</v>
          </cell>
        </row>
        <row r="21">
          <cell r="A21" t="str">
            <v>Huila</v>
          </cell>
          <cell r="B21">
            <v>55529497.079999976</v>
          </cell>
          <cell r="C21">
            <v>82334040.070000052</v>
          </cell>
          <cell r="D21">
            <v>4430010.8499999987</v>
          </cell>
          <cell r="E21">
            <v>1817204.8499999999</v>
          </cell>
        </row>
        <row r="22">
          <cell r="A22" t="str">
            <v>Tolima</v>
          </cell>
          <cell r="B22">
            <v>25990773.379999984</v>
          </cell>
          <cell r="C22">
            <v>67840214.890000001</v>
          </cell>
          <cell r="D22">
            <v>4067431.42</v>
          </cell>
          <cell r="E22">
            <v>11193289.749999996</v>
          </cell>
        </row>
        <row r="23">
          <cell r="A23" t="str">
            <v>Quindío</v>
          </cell>
          <cell r="B23">
            <v>39770121.360000037</v>
          </cell>
          <cell r="C23">
            <v>60968028.819999792</v>
          </cell>
          <cell r="D23">
            <v>5083264.2400000049</v>
          </cell>
          <cell r="E23">
            <v>5644441.7000000058</v>
          </cell>
        </row>
        <row r="24">
          <cell r="A24" t="str">
            <v>Sucre</v>
          </cell>
          <cell r="B24">
            <v>7783200.0900000036</v>
          </cell>
          <cell r="C24">
            <v>4042435.7600000002</v>
          </cell>
          <cell r="D24">
            <v>143901.64000000001</v>
          </cell>
          <cell r="E24">
            <v>391918.52</v>
          </cell>
        </row>
        <row r="25">
          <cell r="A25" t="str">
            <v>Aráuca</v>
          </cell>
          <cell r="B25">
            <v>1379951.2100000004</v>
          </cell>
          <cell r="C25">
            <v>2108211.7400000007</v>
          </cell>
          <cell r="D25">
            <v>34392.69</v>
          </cell>
          <cell r="E25">
            <v>647904.51</v>
          </cell>
        </row>
        <row r="26">
          <cell r="A26" t="str">
            <v>San Andrés</v>
          </cell>
          <cell r="B26">
            <v>1951145.2199999988</v>
          </cell>
          <cell r="C26">
            <v>1878091.2199999997</v>
          </cell>
          <cell r="D26">
            <v>1089168.3800000001</v>
          </cell>
          <cell r="E26">
            <v>73600.08</v>
          </cell>
        </row>
        <row r="27">
          <cell r="A27" t="str">
            <v>Putumayo</v>
          </cell>
          <cell r="B27">
            <v>768397.15999999992</v>
          </cell>
          <cell r="C27">
            <v>1691592.3600000006</v>
          </cell>
          <cell r="D27">
            <v>280290.42</v>
          </cell>
          <cell r="E27">
            <v>95172.45</v>
          </cell>
        </row>
        <row r="28">
          <cell r="A28" t="str">
            <v>Amazonas</v>
          </cell>
          <cell r="B28">
            <v>1313499.9499999997</v>
          </cell>
          <cell r="C28">
            <v>1520799.5100000002</v>
          </cell>
          <cell r="D28">
            <v>22892.6</v>
          </cell>
          <cell r="E28">
            <v>264685.03999999998</v>
          </cell>
        </row>
        <row r="29">
          <cell r="A29" t="str">
            <v>Chocó</v>
          </cell>
          <cell r="B29">
            <v>880030.96000000008</v>
          </cell>
          <cell r="C29">
            <v>1503983.4900000002</v>
          </cell>
          <cell r="D29">
            <v>400263.45</v>
          </cell>
          <cell r="E29">
            <v>53563.9</v>
          </cell>
        </row>
        <row r="30">
          <cell r="A30" t="str">
            <v>Caquetá</v>
          </cell>
          <cell r="B30">
            <v>8408053.9100000001</v>
          </cell>
          <cell r="C30">
            <v>743434.62000000011</v>
          </cell>
          <cell r="D30">
            <v>7957245.9699999997</v>
          </cell>
          <cell r="E30">
            <v>199926.07000000004</v>
          </cell>
        </row>
        <row r="31">
          <cell r="A31" t="str">
            <v>Vichada</v>
          </cell>
          <cell r="B31">
            <v>1175264.2800000005</v>
          </cell>
          <cell r="C31">
            <v>524198.18999999989</v>
          </cell>
          <cell r="D31">
            <v>7956.5599999999995</v>
          </cell>
          <cell r="E31">
            <v>100557.69</v>
          </cell>
        </row>
        <row r="32">
          <cell r="A32" t="str">
            <v>Guaviare</v>
          </cell>
          <cell r="B32">
            <v>41549.599999999999</v>
          </cell>
          <cell r="C32">
            <v>39433.19</v>
          </cell>
          <cell r="D32">
            <v>0</v>
          </cell>
          <cell r="E32">
            <v>0</v>
          </cell>
        </row>
        <row r="33">
          <cell r="A33" t="str">
            <v>Vaupés</v>
          </cell>
          <cell r="B33">
            <v>0</v>
          </cell>
          <cell r="C33">
            <v>3324.36</v>
          </cell>
          <cell r="D33">
            <v>0</v>
          </cell>
          <cell r="E33">
            <v>3324.36</v>
          </cell>
        </row>
      </sheetData>
      <sheetData sheetId="1">
        <row r="2">
          <cell r="A2" t="str">
            <v>Antioquia</v>
          </cell>
          <cell r="B2">
            <v>796936387.16000354</v>
          </cell>
          <cell r="C2">
            <v>1030929606.1699989</v>
          </cell>
          <cell r="D2">
            <v>73769218.49000001</v>
          </cell>
          <cell r="E2">
            <v>74632945.410000041</v>
          </cell>
        </row>
        <row r="3">
          <cell r="A3" t="str">
            <v>Bogotá</v>
          </cell>
          <cell r="B3">
            <v>579556231.85000277</v>
          </cell>
          <cell r="C3">
            <v>760561786.42999995</v>
          </cell>
          <cell r="D3">
            <v>56922102.469999954</v>
          </cell>
          <cell r="E3">
            <v>83698133.489999905</v>
          </cell>
        </row>
        <row r="4">
          <cell r="A4" t="str">
            <v>Valle del Cauca</v>
          </cell>
          <cell r="B4">
            <v>460784378.36000007</v>
          </cell>
          <cell r="C4">
            <v>626205726.97000289</v>
          </cell>
          <cell r="D4">
            <v>48184633.550000019</v>
          </cell>
          <cell r="E4">
            <v>43577753.940000035</v>
          </cell>
        </row>
        <row r="5">
          <cell r="A5" t="str">
            <v>Cundinamarca</v>
          </cell>
          <cell r="B5">
            <v>204905436.44999972</v>
          </cell>
          <cell r="C5">
            <v>365491393.64000058</v>
          </cell>
          <cell r="D5">
            <v>37635054.489999987</v>
          </cell>
          <cell r="E5">
            <v>34670619.810000002</v>
          </cell>
        </row>
        <row r="6">
          <cell r="A6" t="str">
            <v>Santander</v>
          </cell>
          <cell r="B6">
            <v>220664591.04999971</v>
          </cell>
          <cell r="C6">
            <v>283881766.49999976</v>
          </cell>
          <cell r="D6">
            <v>27136550.399999995</v>
          </cell>
          <cell r="E6">
            <v>20825639.47000001</v>
          </cell>
        </row>
        <row r="7">
          <cell r="A7" t="str">
            <v>Atlántico</v>
          </cell>
          <cell r="B7">
            <v>152597091.32999995</v>
          </cell>
          <cell r="C7">
            <v>197100772.36999941</v>
          </cell>
          <cell r="D7">
            <v>13084442.349999998</v>
          </cell>
          <cell r="E7">
            <v>11999836.43999999</v>
          </cell>
        </row>
        <row r="8">
          <cell r="A8" t="str">
            <v>Nariño</v>
          </cell>
          <cell r="B8">
            <v>109896529.77000003</v>
          </cell>
          <cell r="C8">
            <v>192967631.23999983</v>
          </cell>
          <cell r="D8">
            <v>11404976.669999994</v>
          </cell>
          <cell r="E8">
            <v>18818265.409999982</v>
          </cell>
        </row>
        <row r="9">
          <cell r="A9" t="str">
            <v>Bolívar</v>
          </cell>
          <cell r="B9">
            <v>76796002.929999903</v>
          </cell>
          <cell r="C9">
            <v>73036049.749999955</v>
          </cell>
          <cell r="D9">
            <v>3944454.14</v>
          </cell>
          <cell r="E9">
            <v>5527987.1900000004</v>
          </cell>
        </row>
        <row r="10">
          <cell r="A10" t="str">
            <v>Cauca</v>
          </cell>
          <cell r="B10">
            <v>20963116.109999996</v>
          </cell>
          <cell r="C10">
            <v>29115748.02999999</v>
          </cell>
          <cell r="D10">
            <v>2433498.7899999996</v>
          </cell>
          <cell r="E10">
            <v>1879748.75</v>
          </cell>
        </row>
        <row r="11">
          <cell r="A11" t="str">
            <v>Risaralda</v>
          </cell>
          <cell r="B11">
            <v>10315613.729999997</v>
          </cell>
          <cell r="C11">
            <v>23783592.439999994</v>
          </cell>
          <cell r="D11">
            <v>856440.94000000006</v>
          </cell>
          <cell r="E11">
            <v>4263050.7200000007</v>
          </cell>
        </row>
        <row r="12">
          <cell r="A12" t="str">
            <v>Córdoba</v>
          </cell>
          <cell r="B12">
            <v>18235557.800000004</v>
          </cell>
          <cell r="C12">
            <v>20582476.990000002</v>
          </cell>
          <cell r="D12">
            <v>1666837.3599999999</v>
          </cell>
          <cell r="E12">
            <v>2482225.62</v>
          </cell>
        </row>
        <row r="13">
          <cell r="A13" t="str">
            <v>Magdalena</v>
          </cell>
          <cell r="B13">
            <v>9757892.820000004</v>
          </cell>
          <cell r="C13">
            <v>18866939.420000002</v>
          </cell>
          <cell r="D13">
            <v>750015.67999999993</v>
          </cell>
          <cell r="E13">
            <v>4857277.2</v>
          </cell>
        </row>
        <row r="14">
          <cell r="A14" t="str">
            <v>Caldas</v>
          </cell>
          <cell r="B14">
            <v>8154534.3399999999</v>
          </cell>
          <cell r="C14">
            <v>12966955.029999999</v>
          </cell>
          <cell r="D14">
            <v>792574.86</v>
          </cell>
          <cell r="E14">
            <v>1386413.6300000001</v>
          </cell>
        </row>
        <row r="15">
          <cell r="A15" t="str">
            <v>Norte de Santander</v>
          </cell>
          <cell r="B15">
            <v>9931770.3599999901</v>
          </cell>
          <cell r="C15">
            <v>7944907.8699999945</v>
          </cell>
          <cell r="D15">
            <v>533953.38</v>
          </cell>
          <cell r="E15">
            <v>247785.79</v>
          </cell>
        </row>
        <row r="16">
          <cell r="A16" t="str">
            <v>Quindío</v>
          </cell>
          <cell r="B16">
            <v>6675340.0899999989</v>
          </cell>
          <cell r="C16">
            <v>5858255.71</v>
          </cell>
          <cell r="D16">
            <v>1259265.07</v>
          </cell>
          <cell r="E16">
            <v>1574882.5499999998</v>
          </cell>
        </row>
        <row r="17">
          <cell r="A17" t="str">
            <v>Tolima</v>
          </cell>
          <cell r="B17">
            <v>2351766.2300000004</v>
          </cell>
          <cell r="C17">
            <v>5681804.4800000023</v>
          </cell>
          <cell r="D17">
            <v>83905.139999999985</v>
          </cell>
          <cell r="E17">
            <v>350754.93999999994</v>
          </cell>
        </row>
        <row r="18">
          <cell r="A18" t="str">
            <v>Huila</v>
          </cell>
          <cell r="B18">
            <v>21597867.239999998</v>
          </cell>
          <cell r="C18">
            <v>5526468.1900000004</v>
          </cell>
          <cell r="D18">
            <v>1146227.5999999999</v>
          </cell>
          <cell r="E18">
            <v>21000</v>
          </cell>
        </row>
        <row r="19">
          <cell r="A19" t="str">
            <v>Meta</v>
          </cell>
          <cell r="B19">
            <v>574138.07999999996</v>
          </cell>
          <cell r="C19">
            <v>3346677.28</v>
          </cell>
          <cell r="D19">
            <v>0</v>
          </cell>
          <cell r="E19">
            <v>29933.510000000002</v>
          </cell>
        </row>
        <row r="20">
          <cell r="A20" t="str">
            <v>Boyacá</v>
          </cell>
          <cell r="B20">
            <v>3475252.9099999992</v>
          </cell>
          <cell r="C20">
            <v>2525561.1599999997</v>
          </cell>
          <cell r="D20">
            <v>617685.92000000004</v>
          </cell>
          <cell r="E20">
            <v>174172.7</v>
          </cell>
        </row>
        <row r="21">
          <cell r="A21" t="str">
            <v>Guajira</v>
          </cell>
          <cell r="B21">
            <v>1148080.2799999996</v>
          </cell>
          <cell r="C21">
            <v>2152227.3199999994</v>
          </cell>
          <cell r="D21">
            <v>0</v>
          </cell>
          <cell r="E21">
            <v>130569.21</v>
          </cell>
        </row>
        <row r="22">
          <cell r="A22" t="str">
            <v>Cesar</v>
          </cell>
          <cell r="B22">
            <v>17209056.409999993</v>
          </cell>
          <cell r="C22">
            <v>1111141.8800000001</v>
          </cell>
          <cell r="D22">
            <v>1325732.8999999999</v>
          </cell>
          <cell r="E22">
            <v>607899.03999999992</v>
          </cell>
        </row>
        <row r="23">
          <cell r="A23" t="str">
            <v>Sucre</v>
          </cell>
          <cell r="B23">
            <v>2210736.89</v>
          </cell>
          <cell r="C23">
            <v>600782.7300000001</v>
          </cell>
          <cell r="D23">
            <v>64192.78</v>
          </cell>
          <cell r="E23">
            <v>28706.44</v>
          </cell>
        </row>
        <row r="24">
          <cell r="A24" t="str">
            <v>Putumayo</v>
          </cell>
          <cell r="B24">
            <v>65809.02</v>
          </cell>
          <cell r="C24">
            <v>423630.15</v>
          </cell>
          <cell r="D24">
            <v>8133.0199999999995</v>
          </cell>
          <cell r="E24">
            <v>0</v>
          </cell>
        </row>
        <row r="25">
          <cell r="A25" t="str">
            <v>Amazonas</v>
          </cell>
          <cell r="B25">
            <v>282732.85000000003</v>
          </cell>
          <cell r="C25">
            <v>322466.07</v>
          </cell>
          <cell r="D25">
            <v>0</v>
          </cell>
          <cell r="E25">
            <v>0</v>
          </cell>
        </row>
        <row r="26">
          <cell r="A26" t="str">
            <v>Casanare</v>
          </cell>
          <cell r="B26">
            <v>17655.32</v>
          </cell>
          <cell r="C26">
            <v>156207.59000000003</v>
          </cell>
          <cell r="D26">
            <v>0</v>
          </cell>
          <cell r="E26">
            <v>0</v>
          </cell>
        </row>
        <row r="27">
          <cell r="A27" t="str">
            <v>San Andrés</v>
          </cell>
          <cell r="B27">
            <v>1535819.03</v>
          </cell>
          <cell r="C27">
            <v>128516.25</v>
          </cell>
          <cell r="D27">
            <v>1087308.28</v>
          </cell>
          <cell r="E27">
            <v>0</v>
          </cell>
        </row>
        <row r="28">
          <cell r="A28" t="str">
            <v>Caquetá</v>
          </cell>
          <cell r="B28">
            <v>0</v>
          </cell>
          <cell r="C28">
            <v>96360</v>
          </cell>
          <cell r="D28">
            <v>0</v>
          </cell>
          <cell r="E28">
            <v>0</v>
          </cell>
        </row>
        <row r="29">
          <cell r="A29" t="str">
            <v>Aráuca</v>
          </cell>
          <cell r="B29">
            <v>48841.479999999989</v>
          </cell>
          <cell r="C29">
            <v>43607.569999999992</v>
          </cell>
          <cell r="D29">
            <v>24097.460000000006</v>
          </cell>
          <cell r="E29">
            <v>11883.16</v>
          </cell>
        </row>
        <row r="30">
          <cell r="A30" t="str">
            <v>Vichada</v>
          </cell>
          <cell r="B30">
            <v>857842.34</v>
          </cell>
          <cell r="C30">
            <v>9563.23</v>
          </cell>
          <cell r="D30">
            <v>1348.24</v>
          </cell>
          <cell r="E30">
            <v>0</v>
          </cell>
        </row>
      </sheetData>
      <sheetData sheetId="2">
        <row r="2">
          <cell r="A2" t="str">
            <v>Bogotá</v>
          </cell>
          <cell r="B2">
            <v>15522017220.109509</v>
          </cell>
          <cell r="C2">
            <v>22184330939.320374</v>
          </cell>
          <cell r="D2">
            <v>1690064498.9299922</v>
          </cell>
          <cell r="E2">
            <v>2539767854.1599398</v>
          </cell>
        </row>
        <row r="3">
          <cell r="A3" t="str">
            <v>Antioquia</v>
          </cell>
          <cell r="B3">
            <v>3583651419.0099525</v>
          </cell>
          <cell r="C3">
            <v>5150311232.7397738</v>
          </cell>
          <cell r="D3">
            <v>384546653.53000081</v>
          </cell>
          <cell r="E3">
            <v>543180619.77000105</v>
          </cell>
        </row>
        <row r="4">
          <cell r="A4" t="str">
            <v>Cundinamarca</v>
          </cell>
          <cell r="B4">
            <v>3045220052.4199982</v>
          </cell>
          <cell r="C4">
            <v>4403033966.7999992</v>
          </cell>
          <cell r="D4">
            <v>340930808.87999773</v>
          </cell>
          <cell r="E4">
            <v>513537873.39999962</v>
          </cell>
        </row>
        <row r="5">
          <cell r="A5" t="str">
            <v>Valle del Cauca</v>
          </cell>
          <cell r="B5">
            <v>3399526658.8899703</v>
          </cell>
          <cell r="C5">
            <v>4146305113.979969</v>
          </cell>
          <cell r="D5">
            <v>388950321.07999927</v>
          </cell>
          <cell r="E5">
            <v>334775406.44999993</v>
          </cell>
        </row>
        <row r="6">
          <cell r="A6" t="str">
            <v>Bolívar</v>
          </cell>
          <cell r="B6">
            <v>2159276826.6199899</v>
          </cell>
          <cell r="C6">
            <v>2823330974.1099887</v>
          </cell>
          <cell r="D6">
            <v>194318151.37000054</v>
          </cell>
          <cell r="E6">
            <v>233151528.24999979</v>
          </cell>
        </row>
        <row r="7">
          <cell r="A7" t="str">
            <v>Atlántico</v>
          </cell>
          <cell r="B7">
            <v>1744727563.8200006</v>
          </cell>
          <cell r="C7">
            <v>2299452046.9599795</v>
          </cell>
          <cell r="D7">
            <v>153371728.16999936</v>
          </cell>
          <cell r="E7">
            <v>261976085.10000026</v>
          </cell>
        </row>
        <row r="8">
          <cell r="A8" t="str">
            <v>Magdalena</v>
          </cell>
          <cell r="B8">
            <v>1357339277.3499992</v>
          </cell>
          <cell r="C8">
            <v>1646706628.7799892</v>
          </cell>
          <cell r="D8">
            <v>58461963.270000085</v>
          </cell>
          <cell r="E8">
            <v>13971976.880000008</v>
          </cell>
        </row>
        <row r="9">
          <cell r="A9" t="str">
            <v>Guajira</v>
          </cell>
          <cell r="B9">
            <v>592733410.44000232</v>
          </cell>
          <cell r="C9">
            <v>706531171.04000235</v>
          </cell>
          <cell r="D9">
            <v>60580425.149999976</v>
          </cell>
          <cell r="E9">
            <v>53982435.829999924</v>
          </cell>
        </row>
        <row r="10">
          <cell r="A10" t="str">
            <v>Cesar</v>
          </cell>
          <cell r="B10">
            <v>451663228.74999928</v>
          </cell>
          <cell r="C10">
            <v>460051144.11000049</v>
          </cell>
          <cell r="D10">
            <v>28986689.840000022</v>
          </cell>
          <cell r="E10">
            <v>25978708.519999988</v>
          </cell>
        </row>
        <row r="11">
          <cell r="A11" t="str">
            <v>Santander</v>
          </cell>
          <cell r="B11">
            <v>336005982.68999797</v>
          </cell>
          <cell r="C11">
            <v>416908266.12999773</v>
          </cell>
          <cell r="D11">
            <v>34419801.470000014</v>
          </cell>
          <cell r="E11">
            <v>38643478.000000007</v>
          </cell>
        </row>
        <row r="12">
          <cell r="A12" t="str">
            <v>Caldas</v>
          </cell>
          <cell r="B12">
            <v>266022980.11999926</v>
          </cell>
          <cell r="C12">
            <v>292208819.37999886</v>
          </cell>
          <cell r="D12">
            <v>19791187.950000003</v>
          </cell>
          <cell r="E12">
            <v>30307100.600000031</v>
          </cell>
        </row>
        <row r="13">
          <cell r="A13" t="str">
            <v>Cauca</v>
          </cell>
          <cell r="B13">
            <v>248808283.65999973</v>
          </cell>
          <cell r="C13">
            <v>290394420.75999999</v>
          </cell>
          <cell r="D13">
            <v>25318341.710000042</v>
          </cell>
          <cell r="E13">
            <v>29901717.809999954</v>
          </cell>
        </row>
        <row r="14">
          <cell r="A14" t="str">
            <v>Nariño</v>
          </cell>
          <cell r="B14">
            <v>274077813.90000063</v>
          </cell>
          <cell r="C14">
            <v>284083120.51999986</v>
          </cell>
          <cell r="D14">
            <v>36979449.720000021</v>
          </cell>
          <cell r="E14">
            <v>12188180.839999996</v>
          </cell>
        </row>
        <row r="15">
          <cell r="A15" t="str">
            <v>Risaralda</v>
          </cell>
          <cell r="B15">
            <v>230556105.69000003</v>
          </cell>
          <cell r="C15">
            <v>280126954.84000117</v>
          </cell>
          <cell r="D15">
            <v>22816692.079999994</v>
          </cell>
          <cell r="E15">
            <v>29929726.019999977</v>
          </cell>
        </row>
        <row r="16">
          <cell r="A16" t="str">
            <v>Casanare</v>
          </cell>
          <cell r="B16">
            <v>113592615.71000014</v>
          </cell>
          <cell r="C16">
            <v>204523913.64000005</v>
          </cell>
          <cell r="D16">
            <v>6633214.3399999989</v>
          </cell>
          <cell r="E16">
            <v>4124080.390000002</v>
          </cell>
        </row>
        <row r="17">
          <cell r="A17" t="str">
            <v>Boyacá</v>
          </cell>
          <cell r="B17">
            <v>142450369.53999999</v>
          </cell>
          <cell r="C17">
            <v>160487908.06999996</v>
          </cell>
          <cell r="D17">
            <v>22571024.879999992</v>
          </cell>
          <cell r="E17">
            <v>24844903.34999999</v>
          </cell>
        </row>
        <row r="18">
          <cell r="A18" t="str">
            <v>Meta</v>
          </cell>
          <cell r="B18">
            <v>85423450.730000004</v>
          </cell>
          <cell r="C18">
            <v>149739477.02000037</v>
          </cell>
          <cell r="D18">
            <v>1206868.5699999998</v>
          </cell>
          <cell r="E18">
            <v>9532135.3600000013</v>
          </cell>
        </row>
        <row r="19">
          <cell r="A19" t="str">
            <v>Norte de Santander</v>
          </cell>
          <cell r="B19">
            <v>113683021.78999984</v>
          </cell>
          <cell r="C19">
            <v>136347477.76999995</v>
          </cell>
          <cell r="D19">
            <v>10468694.019999994</v>
          </cell>
          <cell r="E19">
            <v>11217634.55000001</v>
          </cell>
        </row>
        <row r="20">
          <cell r="A20" t="str">
            <v>Córdoba</v>
          </cell>
          <cell r="B20">
            <v>43786859.019999906</v>
          </cell>
          <cell r="C20">
            <v>109884973.65999982</v>
          </cell>
          <cell r="D20">
            <v>3288100.9799999986</v>
          </cell>
          <cell r="E20">
            <v>3242151.7800000007</v>
          </cell>
        </row>
        <row r="21">
          <cell r="A21" t="str">
            <v>Huila</v>
          </cell>
          <cell r="B21">
            <v>33896552.960000023</v>
          </cell>
          <cell r="C21">
            <v>76799025.560000122</v>
          </cell>
          <cell r="D21">
            <v>3283783.2500000005</v>
          </cell>
          <cell r="E21">
            <v>1796204.85</v>
          </cell>
        </row>
        <row r="22">
          <cell r="A22" t="str">
            <v>Tolima</v>
          </cell>
          <cell r="B22">
            <v>23624581.499999985</v>
          </cell>
          <cell r="C22">
            <v>62139745.789999999</v>
          </cell>
          <cell r="D22">
            <v>3983516.149999999</v>
          </cell>
          <cell r="E22">
            <v>10842534.809999995</v>
          </cell>
        </row>
        <row r="23">
          <cell r="A23" t="str">
            <v>Quindío</v>
          </cell>
          <cell r="B23">
            <v>32965155.010000058</v>
          </cell>
          <cell r="C23">
            <v>54845678.189999864</v>
          </cell>
          <cell r="D23">
            <v>3811507.92</v>
          </cell>
          <cell r="E23">
            <v>4025107.1700000013</v>
          </cell>
        </row>
        <row r="24">
          <cell r="A24" t="str">
            <v>Sucre</v>
          </cell>
          <cell r="B24">
            <v>5566596.6300000036</v>
          </cell>
          <cell r="C24">
            <v>3437444.4100000006</v>
          </cell>
          <cell r="D24">
            <v>79708.86</v>
          </cell>
          <cell r="E24">
            <v>363212.08000000007</v>
          </cell>
        </row>
        <row r="25">
          <cell r="A25" t="str">
            <v>Aráuca</v>
          </cell>
          <cell r="B25">
            <v>1325210.2500000007</v>
          </cell>
          <cell r="C25">
            <v>2064604.1700000004</v>
          </cell>
          <cell r="D25">
            <v>10295.23</v>
          </cell>
          <cell r="E25">
            <v>636021.35</v>
          </cell>
        </row>
        <row r="26">
          <cell r="A26" t="str">
            <v>San Andrés</v>
          </cell>
          <cell r="B26">
            <v>413466.09000000026</v>
          </cell>
          <cell r="C26">
            <v>1746618.4099999997</v>
          </cell>
          <cell r="D26">
            <v>0</v>
          </cell>
          <cell r="E26">
            <v>73600.08</v>
          </cell>
        </row>
        <row r="27">
          <cell r="A27" t="str">
            <v>Chocó</v>
          </cell>
          <cell r="B27">
            <v>880030.96000000008</v>
          </cell>
          <cell r="C27">
            <v>1503917.1800000004</v>
          </cell>
          <cell r="D27">
            <v>400263.45</v>
          </cell>
          <cell r="E27">
            <v>53563.9</v>
          </cell>
        </row>
        <row r="28">
          <cell r="A28" t="str">
            <v>Putumayo</v>
          </cell>
          <cell r="B28">
            <v>702588.13999999978</v>
          </cell>
          <cell r="C28">
            <v>1267266.73</v>
          </cell>
          <cell r="D28">
            <v>272157.40000000002</v>
          </cell>
          <cell r="E28">
            <v>95172.45</v>
          </cell>
        </row>
        <row r="29">
          <cell r="A29" t="str">
            <v>Amazonas</v>
          </cell>
          <cell r="B29">
            <v>1030767.1000000001</v>
          </cell>
          <cell r="C29">
            <v>1198320.1300000004</v>
          </cell>
          <cell r="D29">
            <v>22892.6</v>
          </cell>
          <cell r="E29">
            <v>264671.73</v>
          </cell>
        </row>
        <row r="30">
          <cell r="A30" t="str">
            <v>Caquetá</v>
          </cell>
          <cell r="B30">
            <v>8388181.29</v>
          </cell>
          <cell r="C30">
            <v>633927.78000000014</v>
          </cell>
          <cell r="D30">
            <v>7957245.9699999997</v>
          </cell>
          <cell r="E30">
            <v>188202.79000000004</v>
          </cell>
        </row>
        <row r="31">
          <cell r="A31" t="str">
            <v>Vichada</v>
          </cell>
          <cell r="B31">
            <v>265784.30999999994</v>
          </cell>
          <cell r="C31">
            <v>514634.95999999979</v>
          </cell>
          <cell r="D31">
            <v>6608.32</v>
          </cell>
          <cell r="E31">
            <v>100557.69</v>
          </cell>
        </row>
        <row r="32">
          <cell r="A32" t="str">
            <v>Guaviare</v>
          </cell>
          <cell r="B32">
            <v>41549.599999999999</v>
          </cell>
          <cell r="C32">
            <v>34659.46</v>
          </cell>
          <cell r="D32">
            <v>0</v>
          </cell>
          <cell r="E32">
            <v>0</v>
          </cell>
        </row>
        <row r="33">
          <cell r="A33" t="str">
            <v>Vaupés</v>
          </cell>
          <cell r="B33">
            <v>0</v>
          </cell>
          <cell r="C33">
            <v>3324.36</v>
          </cell>
          <cell r="D33">
            <v>0</v>
          </cell>
          <cell r="E33">
            <v>3324.36</v>
          </cell>
        </row>
      </sheetData>
      <sheetData sheetId="3">
        <row r="2">
          <cell r="A2" t="str">
            <v>Bogotá</v>
          </cell>
          <cell r="B2">
            <v>1644898882.6500232</v>
          </cell>
          <cell r="C2">
            <v>3286837981.4399986</v>
          </cell>
          <cell r="D2">
            <v>147210410.61999983</v>
          </cell>
          <cell r="E2">
            <v>529769705.11000055</v>
          </cell>
        </row>
        <row r="3">
          <cell r="A3" t="str">
            <v>Bolívar</v>
          </cell>
          <cell r="B3">
            <v>1239054096.7199924</v>
          </cell>
          <cell r="C3">
            <v>1716599648.9699924</v>
          </cell>
          <cell r="D3">
            <v>108263220.90999997</v>
          </cell>
          <cell r="E3">
            <v>157758460.7999998</v>
          </cell>
        </row>
        <row r="4">
          <cell r="A4" t="str">
            <v>Valle del Cauca</v>
          </cell>
          <cell r="B4">
            <v>1053509374.9500005</v>
          </cell>
          <cell r="C4">
            <v>1318043608.6599998</v>
          </cell>
          <cell r="D4">
            <v>106276042.32999961</v>
          </cell>
          <cell r="E4">
            <v>112488194.47</v>
          </cell>
        </row>
        <row r="5">
          <cell r="A5" t="str">
            <v>Magdalena</v>
          </cell>
          <cell r="B5">
            <v>1092294953.3300025</v>
          </cell>
          <cell r="C5">
            <v>1197326702.7599978</v>
          </cell>
          <cell r="D5">
            <v>27141836.279999994</v>
          </cell>
          <cell r="E5">
            <v>3415984.6800000006</v>
          </cell>
        </row>
        <row r="6">
          <cell r="A6" t="str">
            <v>Antioquia</v>
          </cell>
          <cell r="B6">
            <v>726956997.32999516</v>
          </cell>
          <cell r="C6">
            <v>893337704.53998876</v>
          </cell>
          <cell r="D6">
            <v>65748309.769999996</v>
          </cell>
          <cell r="E6">
            <v>92217208.340000093</v>
          </cell>
        </row>
        <row r="7">
          <cell r="A7" t="str">
            <v>Atlántico</v>
          </cell>
          <cell r="B7">
            <v>436947036.6499995</v>
          </cell>
          <cell r="C7">
            <v>614035391.74000061</v>
          </cell>
          <cell r="D7">
            <v>45821519.239999972</v>
          </cell>
          <cell r="E7">
            <v>70552667.509999931</v>
          </cell>
        </row>
        <row r="8">
          <cell r="A8" t="str">
            <v>Cundinamarca</v>
          </cell>
          <cell r="B8">
            <v>425250526.00999725</v>
          </cell>
          <cell r="C8">
            <v>511754433.66000068</v>
          </cell>
          <cell r="D8">
            <v>43227804.469999976</v>
          </cell>
          <cell r="E8">
            <v>49767157.840000011</v>
          </cell>
        </row>
        <row r="9">
          <cell r="A9" t="str">
            <v>Guajira</v>
          </cell>
          <cell r="B9">
            <v>256218012.45999998</v>
          </cell>
          <cell r="C9">
            <v>330904699.79999965</v>
          </cell>
          <cell r="D9">
            <v>23589905.979999993</v>
          </cell>
          <cell r="E9">
            <v>30152950.119999956</v>
          </cell>
        </row>
        <row r="10">
          <cell r="A10" t="str">
            <v>Santander</v>
          </cell>
          <cell r="B10">
            <v>86458656.070000082</v>
          </cell>
          <cell r="C10">
            <v>111382162.65000044</v>
          </cell>
          <cell r="D10">
            <v>7486754.3999999994</v>
          </cell>
          <cell r="E10">
            <v>12475753.470000003</v>
          </cell>
        </row>
        <row r="11">
          <cell r="A11" t="str">
            <v>Meta</v>
          </cell>
          <cell r="B11">
            <v>12229941.559999999</v>
          </cell>
          <cell r="C11">
            <v>84954197.610000014</v>
          </cell>
          <cell r="D11">
            <v>39300.700000000004</v>
          </cell>
          <cell r="E11">
            <v>6772026.5300000003</v>
          </cell>
        </row>
        <row r="12">
          <cell r="A12" t="str">
            <v>Nariño</v>
          </cell>
          <cell r="B12">
            <v>78591824.9799999</v>
          </cell>
          <cell r="C12">
            <v>79948284.159999609</v>
          </cell>
          <cell r="D12">
            <v>7612528.459999999</v>
          </cell>
          <cell r="E12">
            <v>8011697.8099999996</v>
          </cell>
        </row>
        <row r="13">
          <cell r="A13" t="str">
            <v>Cauca</v>
          </cell>
          <cell r="B13">
            <v>62330068.970000014</v>
          </cell>
          <cell r="C13">
            <v>75512827.429999992</v>
          </cell>
          <cell r="D13">
            <v>7413003.2299999986</v>
          </cell>
          <cell r="E13">
            <v>9456631.4700000025</v>
          </cell>
        </row>
        <row r="14">
          <cell r="A14" t="str">
            <v>Risaralda</v>
          </cell>
          <cell r="B14">
            <v>43355990.480000027</v>
          </cell>
          <cell r="C14">
            <v>58733202.279999956</v>
          </cell>
          <cell r="D14">
            <v>4306629.5200000023</v>
          </cell>
          <cell r="E14">
            <v>5703367.959999999</v>
          </cell>
        </row>
        <row r="15">
          <cell r="A15" t="str">
            <v>Cesar</v>
          </cell>
          <cell r="B15">
            <v>51665816.270000003</v>
          </cell>
          <cell r="C15">
            <v>45041870.10999988</v>
          </cell>
          <cell r="D15">
            <v>4850042.5599999949</v>
          </cell>
          <cell r="E15">
            <v>4159960.7600000007</v>
          </cell>
        </row>
        <row r="16">
          <cell r="A16" t="str">
            <v>Caldas</v>
          </cell>
          <cell r="B16">
            <v>35310510.900000013</v>
          </cell>
          <cell r="C16">
            <v>42236840.699999951</v>
          </cell>
          <cell r="D16">
            <v>2068646.74</v>
          </cell>
          <cell r="E16">
            <v>4917559.3900000006</v>
          </cell>
        </row>
        <row r="17">
          <cell r="A17" t="str">
            <v>Quindío</v>
          </cell>
          <cell r="B17">
            <v>14639216.899999997</v>
          </cell>
          <cell r="C17">
            <v>29968240.989999983</v>
          </cell>
          <cell r="D17">
            <v>1575002.9900000002</v>
          </cell>
          <cell r="E17">
            <v>1806305.0900000003</v>
          </cell>
        </row>
        <row r="18">
          <cell r="A18" t="str">
            <v>Tolima</v>
          </cell>
          <cell r="B18">
            <v>2166257.4699999993</v>
          </cell>
          <cell r="C18">
            <v>23013923.190000005</v>
          </cell>
          <cell r="D18">
            <v>348047.24999999994</v>
          </cell>
          <cell r="E18">
            <v>119078.12000000002</v>
          </cell>
        </row>
        <row r="19">
          <cell r="A19" t="str">
            <v>Boyacá</v>
          </cell>
          <cell r="B19">
            <v>10658665.750000004</v>
          </cell>
          <cell r="C19">
            <v>12840730.959999995</v>
          </cell>
          <cell r="D19">
            <v>1042628.4800000001</v>
          </cell>
          <cell r="E19">
            <v>1612749.4099999997</v>
          </cell>
        </row>
        <row r="20">
          <cell r="A20" t="str">
            <v>Norte de Santander</v>
          </cell>
          <cell r="B20">
            <v>10613347.020000013</v>
          </cell>
          <cell r="C20">
            <v>9507518.5100000016</v>
          </cell>
          <cell r="D20">
            <v>798212.2099999995</v>
          </cell>
          <cell r="E20">
            <v>995385.8200000003</v>
          </cell>
        </row>
        <row r="21">
          <cell r="A21" t="str">
            <v>Córdoba</v>
          </cell>
          <cell r="B21">
            <v>3584926.6799999992</v>
          </cell>
          <cell r="C21">
            <v>4672630.080000001</v>
          </cell>
          <cell r="D21">
            <v>440342.08999999997</v>
          </cell>
          <cell r="E21">
            <v>127382.28999999996</v>
          </cell>
        </row>
        <row r="22">
          <cell r="A22" t="str">
            <v>Casanare</v>
          </cell>
          <cell r="B22">
            <v>3214294.5699999994</v>
          </cell>
          <cell r="C22">
            <v>3815750.9800000018</v>
          </cell>
          <cell r="D22">
            <v>600294.79</v>
          </cell>
          <cell r="E22">
            <v>72339.53</v>
          </cell>
        </row>
        <row r="23">
          <cell r="A23" t="str">
            <v>Sucre</v>
          </cell>
          <cell r="B23">
            <v>3120787.69</v>
          </cell>
          <cell r="C23">
            <v>851109.64999999991</v>
          </cell>
          <cell r="D23">
            <v>0</v>
          </cell>
          <cell r="E23">
            <v>82830</v>
          </cell>
        </row>
        <row r="24">
          <cell r="A24" t="str">
            <v>Huila</v>
          </cell>
          <cell r="B24">
            <v>1416228.9300000004</v>
          </cell>
          <cell r="C24">
            <v>841567.27000000014</v>
          </cell>
          <cell r="D24">
            <v>255293.86999999997</v>
          </cell>
          <cell r="E24">
            <v>97557.32</v>
          </cell>
        </row>
        <row r="25">
          <cell r="A25" t="str">
            <v>Putumayo</v>
          </cell>
          <cell r="B25">
            <v>139509.22999999998</v>
          </cell>
          <cell r="C25">
            <v>267825.35000000003</v>
          </cell>
          <cell r="D25">
            <v>99513.73</v>
          </cell>
          <cell r="E25">
            <v>0</v>
          </cell>
        </row>
        <row r="26">
          <cell r="A26" t="str">
            <v>Amazonas</v>
          </cell>
          <cell r="B26">
            <v>94997.550000000017</v>
          </cell>
          <cell r="C26">
            <v>76358.8</v>
          </cell>
          <cell r="D26">
            <v>13894.71</v>
          </cell>
          <cell r="E26">
            <v>0.68</v>
          </cell>
        </row>
        <row r="27">
          <cell r="A27" t="str">
            <v>Caquetá</v>
          </cell>
          <cell r="B27">
            <v>723.77</v>
          </cell>
          <cell r="C27">
            <v>36014.049999999996</v>
          </cell>
          <cell r="D27">
            <v>0</v>
          </cell>
          <cell r="E27">
            <v>0</v>
          </cell>
        </row>
        <row r="28">
          <cell r="A28" t="str">
            <v>San Andrés</v>
          </cell>
          <cell r="B28">
            <v>3641.44</v>
          </cell>
          <cell r="C28">
            <v>31312.460000000003</v>
          </cell>
          <cell r="D28">
            <v>0</v>
          </cell>
          <cell r="E28">
            <v>21146.04</v>
          </cell>
        </row>
        <row r="29">
          <cell r="A29" t="str">
            <v>Aráuca</v>
          </cell>
          <cell r="B29">
            <v>146993.07</v>
          </cell>
          <cell r="C29">
            <v>27601.950000000004</v>
          </cell>
          <cell r="D29">
            <v>0</v>
          </cell>
          <cell r="E29">
            <v>5937.76</v>
          </cell>
        </row>
        <row r="30">
          <cell r="A30" t="str">
            <v>Chocó</v>
          </cell>
          <cell r="B30">
            <v>0</v>
          </cell>
          <cell r="C30">
            <v>7673.7500000000009</v>
          </cell>
          <cell r="D30">
            <v>0</v>
          </cell>
          <cell r="E30">
            <v>0</v>
          </cell>
        </row>
        <row r="31">
          <cell r="A31" t="str">
            <v>Vaupés</v>
          </cell>
          <cell r="B31">
            <v>0</v>
          </cell>
          <cell r="C31">
            <v>3324.36</v>
          </cell>
          <cell r="D31">
            <v>0</v>
          </cell>
          <cell r="E31">
            <v>3324.36</v>
          </cell>
        </row>
        <row r="32">
          <cell r="A32" t="str">
            <v>Vichada</v>
          </cell>
          <cell r="B32">
            <v>59338.100000000006</v>
          </cell>
          <cell r="C32">
            <v>900.93000000000006</v>
          </cell>
          <cell r="D32">
            <v>0</v>
          </cell>
          <cell r="E32">
            <v>287.04000000000002</v>
          </cell>
        </row>
      </sheetData>
      <sheetData sheetId="4">
        <row r="2">
          <cell r="A2" t="str">
            <v>Bogotá</v>
          </cell>
          <cell r="B2">
            <v>2221191424.140017</v>
          </cell>
          <cell r="C2">
            <v>3079593575.1900368</v>
          </cell>
          <cell r="D2">
            <v>255131992.2299996</v>
          </cell>
          <cell r="E2">
            <v>334431662.1499992</v>
          </cell>
        </row>
        <row r="3">
          <cell r="A3" t="str">
            <v>Antioquia</v>
          </cell>
          <cell r="B3">
            <v>974750999.15998924</v>
          </cell>
          <cell r="C3">
            <v>1412376340.3699989</v>
          </cell>
          <cell r="D3">
            <v>104841575.46999982</v>
          </cell>
          <cell r="E3">
            <v>141152497.71000001</v>
          </cell>
        </row>
        <row r="4">
          <cell r="A4" t="str">
            <v>Atlántico</v>
          </cell>
          <cell r="B4">
            <v>496965265.85000139</v>
          </cell>
          <cell r="C4">
            <v>668173352.92000043</v>
          </cell>
          <cell r="D4">
            <v>41766154.43999996</v>
          </cell>
          <cell r="E4">
            <v>73733303.960000098</v>
          </cell>
        </row>
        <row r="5">
          <cell r="A5" t="str">
            <v>Valle del Cauca</v>
          </cell>
          <cell r="B5">
            <v>451893704.90999913</v>
          </cell>
          <cell r="C5">
            <v>576340506.04000032</v>
          </cell>
          <cell r="D5">
            <v>57609250.920000032</v>
          </cell>
          <cell r="E5">
            <v>58310394.940000154</v>
          </cell>
        </row>
        <row r="6">
          <cell r="A6" t="str">
            <v>Cundinamarca</v>
          </cell>
          <cell r="B6">
            <v>367531102.34999609</v>
          </cell>
          <cell r="C6">
            <v>570214776.92000508</v>
          </cell>
          <cell r="D6">
            <v>44323048.999999985</v>
          </cell>
          <cell r="E6">
            <v>69099540.96999985</v>
          </cell>
        </row>
        <row r="7">
          <cell r="A7" t="str">
            <v>Bolívar</v>
          </cell>
          <cell r="B7">
            <v>249154647.24000069</v>
          </cell>
          <cell r="C7">
            <v>340499006.11000365</v>
          </cell>
          <cell r="D7">
            <v>36945338.129999921</v>
          </cell>
          <cell r="E7">
            <v>19104627.010000035</v>
          </cell>
        </row>
        <row r="8">
          <cell r="A8" t="str">
            <v>Casanare</v>
          </cell>
          <cell r="B8">
            <v>26046271.83999997</v>
          </cell>
          <cell r="C8">
            <v>129749300.06999984</v>
          </cell>
          <cell r="D8">
            <v>2938913.3699999992</v>
          </cell>
          <cell r="E8">
            <v>1219301.9999999995</v>
          </cell>
        </row>
        <row r="9">
          <cell r="A9" t="str">
            <v>Caldas</v>
          </cell>
          <cell r="B9">
            <v>102511545.15999991</v>
          </cell>
          <cell r="C9">
            <v>114899052.51999961</v>
          </cell>
          <cell r="D9">
            <v>8480516.5100000054</v>
          </cell>
          <cell r="E9">
            <v>9101999.5799999908</v>
          </cell>
        </row>
        <row r="10">
          <cell r="A10" t="str">
            <v>Cauca</v>
          </cell>
          <cell r="B10">
            <v>94288495.210000142</v>
          </cell>
          <cell r="C10">
            <v>101114151.73999986</v>
          </cell>
          <cell r="D10">
            <v>6967417.1400000025</v>
          </cell>
          <cell r="E10">
            <v>7502353.2300000032</v>
          </cell>
        </row>
        <row r="11">
          <cell r="A11" t="str">
            <v>Magdalena</v>
          </cell>
          <cell r="B11">
            <v>21470915.979999971</v>
          </cell>
          <cell r="C11">
            <v>69361139.829999849</v>
          </cell>
          <cell r="D11">
            <v>1830882.5399999991</v>
          </cell>
          <cell r="E11">
            <v>1542670.2299999997</v>
          </cell>
        </row>
        <row r="12">
          <cell r="A12" t="str">
            <v>Santander</v>
          </cell>
          <cell r="B12">
            <v>54257208.890000083</v>
          </cell>
          <cell r="C12">
            <v>64213035.060000025</v>
          </cell>
          <cell r="D12">
            <v>4963314.9799999967</v>
          </cell>
          <cell r="E12">
            <v>5430824.9700000007</v>
          </cell>
        </row>
        <row r="13">
          <cell r="A13" t="str">
            <v>Nariño</v>
          </cell>
          <cell r="B13">
            <v>60838140.690000094</v>
          </cell>
          <cell r="C13">
            <v>57661065.900000155</v>
          </cell>
          <cell r="D13">
            <v>7286767.9199999971</v>
          </cell>
          <cell r="E13">
            <v>2791629.01</v>
          </cell>
        </row>
        <row r="14">
          <cell r="A14" t="str">
            <v>Risaralda</v>
          </cell>
          <cell r="B14">
            <v>44276677.389999978</v>
          </cell>
          <cell r="C14">
            <v>55588659.040000059</v>
          </cell>
          <cell r="D14">
            <v>3685714.2600000021</v>
          </cell>
          <cell r="E14">
            <v>6154978.8499999996</v>
          </cell>
        </row>
        <row r="15">
          <cell r="A15" t="str">
            <v>Boyacá</v>
          </cell>
          <cell r="B15">
            <v>40109039.859999992</v>
          </cell>
          <cell r="C15">
            <v>53535398.019999996</v>
          </cell>
          <cell r="D15">
            <v>3671420.3299999996</v>
          </cell>
          <cell r="E15">
            <v>5092675.580000001</v>
          </cell>
        </row>
        <row r="16">
          <cell r="A16" t="str">
            <v>Norte de Santander</v>
          </cell>
          <cell r="B16">
            <v>40477884.220000058</v>
          </cell>
          <cell r="C16">
            <v>44995647.200000063</v>
          </cell>
          <cell r="D16">
            <v>4027371.1900000004</v>
          </cell>
          <cell r="E16">
            <v>3165227.5399999982</v>
          </cell>
        </row>
        <row r="17">
          <cell r="A17" t="str">
            <v>Guajira</v>
          </cell>
          <cell r="B17">
            <v>27586992.589999989</v>
          </cell>
          <cell r="C17">
            <v>32114144.460000001</v>
          </cell>
          <cell r="D17">
            <v>2202447.1599999988</v>
          </cell>
          <cell r="E17">
            <v>3420093.5300000058</v>
          </cell>
        </row>
        <row r="18">
          <cell r="A18" t="str">
            <v>Cesar</v>
          </cell>
          <cell r="B18">
            <v>24791798.429999977</v>
          </cell>
          <cell r="C18">
            <v>14514202.730000006</v>
          </cell>
          <cell r="D18">
            <v>1565865.7700000014</v>
          </cell>
          <cell r="E18">
            <v>1127442.0300000021</v>
          </cell>
        </row>
        <row r="19">
          <cell r="A19" t="str">
            <v>Huila</v>
          </cell>
          <cell r="B19">
            <v>5450820.1100000003</v>
          </cell>
          <cell r="C19">
            <v>11105349.060000014</v>
          </cell>
          <cell r="D19">
            <v>303828.90000000014</v>
          </cell>
          <cell r="E19">
            <v>945453.45000000019</v>
          </cell>
        </row>
        <row r="20">
          <cell r="A20" t="str">
            <v>Quindío</v>
          </cell>
          <cell r="B20">
            <v>7536736.0100000184</v>
          </cell>
          <cell r="C20">
            <v>10382666.910000021</v>
          </cell>
          <cell r="D20">
            <v>1207957.1200000006</v>
          </cell>
          <cell r="E20">
            <v>911197.14999999909</v>
          </cell>
        </row>
        <row r="21">
          <cell r="A21" t="str">
            <v>Tolima</v>
          </cell>
          <cell r="B21">
            <v>4506474.3800000027</v>
          </cell>
          <cell r="C21">
            <v>9075401.3899999913</v>
          </cell>
          <cell r="D21">
            <v>449541.64</v>
          </cell>
          <cell r="E21">
            <v>1242864.07</v>
          </cell>
        </row>
        <row r="22">
          <cell r="A22" t="str">
            <v>Córdoba</v>
          </cell>
          <cell r="B22">
            <v>8385971.4200000037</v>
          </cell>
          <cell r="C22">
            <v>7442528.6200000001</v>
          </cell>
          <cell r="D22">
            <v>1456441.36</v>
          </cell>
          <cell r="E22">
            <v>1121351.9400000009</v>
          </cell>
        </row>
        <row r="23">
          <cell r="A23" t="str">
            <v>Meta</v>
          </cell>
          <cell r="B23">
            <v>2265438.3699999992</v>
          </cell>
          <cell r="C23">
            <v>5490057.9699999951</v>
          </cell>
          <cell r="D23">
            <v>104705.18</v>
          </cell>
          <cell r="E23">
            <v>547099.87999999977</v>
          </cell>
        </row>
        <row r="24">
          <cell r="A24" t="str">
            <v>San Andrés</v>
          </cell>
          <cell r="B24">
            <v>94604.790000000066</v>
          </cell>
          <cell r="C24">
            <v>633195.77999999968</v>
          </cell>
          <cell r="D24">
            <v>0</v>
          </cell>
          <cell r="E24">
            <v>32616.540000000005</v>
          </cell>
        </row>
        <row r="25">
          <cell r="A25" t="str">
            <v>Amazonas</v>
          </cell>
          <cell r="B25">
            <v>195826.65999999995</v>
          </cell>
          <cell r="C25">
            <v>300726.25</v>
          </cell>
          <cell r="D25">
            <v>0</v>
          </cell>
          <cell r="E25">
            <v>134612.84</v>
          </cell>
        </row>
        <row r="26">
          <cell r="A26" t="str">
            <v>Caquetá</v>
          </cell>
          <cell r="B26">
            <v>332118.60000000003</v>
          </cell>
          <cell r="C26">
            <v>250856.18000000005</v>
          </cell>
          <cell r="D26">
            <v>316549.38</v>
          </cell>
          <cell r="E26">
            <v>180383.27000000005</v>
          </cell>
        </row>
        <row r="27">
          <cell r="A27" t="str">
            <v>Sucre</v>
          </cell>
          <cell r="B27">
            <v>488859.57</v>
          </cell>
          <cell r="C27">
            <v>124377.05000000002</v>
          </cell>
          <cell r="D27">
            <v>2096.17</v>
          </cell>
          <cell r="E27">
            <v>12572.89</v>
          </cell>
        </row>
        <row r="28">
          <cell r="A28" t="str">
            <v>Putumayo</v>
          </cell>
          <cell r="B28">
            <v>99607.43</v>
          </cell>
          <cell r="C28">
            <v>97806.64</v>
          </cell>
          <cell r="D28">
            <v>27148.91</v>
          </cell>
          <cell r="E28">
            <v>0</v>
          </cell>
        </row>
        <row r="29">
          <cell r="A29" t="str">
            <v>Chocó</v>
          </cell>
          <cell r="B29">
            <v>263633.65000000008</v>
          </cell>
          <cell r="C29">
            <v>92794.150000000009</v>
          </cell>
          <cell r="D29">
            <v>0</v>
          </cell>
          <cell r="E29">
            <v>49175.9</v>
          </cell>
        </row>
        <row r="30">
          <cell r="A30" t="str">
            <v>Vichada</v>
          </cell>
          <cell r="B30">
            <v>91590.82</v>
          </cell>
          <cell r="C30">
            <v>90382.98</v>
          </cell>
          <cell r="D30">
            <v>0</v>
          </cell>
          <cell r="E30">
            <v>20464.11</v>
          </cell>
        </row>
        <row r="31">
          <cell r="A31" t="str">
            <v>Aráuca</v>
          </cell>
          <cell r="B31">
            <v>28019.75</v>
          </cell>
          <cell r="C31">
            <v>22098.87</v>
          </cell>
          <cell r="D31">
            <v>0</v>
          </cell>
          <cell r="E31">
            <v>382.25</v>
          </cell>
        </row>
        <row r="32">
          <cell r="A32" t="str">
            <v>Guaviare</v>
          </cell>
          <cell r="B32">
            <v>41549.599999999999</v>
          </cell>
          <cell r="C32">
            <v>0</v>
          </cell>
          <cell r="D32">
            <v>0</v>
          </cell>
          <cell r="E32">
            <v>0</v>
          </cell>
        </row>
      </sheetData>
      <sheetData sheetId="5">
        <row r="2">
          <cell r="A2" t="str">
            <v>Bogotá</v>
          </cell>
          <cell r="B2">
            <v>5098307433.6603355</v>
          </cell>
          <cell r="C2">
            <v>7716364287.4601984</v>
          </cell>
          <cell r="D2">
            <v>597664590.53999484</v>
          </cell>
          <cell r="E2">
            <v>880651037.65999603</v>
          </cell>
        </row>
        <row r="3">
          <cell r="A3" t="str">
            <v>Cundinamarca</v>
          </cell>
          <cell r="B3">
            <v>1817399752.7500122</v>
          </cell>
          <cell r="C3">
            <v>2593429082.5000033</v>
          </cell>
          <cell r="D3">
            <v>210816708.03999802</v>
          </cell>
          <cell r="E3">
            <v>305849826.03999889</v>
          </cell>
        </row>
        <row r="4">
          <cell r="A4" t="str">
            <v>Antioquia</v>
          </cell>
          <cell r="B4">
            <v>1630300914.8199828</v>
          </cell>
          <cell r="C4">
            <v>2423738041.239954</v>
          </cell>
          <cell r="D4">
            <v>184745420.27999967</v>
          </cell>
          <cell r="E4">
            <v>268280918.91999909</v>
          </cell>
        </row>
        <row r="5">
          <cell r="A5" t="str">
            <v>Valle del Cauca</v>
          </cell>
          <cell r="B5">
            <v>1378455102.6500077</v>
          </cell>
          <cell r="C5">
            <v>1766513615.8600144</v>
          </cell>
          <cell r="D5">
            <v>166691757.35999995</v>
          </cell>
          <cell r="E5">
            <v>131852096.45999961</v>
          </cell>
        </row>
        <row r="6">
          <cell r="A6" t="str">
            <v>Atlántico</v>
          </cell>
          <cell r="B6">
            <v>713155773.70999932</v>
          </cell>
          <cell r="C6">
            <v>895065641.24999142</v>
          </cell>
          <cell r="D6">
            <v>56764979.519999959</v>
          </cell>
          <cell r="E6">
            <v>104698718.9399998</v>
          </cell>
        </row>
        <row r="7">
          <cell r="A7" t="str">
            <v>Bolívar</v>
          </cell>
          <cell r="B7">
            <v>562191508.73000073</v>
          </cell>
          <cell r="C7">
            <v>668066443.25999856</v>
          </cell>
          <cell r="D7">
            <v>44489821.989999987</v>
          </cell>
          <cell r="E7">
            <v>42008332.119999945</v>
          </cell>
        </row>
        <row r="8">
          <cell r="A8" t="str">
            <v>Cesar</v>
          </cell>
          <cell r="B8">
            <v>351524249.55000085</v>
          </cell>
          <cell r="C8">
            <v>379391110.73999882</v>
          </cell>
          <cell r="D8">
            <v>21721969.219999965</v>
          </cell>
          <cell r="E8">
            <v>19431929.229999963</v>
          </cell>
        </row>
        <row r="9">
          <cell r="A9" t="str">
            <v>Magdalena</v>
          </cell>
          <cell r="B9">
            <v>174251908.4900001</v>
          </cell>
          <cell r="C9">
            <v>362768209.30000073</v>
          </cell>
          <cell r="D9">
            <v>28538737.420000046</v>
          </cell>
          <cell r="E9">
            <v>8410764.7800000012</v>
          </cell>
        </row>
        <row r="10">
          <cell r="A10" t="str">
            <v>Guajira</v>
          </cell>
          <cell r="B10">
            <v>286015719.83000153</v>
          </cell>
          <cell r="C10">
            <v>314033950.55999905</v>
          </cell>
          <cell r="D10">
            <v>33080974.529999986</v>
          </cell>
          <cell r="E10">
            <v>17734857.980000012</v>
          </cell>
        </row>
        <row r="11">
          <cell r="A11" t="str">
            <v>Santander</v>
          </cell>
          <cell r="B11">
            <v>158020444.30999947</v>
          </cell>
          <cell r="C11">
            <v>180549228.83999991</v>
          </cell>
          <cell r="D11">
            <v>18907367.620000001</v>
          </cell>
          <cell r="E11">
            <v>17509408.669999965</v>
          </cell>
        </row>
        <row r="12">
          <cell r="A12" t="str">
            <v>Nariño</v>
          </cell>
          <cell r="B12">
            <v>133156028.76999986</v>
          </cell>
          <cell r="C12">
            <v>143890350.78999999</v>
          </cell>
          <cell r="D12">
            <v>21890343.329999998</v>
          </cell>
          <cell r="E12">
            <v>1178095.8799999999</v>
          </cell>
        </row>
        <row r="13">
          <cell r="A13" t="str">
            <v>Risaralda</v>
          </cell>
          <cell r="B13">
            <v>120144847.38999948</v>
          </cell>
          <cell r="C13">
            <v>135958981.24000019</v>
          </cell>
          <cell r="D13">
            <v>11295410.780000022</v>
          </cell>
          <cell r="E13">
            <v>14391348.440000007</v>
          </cell>
        </row>
        <row r="14">
          <cell r="A14" t="str">
            <v>Caldas</v>
          </cell>
          <cell r="B14">
            <v>119098608.63000011</v>
          </cell>
          <cell r="C14">
            <v>127665023.89999989</v>
          </cell>
          <cell r="D14">
            <v>8463957.799999997</v>
          </cell>
          <cell r="E14">
            <v>15584345.629999999</v>
          </cell>
        </row>
        <row r="15">
          <cell r="A15" t="str">
            <v>Cauca</v>
          </cell>
          <cell r="B15">
            <v>73967280.649999976</v>
          </cell>
          <cell r="C15">
            <v>96135524.070000112</v>
          </cell>
          <cell r="D15">
            <v>9650465.8300000001</v>
          </cell>
          <cell r="E15">
            <v>11590209.129999997</v>
          </cell>
        </row>
        <row r="16">
          <cell r="A16" t="str">
            <v>Córdoba</v>
          </cell>
          <cell r="B16">
            <v>29063198.779999997</v>
          </cell>
          <cell r="C16">
            <v>94386570.670000046</v>
          </cell>
          <cell r="D16">
            <v>1193787.8299999996</v>
          </cell>
          <cell r="E16">
            <v>1723363.16</v>
          </cell>
        </row>
        <row r="17">
          <cell r="A17" t="str">
            <v>Boyacá</v>
          </cell>
          <cell r="B17">
            <v>78208994.919999897</v>
          </cell>
          <cell r="C17">
            <v>86788146.460000068</v>
          </cell>
          <cell r="D17">
            <v>17287233.909999996</v>
          </cell>
          <cell r="E17">
            <v>17485362.529999997</v>
          </cell>
        </row>
        <row r="18">
          <cell r="A18" t="str">
            <v>Norte de Santander</v>
          </cell>
          <cell r="B18">
            <v>60348148.870000094</v>
          </cell>
          <cell r="C18">
            <v>77370459.919999897</v>
          </cell>
          <cell r="D18">
            <v>5428965.8400000017</v>
          </cell>
          <cell r="E18">
            <v>6768384.3199999994</v>
          </cell>
        </row>
        <row r="19">
          <cell r="A19" t="str">
            <v>Huila</v>
          </cell>
          <cell r="B19">
            <v>19430129.86999999</v>
          </cell>
          <cell r="C19">
            <v>61196782.43</v>
          </cell>
          <cell r="D19">
            <v>2442283.9</v>
          </cell>
          <cell r="E19">
            <v>649518.43000000005</v>
          </cell>
        </row>
        <row r="20">
          <cell r="A20" t="str">
            <v>Casanare</v>
          </cell>
          <cell r="B20">
            <v>62443068.690000027</v>
          </cell>
          <cell r="C20">
            <v>49941305.819999874</v>
          </cell>
          <cell r="D20">
            <v>2712700.9000000013</v>
          </cell>
          <cell r="E20">
            <v>2293204.9100000011</v>
          </cell>
        </row>
        <row r="21">
          <cell r="A21" t="str">
            <v>Meta</v>
          </cell>
          <cell r="B21">
            <v>16071854.469999997</v>
          </cell>
          <cell r="C21">
            <v>32572410.449999969</v>
          </cell>
          <cell r="D21">
            <v>867609.28</v>
          </cell>
          <cell r="E21">
            <v>1711005.4800000002</v>
          </cell>
        </row>
        <row r="22">
          <cell r="A22" t="str">
            <v>Tolima</v>
          </cell>
          <cell r="B22">
            <v>13667973.78999999</v>
          </cell>
          <cell r="C22">
            <v>18343561.409999996</v>
          </cell>
          <cell r="D22">
            <v>2853370.2000000007</v>
          </cell>
          <cell r="E22">
            <v>3070702.4699999993</v>
          </cell>
        </row>
        <row r="23">
          <cell r="A23" t="str">
            <v>Quindío</v>
          </cell>
          <cell r="B23">
            <v>8777004.8999999966</v>
          </cell>
          <cell r="C23">
            <v>12393245.340000018</v>
          </cell>
          <cell r="D23">
            <v>959976.21000000008</v>
          </cell>
          <cell r="E23">
            <v>1133834.820000001</v>
          </cell>
        </row>
        <row r="24">
          <cell r="A24" t="str">
            <v>Aráuca</v>
          </cell>
          <cell r="B24">
            <v>606213.14000000013</v>
          </cell>
          <cell r="C24">
            <v>1764358.9800000002</v>
          </cell>
          <cell r="D24">
            <v>0</v>
          </cell>
          <cell r="E24">
            <v>624117.57000000007</v>
          </cell>
        </row>
        <row r="25">
          <cell r="A25" t="str">
            <v>Chocó</v>
          </cell>
          <cell r="B25">
            <v>535282.64</v>
          </cell>
          <cell r="C25">
            <v>1396512.48</v>
          </cell>
          <cell r="D25">
            <v>400263.45</v>
          </cell>
          <cell r="E25">
            <v>4388</v>
          </cell>
        </row>
        <row r="26">
          <cell r="A26" t="str">
            <v>Sucre</v>
          </cell>
          <cell r="B26">
            <v>1653839.0400000005</v>
          </cell>
          <cell r="C26">
            <v>1141405.1599999999</v>
          </cell>
          <cell r="D26">
            <v>55102.83</v>
          </cell>
          <cell r="E26">
            <v>250760.39</v>
          </cell>
        </row>
        <row r="27">
          <cell r="A27" t="str">
            <v>Putumayo</v>
          </cell>
          <cell r="B27">
            <v>386396.76000000007</v>
          </cell>
          <cell r="C27">
            <v>820569.66</v>
          </cell>
          <cell r="D27">
            <v>136163.59</v>
          </cell>
          <cell r="E27">
            <v>95172.45</v>
          </cell>
        </row>
        <row r="28">
          <cell r="A28" t="str">
            <v>Amazonas</v>
          </cell>
          <cell r="B28">
            <v>717507.03999999992</v>
          </cell>
          <cell r="C28">
            <v>768035.27000000014</v>
          </cell>
          <cell r="D28">
            <v>8997.89</v>
          </cell>
          <cell r="E28">
            <v>130050</v>
          </cell>
        </row>
        <row r="29">
          <cell r="A29" t="str">
            <v>Vichada</v>
          </cell>
          <cell r="B29">
            <v>22103.31</v>
          </cell>
          <cell r="C29">
            <v>295657.06999999995</v>
          </cell>
          <cell r="D29">
            <v>6608.32</v>
          </cell>
          <cell r="E29">
            <v>78266.98</v>
          </cell>
        </row>
        <row r="30">
          <cell r="A30" t="str">
            <v>Caquetá</v>
          </cell>
          <cell r="B30">
            <v>7931179.7400000002</v>
          </cell>
          <cell r="C30">
            <v>197623.02</v>
          </cell>
          <cell r="D30">
            <v>7636024</v>
          </cell>
          <cell r="E30">
            <v>366.14</v>
          </cell>
        </row>
        <row r="31">
          <cell r="A31" t="str">
            <v>San Andrés</v>
          </cell>
          <cell r="B31">
            <v>276982.20000000013</v>
          </cell>
          <cell r="C31">
            <v>132407.16999999998</v>
          </cell>
          <cell r="D31">
            <v>0</v>
          </cell>
          <cell r="E31">
            <v>0</v>
          </cell>
        </row>
        <row r="32">
          <cell r="A32" t="str">
            <v>Guaviare</v>
          </cell>
          <cell r="B32">
            <v>0</v>
          </cell>
          <cell r="C32">
            <v>34659.46</v>
          </cell>
          <cell r="D32">
            <v>0</v>
          </cell>
          <cell r="E32">
            <v>0</v>
          </cell>
        </row>
      </sheetData>
      <sheetData sheetId="6">
        <row r="2">
          <cell r="A2" t="str">
            <v>Bogotá</v>
          </cell>
          <cell r="B2">
            <v>6557619479.6600084</v>
          </cell>
          <cell r="C2">
            <v>8101535095.2298851</v>
          </cell>
          <cell r="D2">
            <v>690057505.53999794</v>
          </cell>
          <cell r="E2">
            <v>794915449.23999929</v>
          </cell>
        </row>
        <row r="3">
          <cell r="A3" t="str">
            <v>Cundinamarca</v>
          </cell>
          <cell r="B3">
            <v>435038671.31000221</v>
          </cell>
          <cell r="C3">
            <v>727635673.72000349</v>
          </cell>
          <cell r="D3">
            <v>42563247.369999975</v>
          </cell>
          <cell r="E3">
            <v>88821348.549999774</v>
          </cell>
        </row>
        <row r="4">
          <cell r="A4" t="str">
            <v>Valle del Cauca</v>
          </cell>
          <cell r="B4">
            <v>515668476.38000071</v>
          </cell>
          <cell r="C4">
            <v>485407383.41999573</v>
          </cell>
          <cell r="D4">
            <v>58373270.470000044</v>
          </cell>
          <cell r="E4">
            <v>32124720.58000005</v>
          </cell>
        </row>
        <row r="5">
          <cell r="A5" t="str">
            <v>Antioquia</v>
          </cell>
          <cell r="B5">
            <v>251642507.70000035</v>
          </cell>
          <cell r="C5">
            <v>420859146.58999854</v>
          </cell>
          <cell r="D5">
            <v>29211348.010000005</v>
          </cell>
          <cell r="E5">
            <v>41529994.79999996</v>
          </cell>
        </row>
        <row r="6">
          <cell r="A6" t="str">
            <v>Atlántico</v>
          </cell>
          <cell r="B6">
            <v>97659487.609999716</v>
          </cell>
          <cell r="C6">
            <v>122177661.04999994</v>
          </cell>
          <cell r="D6">
            <v>9019074.9699999969</v>
          </cell>
          <cell r="E6">
            <v>12991394.689999999</v>
          </cell>
        </row>
        <row r="7">
          <cell r="A7" t="str">
            <v>Bolívar</v>
          </cell>
          <cell r="B7">
            <v>108876573.93000031</v>
          </cell>
          <cell r="C7">
            <v>98165875.7700001</v>
          </cell>
          <cell r="D7">
            <v>4619770.339999998</v>
          </cell>
          <cell r="E7">
            <v>14280108.320000006</v>
          </cell>
        </row>
        <row r="8">
          <cell r="A8" t="str">
            <v>Santander</v>
          </cell>
          <cell r="B8">
            <v>37269673.420000032</v>
          </cell>
          <cell r="C8">
            <v>60763839.580000095</v>
          </cell>
          <cell r="D8">
            <v>3062364.47</v>
          </cell>
          <cell r="E8">
            <v>3227490.8900000006</v>
          </cell>
        </row>
        <row r="9">
          <cell r="A9" t="str">
            <v>Risaralda</v>
          </cell>
          <cell r="B9">
            <v>22778590.43000003</v>
          </cell>
          <cell r="C9">
            <v>29846112.280000072</v>
          </cell>
          <cell r="D9">
            <v>3528937.5199999996</v>
          </cell>
          <cell r="E9">
            <v>3680030.7700000005</v>
          </cell>
        </row>
        <row r="10">
          <cell r="A10" t="str">
            <v>Guajira</v>
          </cell>
          <cell r="B10">
            <v>22912685.560000006</v>
          </cell>
          <cell r="C10">
            <v>29478376.219999913</v>
          </cell>
          <cell r="D10">
            <v>1707097.4799999981</v>
          </cell>
          <cell r="E10">
            <v>2674534.1999999983</v>
          </cell>
        </row>
        <row r="11">
          <cell r="A11" t="str">
            <v>Meta</v>
          </cell>
          <cell r="B11">
            <v>54856216.330000028</v>
          </cell>
          <cell r="C11">
            <v>26722810.990000002</v>
          </cell>
          <cell r="D11">
            <v>195253.41</v>
          </cell>
          <cell r="E11">
            <v>502003.47000000003</v>
          </cell>
        </row>
        <row r="12">
          <cell r="A12" t="str">
            <v>Cesar</v>
          </cell>
          <cell r="B12">
            <v>23681364.499999978</v>
          </cell>
          <cell r="C12">
            <v>21103960.530000024</v>
          </cell>
          <cell r="D12">
            <v>848812.29000000027</v>
          </cell>
          <cell r="E12">
            <v>1259376.4999999981</v>
          </cell>
        </row>
        <row r="13">
          <cell r="A13" t="str">
            <v>Casanare</v>
          </cell>
          <cell r="B13">
            <v>21888980.610000018</v>
          </cell>
          <cell r="C13">
            <v>21017556.770000014</v>
          </cell>
          <cell r="D13">
            <v>381305.27999999985</v>
          </cell>
          <cell r="E13">
            <v>539233.95000000019</v>
          </cell>
        </row>
        <row r="14">
          <cell r="A14" t="str">
            <v>Cauca</v>
          </cell>
          <cell r="B14">
            <v>18222438.829999987</v>
          </cell>
          <cell r="C14">
            <v>17631917.519999985</v>
          </cell>
          <cell r="D14">
            <v>1287455.5099999995</v>
          </cell>
          <cell r="E14">
            <v>1352523.98</v>
          </cell>
        </row>
        <row r="15">
          <cell r="A15" t="str">
            <v>Magdalena</v>
          </cell>
          <cell r="B15">
            <v>69321499.550000027</v>
          </cell>
          <cell r="C15">
            <v>17250576.890000001</v>
          </cell>
          <cell r="D15">
            <v>950507.03000000026</v>
          </cell>
          <cell r="E15">
            <v>602557.19000000006</v>
          </cell>
        </row>
        <row r="16">
          <cell r="A16" t="str">
            <v>Tolima</v>
          </cell>
          <cell r="B16">
            <v>3283875.8599999989</v>
          </cell>
          <cell r="C16">
            <v>11706859.800000016</v>
          </cell>
          <cell r="D16">
            <v>332557.06</v>
          </cell>
          <cell r="E16">
            <v>6409890.1499999994</v>
          </cell>
        </row>
        <row r="17">
          <cell r="A17" t="str">
            <v>Caldas</v>
          </cell>
          <cell r="B17">
            <v>9102315.4300000016</v>
          </cell>
          <cell r="C17">
            <v>7407902.2599999998</v>
          </cell>
          <cell r="D17">
            <v>778066.90000000026</v>
          </cell>
          <cell r="E17">
            <v>703196</v>
          </cell>
        </row>
        <row r="18">
          <cell r="A18" t="str">
            <v>Boyacá</v>
          </cell>
          <cell r="B18">
            <v>13473669.010000002</v>
          </cell>
          <cell r="C18">
            <v>7323632.6300000027</v>
          </cell>
          <cell r="D18">
            <v>569742.16</v>
          </cell>
          <cell r="E18">
            <v>654115.82999999996</v>
          </cell>
        </row>
        <row r="19">
          <cell r="A19" t="str">
            <v>Norte de Santander</v>
          </cell>
          <cell r="B19">
            <v>2243641.6799999992</v>
          </cell>
          <cell r="C19">
            <v>4473852.1400000034</v>
          </cell>
          <cell r="D19">
            <v>214144.78000000003</v>
          </cell>
          <cell r="E19">
            <v>288636.86999999988</v>
          </cell>
        </row>
        <row r="20">
          <cell r="A20" t="str">
            <v>Huila</v>
          </cell>
          <cell r="B20">
            <v>7599374.0499999952</v>
          </cell>
          <cell r="C20">
            <v>3655326.8000000007</v>
          </cell>
          <cell r="D20">
            <v>282376.57999999996</v>
          </cell>
          <cell r="E20">
            <v>103675.65</v>
          </cell>
        </row>
        <row r="21">
          <cell r="A21" t="str">
            <v>Córdoba</v>
          </cell>
          <cell r="B21">
            <v>2752762.140000002</v>
          </cell>
          <cell r="C21">
            <v>3383244.2899999977</v>
          </cell>
          <cell r="D21">
            <v>197529.70000000007</v>
          </cell>
          <cell r="E21">
            <v>270054.38999999996</v>
          </cell>
        </row>
        <row r="22">
          <cell r="A22" t="str">
            <v>Nariño</v>
          </cell>
          <cell r="B22">
            <v>1491819.4600000002</v>
          </cell>
          <cell r="C22">
            <v>2583419.669999999</v>
          </cell>
          <cell r="D22">
            <v>189810.01</v>
          </cell>
          <cell r="E22">
            <v>206758.13999999996</v>
          </cell>
        </row>
        <row r="23">
          <cell r="A23" t="str">
            <v>Quindío</v>
          </cell>
          <cell r="B23">
            <v>2012197.1999999969</v>
          </cell>
          <cell r="C23">
            <v>2101524.9500000007</v>
          </cell>
          <cell r="D23">
            <v>68571.600000000006</v>
          </cell>
          <cell r="E23">
            <v>173770.11</v>
          </cell>
        </row>
        <row r="24">
          <cell r="A24" t="str">
            <v>Sucre</v>
          </cell>
          <cell r="B24">
            <v>303110.3299999999</v>
          </cell>
          <cell r="C24">
            <v>1320552.5500000005</v>
          </cell>
          <cell r="D24">
            <v>22509.86</v>
          </cell>
          <cell r="E24">
            <v>17048.8</v>
          </cell>
        </row>
        <row r="25">
          <cell r="A25" t="str">
            <v>San Andrés</v>
          </cell>
          <cell r="B25">
            <v>38237.659999999996</v>
          </cell>
          <cell r="C25">
            <v>949703</v>
          </cell>
          <cell r="D25">
            <v>0</v>
          </cell>
          <cell r="E25">
            <v>19837.5</v>
          </cell>
        </row>
        <row r="26">
          <cell r="A26" t="str">
            <v>Aráuca</v>
          </cell>
          <cell r="B26">
            <v>543984.29</v>
          </cell>
          <cell r="C26">
            <v>250544.37</v>
          </cell>
          <cell r="D26">
            <v>10295.23</v>
          </cell>
          <cell r="E26">
            <v>5583.77</v>
          </cell>
        </row>
        <row r="27">
          <cell r="A27" t="str">
            <v>Caquetá</v>
          </cell>
          <cell r="B27">
            <v>124159.17999999998</v>
          </cell>
          <cell r="C27">
            <v>149434.53</v>
          </cell>
          <cell r="D27">
            <v>4672.59</v>
          </cell>
          <cell r="E27">
            <v>7453.38</v>
          </cell>
        </row>
        <row r="28">
          <cell r="A28" t="str">
            <v>Vichada</v>
          </cell>
          <cell r="B28">
            <v>92752.08</v>
          </cell>
          <cell r="C28">
            <v>127693.97999999998</v>
          </cell>
          <cell r="D28">
            <v>0</v>
          </cell>
          <cell r="E28">
            <v>1539.56</v>
          </cell>
        </row>
        <row r="29">
          <cell r="A29" t="str">
            <v>Putumayo</v>
          </cell>
          <cell r="B29">
            <v>77074.720000000016</v>
          </cell>
          <cell r="C29">
            <v>81065.080000000016</v>
          </cell>
          <cell r="D29">
            <v>9331.17</v>
          </cell>
          <cell r="E29">
            <v>0</v>
          </cell>
        </row>
        <row r="30">
          <cell r="A30" t="str">
            <v>Amazonas</v>
          </cell>
          <cell r="B30">
            <v>22435.85</v>
          </cell>
          <cell r="C30">
            <v>53199.81</v>
          </cell>
          <cell r="D30">
            <v>0</v>
          </cell>
          <cell r="E30">
            <v>8.2100000000000009</v>
          </cell>
        </row>
        <row r="31">
          <cell r="A31" t="str">
            <v>Chocó</v>
          </cell>
          <cell r="B31">
            <v>81114.67</v>
          </cell>
          <cell r="C31">
            <v>6936.7999999999984</v>
          </cell>
          <cell r="D31">
            <v>0</v>
          </cell>
          <cell r="E31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8"/>
  <sheetViews>
    <sheetView tabSelected="1" zoomScale="85" zoomScaleNormal="85" zoomScaleSheetLayoutView="100" zoomScalePageLayoutView="80" workbookViewId="0">
      <selection activeCell="E18" sqref="E18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6" t="s">
        <v>0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103" t="s">
        <v>25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5"/>
      <c r="G14" s="28" t="s">
        <v>47</v>
      </c>
      <c r="H14" s="34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79</v>
      </c>
      <c r="H15" s="103" t="s">
        <v>49</v>
      </c>
      <c r="K15" s="103"/>
      <c r="L15" s="32"/>
      <c r="M15" s="103" t="s">
        <v>49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131</v>
      </c>
      <c r="H16" s="103" t="s">
        <v>65</v>
      </c>
      <c r="K16" s="103"/>
      <c r="M16" s="103" t="s">
        <v>80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76</v>
      </c>
      <c r="H17" s="103" t="s">
        <v>64</v>
      </c>
      <c r="K17" s="103"/>
      <c r="M17" s="103" t="s">
        <v>31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77</v>
      </c>
      <c r="H18" s="103" t="s">
        <v>127</v>
      </c>
      <c r="K18" s="103"/>
      <c r="M18" s="103" t="s">
        <v>48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75</v>
      </c>
      <c r="H19" s="103" t="s">
        <v>44</v>
      </c>
      <c r="K19" s="103"/>
      <c r="M19" s="103" t="s">
        <v>44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81</v>
      </c>
      <c r="G20" s="32"/>
      <c r="H20" s="103" t="s">
        <v>45</v>
      </c>
      <c r="I20" s="33"/>
      <c r="K20" s="103"/>
      <c r="M20" s="103" t="s">
        <v>45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78</v>
      </c>
      <c r="G21" s="32"/>
      <c r="H21" s="103" t="s">
        <v>46</v>
      </c>
      <c r="I21" s="33"/>
      <c r="K21" s="103"/>
      <c r="M21" s="103" t="s">
        <v>46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43</v>
      </c>
      <c r="G22" s="103"/>
      <c r="H22" s="103" t="s">
        <v>82</v>
      </c>
      <c r="I22" s="33"/>
      <c r="K22" s="103"/>
      <c r="L22" s="36"/>
      <c r="N22" s="29"/>
      <c r="P22" s="29"/>
      <c r="Q22" s="29"/>
      <c r="R22" s="16"/>
      <c r="S22" s="9"/>
    </row>
    <row r="23" spans="1:19" ht="16.5" customHeight="1">
      <c r="A23" s="14"/>
      <c r="C23" s="103" t="s">
        <v>44</v>
      </c>
      <c r="H23" s="103" t="s">
        <v>83</v>
      </c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45</v>
      </c>
      <c r="H24" s="103" t="s">
        <v>84</v>
      </c>
      <c r="I24" s="3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46</v>
      </c>
      <c r="H25" s="103" t="s">
        <v>130</v>
      </c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139</v>
      </c>
      <c r="H26" s="103" t="s">
        <v>86</v>
      </c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140</v>
      </c>
      <c r="D27" s="32"/>
      <c r="E27" s="30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141</v>
      </c>
      <c r="I28" s="9"/>
      <c r="K28" s="103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C29" s="103" t="s">
        <v>142</v>
      </c>
      <c r="E29" s="33"/>
      <c r="I29" s="9"/>
      <c r="K29" s="103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03" t="s">
        <v>143</v>
      </c>
      <c r="D30" s="36"/>
      <c r="E30" s="33"/>
      <c r="I30" s="9"/>
      <c r="K30" s="103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C31" s="103" t="s">
        <v>61</v>
      </c>
      <c r="D31" s="36"/>
      <c r="E31" s="33"/>
      <c r="H31" s="9"/>
      <c r="I31" s="9"/>
      <c r="K31" s="103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C32" s="103" t="s">
        <v>132</v>
      </c>
      <c r="D32" s="36"/>
      <c r="E32" s="33"/>
      <c r="H32" s="9"/>
      <c r="I32" s="9"/>
      <c r="K32" s="103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C33" s="103" t="s">
        <v>85</v>
      </c>
      <c r="D33" s="36"/>
      <c r="E33" s="33"/>
      <c r="H33" s="9"/>
      <c r="I33" s="9"/>
      <c r="K33" s="103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C34" s="103" t="s">
        <v>88</v>
      </c>
      <c r="D34" s="32"/>
      <c r="E34" s="94"/>
      <c r="H34" s="9"/>
      <c r="I34" s="9"/>
      <c r="K34" s="103"/>
      <c r="L34" s="26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4"/>
      <c r="H35" s="9"/>
      <c r="I35" s="9"/>
      <c r="K35" s="103"/>
      <c r="L35" s="36"/>
      <c r="M35" s="9"/>
      <c r="N35" s="26"/>
      <c r="P35" s="26"/>
      <c r="Q35" s="26"/>
      <c r="R35" s="16"/>
      <c r="S35" s="9"/>
    </row>
    <row r="36" spans="1:19" ht="16.5" customHeight="1">
      <c r="A36" s="14"/>
      <c r="B36" s="32"/>
      <c r="D36" s="32"/>
      <c r="E36" s="30"/>
      <c r="H36" s="9"/>
      <c r="I36" s="9"/>
      <c r="K36" s="103"/>
      <c r="L36" s="1"/>
      <c r="M36" s="9"/>
      <c r="N36" s="26"/>
      <c r="P36" s="26"/>
      <c r="Q36" s="26"/>
      <c r="R36" s="16"/>
      <c r="S36" s="9"/>
    </row>
    <row r="37" spans="1:19" ht="17.25">
      <c r="A37" s="14"/>
      <c r="B37" s="32"/>
      <c r="C37" s="32"/>
      <c r="D37" s="32"/>
      <c r="E37" s="95"/>
      <c r="H37" s="9"/>
      <c r="I37" s="4"/>
      <c r="K37" s="103"/>
      <c r="L37" s="27"/>
      <c r="M37" s="27"/>
      <c r="N37" s="27"/>
      <c r="P37" s="27"/>
      <c r="Q37" s="27"/>
      <c r="R37" s="16"/>
      <c r="S37" s="9"/>
    </row>
    <row r="38" spans="1:19">
      <c r="A38" s="17"/>
      <c r="B38" s="18" t="s">
        <v>21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Principales_paises!A1" display="Principales países de origen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4" location="'Histórico impo México'!A1" display="Importaciones de México"/>
    <hyperlink ref="H23" location="'Histórico impo China'!A1" display="Importaciones de China"/>
    <hyperlink ref="H26:H27" location="'Histórico expo Venezuela total'!A1" display="Exportaciones a Venezuela"/>
    <hyperlink ref="H26" location="'Histórico impo Alemania'!A1" display="Importaciones de Alemania"/>
    <hyperlink ref="H25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H19" location="'Histórico impo baja tek'!A1" display="Manufacturas de baja tecnología"/>
    <hyperlink ref="H18" location="'Histórico impo rec naturales'!A1" display="Manufacturas basadas en recursos naturales"/>
    <hyperlink ref="C17" location="'País de origen con Reducción'!A1" display="País de destino con reducción"/>
    <hyperlink ref="C18" location="'Por país de origen con Aumento'!A1" display="País de origen con aumento"/>
    <hyperlink ref="C19" location="'Resumen impo pais origen'!A1" display="Resumen país de origen"/>
    <hyperlink ref="C20" location="'Impo pais origen primarios'!A1" display="País de destino origen primarios"/>
    <hyperlink ref="C21" location="'Impo pais destino manufacturas'!A1" display="País de origen manufacturas"/>
    <hyperlink ref="C22" location="'Impo pais origen rec naturales'!A1" display="Manufacturas basadas rec naturales"/>
    <hyperlink ref="C23" location="'Impo pais origen baja tek'!A1" display="Manufacturas de baja tecnología"/>
    <hyperlink ref="C24" location="'Impo pais origen media tek'!A1" display="Manufacturas de tecnología media"/>
    <hyperlink ref="C25" location="'Impo pais destino alta tek'!A1" display="Manufacturas de alta tecnología"/>
    <hyperlink ref="C31" location="'Resumen actividades economicas'!A1" display="Importaciones por actividad económica"/>
    <hyperlink ref="C33" location="'Resumen subpartidas'!A1" display="Importaciones por subpartidas"/>
    <hyperlink ref="C32" location="'Resumen capítulos'!A1" display="Importaciones por capítulos arancelarios"/>
    <hyperlink ref="C34" location="'Resumen cuode'!A1" display="Importaciones por uso o destino económico"/>
    <hyperlink ref="C26" location="'Productos EEUU'!A1" display="Productos importados de EEUU"/>
    <hyperlink ref="C27:C30" location="'Productos EEUU'!A1" display="Productos importados de EEUU"/>
    <hyperlink ref="C27" location="'Productos México'!A1" display="Productos importados de México"/>
    <hyperlink ref="C28" location="'Productos China'!A1" display="Productos importados de China"/>
    <hyperlink ref="C29" location="'Productos Brasil'!A1" display="Productos importados de Brasil"/>
    <hyperlink ref="C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7"/>
      <c r="D7" s="117"/>
      <c r="E7" s="117"/>
      <c r="F7" s="117"/>
      <c r="G7" s="117"/>
      <c r="H7" s="117"/>
      <c r="I7" s="117"/>
      <c r="J7" s="16"/>
    </row>
    <row r="8" spans="1:13">
      <c r="A8" s="14"/>
      <c r="B8" s="117" t="s">
        <v>23</v>
      </c>
      <c r="C8" s="117"/>
      <c r="D8" s="117"/>
      <c r="E8" s="117"/>
      <c r="F8" s="117"/>
      <c r="G8" s="117"/>
      <c r="H8" s="117"/>
      <c r="I8" s="8"/>
      <c r="J8" s="16"/>
    </row>
    <row r="9" spans="1:13" ht="15.75" customHeight="1">
      <c r="A9" s="14"/>
      <c r="B9" s="117" t="s">
        <v>24</v>
      </c>
      <c r="C9" s="117"/>
      <c r="D9" s="117"/>
      <c r="E9" s="117"/>
      <c r="F9" s="117"/>
      <c r="G9" s="117"/>
      <c r="H9" s="117"/>
      <c r="I9" s="3"/>
      <c r="J9" s="16"/>
    </row>
    <row r="10" spans="1:13">
      <c r="A10" s="14"/>
      <c r="B10" s="9"/>
      <c r="C10" s="114"/>
      <c r="D10" s="114"/>
      <c r="E10" s="114"/>
      <c r="F10" s="114"/>
      <c r="G10" s="114"/>
      <c r="H10" s="114"/>
      <c r="I10" s="114"/>
      <c r="J10" s="16"/>
      <c r="M10" s="2"/>
    </row>
    <row r="11" spans="1:13" ht="12" customHeight="1">
      <c r="A11" s="14"/>
      <c r="B11" s="9"/>
      <c r="C11" s="114"/>
      <c r="D11" s="114"/>
      <c r="E11" s="114"/>
      <c r="F11" s="114"/>
      <c r="G11" s="114"/>
      <c r="H11" s="114"/>
      <c r="I11" s="114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54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tr">
        <f>IF(F27="","",1)</f>
        <v/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tr">
        <f>IF(F28="","",1)</f>
        <v/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tr">
        <f>IF(F29="","",1)</f>
        <v/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tr">
        <f>IF(F30="","",1)</f>
        <v/>
      </c>
    </row>
    <row r="31" spans="1:12">
      <c r="A31" s="14"/>
      <c r="B31" s="91" t="s">
        <v>146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147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148</v>
      </c>
      <c r="C33" s="4"/>
      <c r="D33" s="4"/>
      <c r="E33" s="4"/>
      <c r="F33" s="5"/>
      <c r="G33" s="6"/>
      <c r="H33" s="6"/>
      <c r="I33" s="6"/>
      <c r="J33" s="16"/>
    </row>
    <row r="34" spans="1:12">
      <c r="A34" s="17"/>
      <c r="B34" s="39" t="s">
        <v>149</v>
      </c>
      <c r="C34" s="86"/>
      <c r="D34" s="86"/>
      <c r="E34" s="86"/>
      <c r="F34" s="115"/>
      <c r="G34" s="87"/>
      <c r="H34" s="87"/>
      <c r="I34" s="87"/>
      <c r="J34" s="19"/>
    </row>
    <row r="35" spans="1:12">
      <c r="B35" s="20"/>
      <c r="C35" s="20"/>
      <c r="D35" s="20"/>
      <c r="E35" s="20"/>
      <c r="F35" s="93"/>
      <c r="G35" s="93"/>
      <c r="H35" s="92"/>
      <c r="I35" s="92"/>
      <c r="J35" s="92"/>
      <c r="K35" s="92"/>
      <c r="L35" s="92"/>
    </row>
    <row r="36" spans="1:12">
      <c r="B36" s="20"/>
      <c r="C36" s="20"/>
      <c r="D36" s="20"/>
      <c r="E36" s="20"/>
      <c r="F36" s="93"/>
      <c r="G36" s="93"/>
      <c r="H36" s="92"/>
      <c r="I36" s="92"/>
      <c r="J36" s="92"/>
      <c r="K36" s="92"/>
      <c r="L36" s="92"/>
    </row>
    <row r="37" spans="1:12">
      <c r="B37" s="93"/>
      <c r="C37" s="93"/>
      <c r="D37" s="93"/>
      <c r="E37" s="93"/>
      <c r="F37" s="93"/>
      <c r="G37" s="93"/>
      <c r="H37" s="92"/>
      <c r="I37" s="92"/>
      <c r="J37" s="92"/>
      <c r="K37" s="92"/>
      <c r="L37" s="92"/>
    </row>
    <row r="38" spans="1:12">
      <c r="B38" s="93"/>
      <c r="C38" s="93"/>
      <c r="D38" s="93"/>
      <c r="E38" s="93"/>
      <c r="F38" s="93"/>
      <c r="G38" s="93"/>
      <c r="H38" s="92"/>
      <c r="I38" s="92"/>
      <c r="J38" s="92"/>
      <c r="K38" s="92"/>
      <c r="L38" s="92"/>
    </row>
    <row r="39" spans="1:12">
      <c r="B39" s="93"/>
      <c r="C39" s="93"/>
      <c r="D39" s="93"/>
      <c r="E39" s="93"/>
      <c r="F39" s="93"/>
      <c r="G39" s="93"/>
      <c r="H39" s="92"/>
      <c r="I39" s="92"/>
      <c r="J39" s="92"/>
      <c r="K39" s="92"/>
      <c r="L39" s="92"/>
    </row>
    <row r="40" spans="1:12"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</row>
    <row r="41" spans="1:1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zoomScaleSheetLayoutView="100" workbookViewId="0">
      <pane ySplit="11" topLeftCell="A12" activePane="bottomLeft" state="frozen"/>
      <selection sqref="A1:XFD1048576"/>
      <selection pane="bottomLeft" activeCell="J17" sqref="J17"/>
    </sheetView>
  </sheetViews>
  <sheetFormatPr baseColWidth="10" defaultColWidth="10.85546875" defaultRowHeight="15.75"/>
  <cols>
    <col min="1" max="1" width="1.85546875" style="7" customWidth="1"/>
    <col min="2" max="2" width="24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49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37">
        <v>2010</v>
      </c>
      <c r="D11" s="37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54</v>
      </c>
      <c r="C13" s="23">
        <f>+[6]Total_impo!A2</f>
        <v>16196.148383640118</v>
      </c>
      <c r="D13" s="23">
        <f>+[6]Total_impo!B2</f>
        <v>23038.904279779941</v>
      </c>
      <c r="E13" s="25">
        <f>IF(OR(OR(D13=0,C13=0),D13=""),"",(D13/C13-1)*100)</f>
        <v>42.249278865904657</v>
      </c>
      <c r="F13" s="23">
        <f t="shared" ref="F13:F19" si="0">(D13/D$13)*100</f>
        <v>100</v>
      </c>
      <c r="G13" s="23">
        <f>+[6]Total_impo!C2</f>
        <v>1755.104618940001</v>
      </c>
      <c r="H13" s="23">
        <f>+[6]Total_impo!D2</f>
        <v>2635.0607067600013</v>
      </c>
      <c r="I13" s="25">
        <f>IF(OR(OR(H13=0,G13=0),H13=""),"",(H13/G13-1)*100)</f>
        <v>50.136959262944188</v>
      </c>
      <c r="J13" s="23">
        <f>(H13/H$13)*100</f>
        <v>100</v>
      </c>
      <c r="K13" s="16"/>
    </row>
    <row r="14" spans="1:14">
      <c r="A14" s="14" t="s">
        <v>41</v>
      </c>
      <c r="B14" s="98" t="str">
        <f>CONCATENATE(A14,[6]resumen_ciiu!A2)</f>
        <v xml:space="preserve">   Productos químicos</v>
      </c>
      <c r="C14" s="21">
        <f>+[6]resumen_ciiu!B2</f>
        <v>2742.2591353300331</v>
      </c>
      <c r="D14" s="23">
        <f>+[6]resumen_ciiu!C2</f>
        <v>3222.6243551999887</v>
      </c>
      <c r="E14" s="22">
        <f t="shared" ref="E14:E19" si="1">IF(OR(OR(D14=0,C14=0),D14=""),"",(D14/C14-1)*100)</f>
        <v>17.517134456082072</v>
      </c>
      <c r="F14" s="22">
        <f t="shared" si="0"/>
        <v>13.987750094644561</v>
      </c>
      <c r="G14" s="21">
        <f>+[6]resumen_ciiu!D2</f>
        <v>272.64417519000017</v>
      </c>
      <c r="H14" s="23">
        <f>+[6]resumen_ciiu!E2</f>
        <v>317.69908119000024</v>
      </c>
      <c r="I14" s="22">
        <f t="shared" ref="I14:I18" si="2">IF(OR(OR(H14=0,G14=0),H14=""),"",(H14/G14-1)*100)</f>
        <v>16.52516726924469</v>
      </c>
      <c r="J14" s="22">
        <f>(H14/H$13)*100</f>
        <v>12.056613359038487</v>
      </c>
      <c r="K14" s="16"/>
    </row>
    <row r="15" spans="1:14">
      <c r="A15" s="14" t="s">
        <v>41</v>
      </c>
      <c r="B15" s="98" t="str">
        <f>CONCATENATE(A15,[6]resumen_ciiu!A3)</f>
        <v xml:space="preserve">   Vehículos automotores</v>
      </c>
      <c r="C15" s="21">
        <f>+[6]resumen_ciiu!B3</f>
        <v>1548.5719187300242</v>
      </c>
      <c r="D15" s="23">
        <f>+[6]resumen_ciiu!C3</f>
        <v>2995.4643144099832</v>
      </c>
      <c r="E15" s="22">
        <f t="shared" si="1"/>
        <v>93.433981217129912</v>
      </c>
      <c r="F15" s="22">
        <f t="shared" si="0"/>
        <v>13.00176552683952</v>
      </c>
      <c r="G15" s="21">
        <f>+[6]resumen_ciiu!D3</f>
        <v>204.12505373000107</v>
      </c>
      <c r="H15" s="23">
        <f>+[6]resumen_ciiu!E3</f>
        <v>380.84883988000234</v>
      </c>
      <c r="I15" s="22">
        <f t="shared" si="2"/>
        <v>86.576234970037618</v>
      </c>
      <c r="J15" s="22">
        <f t="shared" ref="J15:J19" si="3">(H15/H$13)*100</f>
        <v>14.453133428879658</v>
      </c>
      <c r="K15" s="16"/>
    </row>
    <row r="16" spans="1:14">
      <c r="A16" s="14" t="s">
        <v>41</v>
      </c>
      <c r="B16" s="98" t="str">
        <f>CONCATENATE(A16,[6]resumen_ciiu!A4)</f>
        <v xml:space="preserve">   Equipos de transporte</v>
      </c>
      <c r="C16" s="21">
        <f>+[6]resumen_ciiu!B4</f>
        <v>1980.8414367799996</v>
      </c>
      <c r="D16" s="23">
        <f>+[6]resumen_ciiu!C4</f>
        <v>2750.6237202599964</v>
      </c>
      <c r="E16" s="22">
        <f t="shared" si="1"/>
        <v>38.861378260106136</v>
      </c>
      <c r="F16" s="22">
        <f t="shared" si="0"/>
        <v>11.939038796537199</v>
      </c>
      <c r="G16" s="21">
        <f>+[6]resumen_ciiu!D4</f>
        <v>180.91700156999988</v>
      </c>
      <c r="H16" s="23">
        <f>+[6]resumen_ciiu!E4</f>
        <v>194.92312416000016</v>
      </c>
      <c r="I16" s="22">
        <f t="shared" si="2"/>
        <v>7.741739288433358</v>
      </c>
      <c r="J16" s="22">
        <f t="shared" si="3"/>
        <v>7.3972915940776307</v>
      </c>
      <c r="K16" s="16"/>
    </row>
    <row r="17" spans="1:13">
      <c r="A17" s="14" t="s">
        <v>41</v>
      </c>
      <c r="B17" s="98" t="str">
        <f>CONCATENATE(A17,[6]resumen_ciiu!A5)</f>
        <v xml:space="preserve">   Maquinaria y equipo</v>
      </c>
      <c r="C17" s="21">
        <f>+[6]resumen_ciiu!B5</f>
        <v>1756.7698112300445</v>
      </c>
      <c r="D17" s="23">
        <f>+[6]resumen_ciiu!C5</f>
        <v>2438.3305887899583</v>
      </c>
      <c r="E17" s="22">
        <f t="shared" si="1"/>
        <v>38.796248273568779</v>
      </c>
      <c r="F17" s="22">
        <f t="shared" si="0"/>
        <v>10.583535393781531</v>
      </c>
      <c r="G17" s="21">
        <f>+[6]resumen_ciiu!D5</f>
        <v>230.16523317999983</v>
      </c>
      <c r="H17" s="23">
        <f>+[6]resumen_ciiu!E5</f>
        <v>274.10431349999948</v>
      </c>
      <c r="I17" s="22">
        <f t="shared" si="2"/>
        <v>19.090233443570192</v>
      </c>
      <c r="J17" s="22">
        <f t="shared" si="3"/>
        <v>10.402201087694509</v>
      </c>
      <c r="K17" s="16"/>
    </row>
    <row r="18" spans="1:13" ht="15.75" customHeight="1">
      <c r="A18" s="14" t="s">
        <v>41</v>
      </c>
      <c r="B18" s="98" t="str">
        <f>CONCATENATE(A18,[6]resumen_ciiu!A6)</f>
        <v xml:space="preserve">   Equipo de radio</v>
      </c>
      <c r="C18" s="21">
        <f>+[6]resumen_ciiu!B6</f>
        <v>1684.4235624600178</v>
      </c>
      <c r="D18" s="23">
        <f>+[6]resumen_ciiu!C6</f>
        <v>2045.1518745300057</v>
      </c>
      <c r="E18" s="22">
        <f t="shared" si="1"/>
        <v>21.415534673663792</v>
      </c>
      <c r="F18" s="22">
        <f t="shared" si="0"/>
        <v>8.8769493969595157</v>
      </c>
      <c r="G18" s="21">
        <f>+[6]resumen_ciiu!D6</f>
        <v>194.90066587999993</v>
      </c>
      <c r="H18" s="23">
        <f>+[6]resumen_ciiu!E6</f>
        <v>271.90726780999944</v>
      </c>
      <c r="I18" s="22">
        <f t="shared" si="2"/>
        <v>39.510692065778976</v>
      </c>
      <c r="J18" s="22">
        <f t="shared" si="3"/>
        <v>10.318823665521133</v>
      </c>
      <c r="K18" s="16"/>
    </row>
    <row r="19" spans="1:13">
      <c r="A19" s="14" t="s">
        <v>41</v>
      </c>
      <c r="B19" s="9" t="s">
        <v>42</v>
      </c>
      <c r="C19" s="21">
        <f>+C13-SUM(C14:C18)</f>
        <v>6483.2825191100001</v>
      </c>
      <c r="D19" s="23">
        <f>+D13-SUM(D14:D18)</f>
        <v>9586.7094265900087</v>
      </c>
      <c r="E19" s="22">
        <f t="shared" si="1"/>
        <v>47.868142385163793</v>
      </c>
      <c r="F19" s="22">
        <f t="shared" si="0"/>
        <v>41.610960791237666</v>
      </c>
      <c r="G19" s="21">
        <f>+G13-SUM(G14:G18)</f>
        <v>672.35248939000007</v>
      </c>
      <c r="H19" s="23">
        <f t="shared" ref="H19" si="4">+H13-SUM(H14:H18)</f>
        <v>1195.5780802199997</v>
      </c>
      <c r="I19" s="22">
        <f t="shared" ref="I19" si="5">IF(OR(OR(H19=0,G19=0),H19=""),"",(H19/G19-1)*100)</f>
        <v>77.820131417183021</v>
      </c>
      <c r="J19" s="22">
        <f t="shared" si="3"/>
        <v>45.371936864788587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tr">
        <f>IF(F20="","",1)</f>
        <v/>
      </c>
    </row>
    <row r="21" spans="1:13">
      <c r="A21" s="14"/>
      <c r="B21" s="10" t="s">
        <v>54</v>
      </c>
      <c r="C21" s="23">
        <f>+C13</f>
        <v>16196.148383640118</v>
      </c>
      <c r="D21" s="23">
        <f>+D13</f>
        <v>23038.904279779941</v>
      </c>
      <c r="E21" s="25">
        <f>IF(OR(OR(D21=0,C21=0),D21=""),"",(D21/C21-1)*100)</f>
        <v>42.249278865904657</v>
      </c>
      <c r="F21" s="23">
        <f>(D21/D$21)*100</f>
        <v>100</v>
      </c>
      <c r="G21" s="25">
        <f>+G13</f>
        <v>1755.104618940001</v>
      </c>
      <c r="H21" s="25">
        <f>+H13</f>
        <v>2635.0607067600013</v>
      </c>
      <c r="I21" s="25">
        <f>IF(OR(OR(H21=0,G21=0),H21=""),"",(H21/G21-1)*100)</f>
        <v>50.136959262944188</v>
      </c>
      <c r="J21" s="23">
        <f>(H21/H$21)*100</f>
        <v>100</v>
      </c>
      <c r="K21" s="16"/>
    </row>
    <row r="22" spans="1:13">
      <c r="A22" s="14"/>
      <c r="B22" s="9" t="s">
        <v>27</v>
      </c>
      <c r="C22" s="21">
        <f>+[6]resumen_tecnologia!C2</f>
        <v>579.55623184999831</v>
      </c>
      <c r="D22" s="23">
        <f>+[6]resumen_tecnologia!D2</f>
        <v>760.56178642999885</v>
      </c>
      <c r="E22" s="22">
        <f t="shared" ref="E22:E28" si="6">IF(OR(OR(D22=0,C22=0),D22=""),"",(D22/C22-1)*100)</f>
        <v>31.231750196562235</v>
      </c>
      <c r="F22" s="22">
        <f>(D22/D$21)*100</f>
        <v>3.3012064167370356</v>
      </c>
      <c r="G22" s="22">
        <f>+[6]resumen_tecnologia!E2</f>
        <v>56.922102469999956</v>
      </c>
      <c r="H22" s="25">
        <f>+[6]resumen_tecnologia!F2</f>
        <v>83.698133489999961</v>
      </c>
      <c r="I22" s="22">
        <f t="shared" ref="I22:I28" si="7">IF(OR(OR(H22=0,G22=0),H22=""),"",(H22/G22-1)*100)</f>
        <v>47.039778676678281</v>
      </c>
      <c r="J22" s="22">
        <f>(H22/H$21)*100</f>
        <v>3.1763265747646816</v>
      </c>
      <c r="K22" s="16"/>
    </row>
    <row r="23" spans="1:13">
      <c r="A23" s="14"/>
      <c r="B23" s="9" t="s">
        <v>28</v>
      </c>
      <c r="C23" s="21">
        <f>SUM(C24:C27)</f>
        <v>15522.017220110105</v>
      </c>
      <c r="D23" s="23">
        <f>SUM(D24:D27)</f>
        <v>22184.330939319705</v>
      </c>
      <c r="E23" s="22">
        <f t="shared" si="6"/>
        <v>42.921700348186718</v>
      </c>
      <c r="F23" s="22">
        <f t="shared" ref="F23:F28" si="8">(D23/D$21)*100</f>
        <v>96.290737918425009</v>
      </c>
      <c r="G23" s="22">
        <f t="shared" ref="G23:H23" si="9">SUM(G24:G27)</f>
        <v>1690.0644989299967</v>
      </c>
      <c r="H23" s="25">
        <f t="shared" si="9"/>
        <v>2539.7678541600117</v>
      </c>
      <c r="I23" s="22">
        <f t="shared" si="7"/>
        <v>50.276386242535366</v>
      </c>
      <c r="J23" s="22">
        <f t="shared" ref="J23:J28" si="10">(H23/H$21)*100</f>
        <v>96.383656271920998</v>
      </c>
      <c r="K23" s="16"/>
    </row>
    <row r="24" spans="1:13">
      <c r="A24" s="14"/>
      <c r="B24" s="9" t="s">
        <v>37</v>
      </c>
      <c r="C24" s="21">
        <f>+[6]resumen_tecnologia!C3</f>
        <v>1644.8988826499753</v>
      </c>
      <c r="D24" s="23">
        <f>+[6]resumen_tecnologia!D3</f>
        <v>3286.8379814399818</v>
      </c>
      <c r="E24" s="22">
        <f t="shared" si="6"/>
        <v>99.820062868837226</v>
      </c>
      <c r="F24" s="22">
        <f t="shared" si="8"/>
        <v>14.266468324731354</v>
      </c>
      <c r="G24" s="22">
        <f>+[6]resumen_tecnologia!E3</f>
        <v>147.21041062000003</v>
      </c>
      <c r="H24" s="23">
        <f>+[6]resumen_tecnologia!F3</f>
        <v>529.76970511000059</v>
      </c>
      <c r="I24" s="22">
        <f t="shared" si="7"/>
        <v>259.87244575895909</v>
      </c>
      <c r="J24" s="22">
        <f t="shared" si="10"/>
        <v>20.104648965047602</v>
      </c>
      <c r="K24" s="16"/>
    </row>
    <row r="25" spans="1:13">
      <c r="A25" s="14"/>
      <c r="B25" s="9" t="s">
        <v>38</v>
      </c>
      <c r="C25" s="21">
        <f>+[6]resumen_tecnologia!C5</f>
        <v>2221.1914241400232</v>
      </c>
      <c r="D25" s="23">
        <f>+[6]resumen_tecnologia!D5</f>
        <v>3079.5935751900984</v>
      </c>
      <c r="E25" s="22">
        <f t="shared" si="6"/>
        <v>38.646023108180415</v>
      </c>
      <c r="F25" s="22">
        <f t="shared" si="8"/>
        <v>13.366927253970577</v>
      </c>
      <c r="G25" s="22">
        <f>+[6]resumen_tecnologia!E5</f>
        <v>255.13199222999981</v>
      </c>
      <c r="H25" s="25">
        <f>+[6]resumen_tecnologia!F5</f>
        <v>334.43166215000105</v>
      </c>
      <c r="I25" s="22">
        <f t="shared" si="7"/>
        <v>31.081821306248859</v>
      </c>
      <c r="J25" s="22">
        <f t="shared" si="10"/>
        <v>12.691611289715185</v>
      </c>
      <c r="K25" s="16"/>
    </row>
    <row r="26" spans="1:13">
      <c r="A26" s="14"/>
      <c r="B26" s="9" t="s">
        <v>39</v>
      </c>
      <c r="C26" s="21">
        <f>+[6]resumen_tecnologia!C6</f>
        <v>5098.3074336601976</v>
      </c>
      <c r="D26" s="23">
        <f>+[6]resumen_tecnologia!D6</f>
        <v>7716.3642874599209</v>
      </c>
      <c r="E26" s="22">
        <f t="shared" si="6"/>
        <v>51.351490428268612</v>
      </c>
      <c r="F26" s="22">
        <f t="shared" si="8"/>
        <v>33.492757267246326</v>
      </c>
      <c r="G26" s="22">
        <f>+[6]resumen_tecnologia!E6</f>
        <v>597.66459053999756</v>
      </c>
      <c r="H26" s="25">
        <f>+[6]resumen_tecnologia!F6</f>
        <v>880.65103765999356</v>
      </c>
      <c r="I26" s="22">
        <f t="shared" si="7"/>
        <v>47.348705544746103</v>
      </c>
      <c r="J26" s="22">
        <f t="shared" si="10"/>
        <v>33.420521789147621</v>
      </c>
      <c r="K26" s="16"/>
    </row>
    <row r="27" spans="1:13">
      <c r="A27" s="14"/>
      <c r="B27" s="9" t="s">
        <v>40</v>
      </c>
      <c r="C27" s="21">
        <f>+[6]resumen_tecnologia!C4</f>
        <v>6557.6194796599084</v>
      </c>
      <c r="D27" s="23">
        <f>+[6]resumen_tecnologia!D4</f>
        <v>8101.5350952297031</v>
      </c>
      <c r="E27" s="22">
        <f t="shared" si="6"/>
        <v>23.543842706314912</v>
      </c>
      <c r="F27" s="22">
        <f t="shared" si="8"/>
        <v>35.164585072476747</v>
      </c>
      <c r="G27" s="22">
        <f>+[6]resumen_tecnologia!E4</f>
        <v>690.05750553999928</v>
      </c>
      <c r="H27" s="25">
        <f>+[6]resumen_tecnologia!F4</f>
        <v>794.91544924001653</v>
      </c>
      <c r="I27" s="22">
        <f t="shared" si="7"/>
        <v>15.195537018028871</v>
      </c>
      <c r="J27" s="22">
        <f t="shared" si="10"/>
        <v>30.166874228010588</v>
      </c>
      <c r="K27" s="16"/>
    </row>
    <row r="28" spans="1:13">
      <c r="A28" s="14"/>
      <c r="B28" s="9" t="s">
        <v>87</v>
      </c>
      <c r="C28" s="21">
        <f>+[6]resumen_tecnologia!C7</f>
        <v>94.574931680000532</v>
      </c>
      <c r="D28" s="23">
        <f>+[6]resumen_tecnologia!D7</f>
        <v>94.01155403000044</v>
      </c>
      <c r="E28" s="22">
        <f t="shared" si="6"/>
        <v>-0.59569448266303393</v>
      </c>
      <c r="F28" s="22">
        <f t="shared" si="8"/>
        <v>0.40805566483693206</v>
      </c>
      <c r="G28" s="22">
        <f>+[6]resumen_tecnologia!E7</f>
        <v>8.118017539999995</v>
      </c>
      <c r="H28" s="25">
        <f>+[6]resumen_tecnologia!F7</f>
        <v>11.594719110000005</v>
      </c>
      <c r="I28" s="22">
        <f t="shared" si="7"/>
        <v>42.826977804238787</v>
      </c>
      <c r="J28" s="22">
        <f t="shared" si="10"/>
        <v>0.44001715331471641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tr">
        <f>IF(F29="","",1)</f>
        <v/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21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29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30</v>
      </c>
      <c r="D42" s="89">
        <f>D22</f>
        <v>760.56178642999885</v>
      </c>
      <c r="E42" s="20"/>
      <c r="G42" s="20"/>
      <c r="H42" s="89"/>
    </row>
    <row r="43" spans="1:11">
      <c r="B43" s="20"/>
      <c r="C43" s="20" t="s">
        <v>31</v>
      </c>
      <c r="D43" s="89">
        <f>D23</f>
        <v>22184.330939319705</v>
      </c>
      <c r="E43" s="20"/>
      <c r="G43" s="20"/>
      <c r="H43" s="89"/>
    </row>
    <row r="44" spans="1:11">
      <c r="C44" s="20" t="s">
        <v>87</v>
      </c>
      <c r="D44" s="89">
        <f>D28</f>
        <v>94.01155403000044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0">
        <v>2010</v>
      </c>
      <c r="D11" s="110">
        <v>2011</v>
      </c>
      <c r="E11" s="118"/>
      <c r="F11" s="118"/>
      <c r="G11" s="110">
        <v>2010</v>
      </c>
      <c r="H11" s="110">
        <v>2011</v>
      </c>
      <c r="I11" s="118"/>
      <c r="J11" s="118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54</v>
      </c>
      <c r="C13" s="22">
        <f>+'Resumen importaciones totales'!C13</f>
        <v>16196.148383640118</v>
      </c>
      <c r="D13" s="25">
        <f>+'Resumen importaciones totales'!D13</f>
        <v>23038.904279779941</v>
      </c>
      <c r="E13" s="22">
        <f>IF(OR(OR(D13=0,C13=0),D13=""),"",(D13/C13-1)*100)</f>
        <v>42.249278865904657</v>
      </c>
      <c r="F13" s="22">
        <f>(D13/D$13)*100</f>
        <v>100</v>
      </c>
      <c r="G13" s="22">
        <f>+'Resumen importaciones totales'!G13</f>
        <v>1755.104618940001</v>
      </c>
      <c r="H13" s="25">
        <f>+'Resumen importaciones totales'!H13</f>
        <v>2635.0607067600013</v>
      </c>
      <c r="I13" s="22">
        <f t="shared" ref="I13:I44" si="0">IF(OR(OR(H13=0,G13=0),H13=""),"",(H13/G13-1)*100)</f>
        <v>50.136959262944188</v>
      </c>
      <c r="J13" s="22">
        <f t="shared" ref="J13:J44" si="1">(H13/H$13)*100</f>
        <v>100</v>
      </c>
      <c r="K13" s="16"/>
    </row>
    <row r="14" spans="1:14">
      <c r="A14" s="14"/>
      <c r="B14" s="9" t="str">
        <f>+[6]Princ_paises_impo!B2</f>
        <v>Estados Unidos</v>
      </c>
      <c r="C14" s="22">
        <f>+[6]Princ_paises_impo!D2</f>
        <v>4261.0379399999983</v>
      </c>
      <c r="D14" s="25">
        <f>+[6]Princ_paises_impo!F2</f>
        <v>6547.866178940114</v>
      </c>
      <c r="E14" s="22">
        <f t="shared" ref="E14:E44" si="2">IF(OR(OR(D14=0,C14=0),D14=""),"",(D14/C14-1)*100)</f>
        <v>53.668337882485886</v>
      </c>
      <c r="F14" s="22">
        <f t="shared" ref="F14:F44" si="3">(D14/D$13)*100</f>
        <v>28.420909690079483</v>
      </c>
      <c r="G14" s="22">
        <f>+[6]Princ_paises_impo!E2</f>
        <v>430.88558867999797</v>
      </c>
      <c r="H14" s="25">
        <f>+[6]Princ_paises_impo!G2</f>
        <v>706.8763347800068</v>
      </c>
      <c r="I14" s="22">
        <f t="shared" si="0"/>
        <v>64.051978843269339</v>
      </c>
      <c r="J14" s="22">
        <f t="shared" si="1"/>
        <v>26.825808337795852</v>
      </c>
      <c r="K14" s="16"/>
    </row>
    <row r="15" spans="1:14">
      <c r="A15" s="14"/>
      <c r="B15" s="9" t="str">
        <f>+[6]Princ_paises_impo!B3</f>
        <v>México</v>
      </c>
      <c r="C15" s="22">
        <f>+[6]Princ_paises_impo!D3</f>
        <v>1484.1047346101475</v>
      </c>
      <c r="D15" s="25">
        <f>+[6]Princ_paises_impo!F3</f>
        <v>2927.892935710066</v>
      </c>
      <c r="E15" s="22">
        <f t="shared" si="2"/>
        <v>97.283444182204605</v>
      </c>
      <c r="F15" s="22">
        <f t="shared" si="3"/>
        <v>12.708473025254621</v>
      </c>
      <c r="G15" s="22">
        <f>+[6]Princ_paises_impo!E3</f>
        <v>149.63454290000027</v>
      </c>
      <c r="H15" s="25">
        <f>+[6]Princ_paises_impo!G3</f>
        <v>408.73668390999865</v>
      </c>
      <c r="I15" s="22">
        <f t="shared" si="0"/>
        <v>173.15663615396249</v>
      </c>
      <c r="J15" s="22">
        <f t="shared" si="1"/>
        <v>15.511471248515186</v>
      </c>
      <c r="K15" s="16"/>
    </row>
    <row r="16" spans="1:14">
      <c r="A16" s="14"/>
      <c r="B16" s="9" t="str">
        <f>+[6]Princ_paises_impo!B4</f>
        <v>China</v>
      </c>
      <c r="C16" s="22">
        <f>+[6]Princ_paises_impo!D4</f>
        <v>1666.7772031200186</v>
      </c>
      <c r="D16" s="25">
        <f>+[6]Princ_paises_impo!F4</f>
        <v>2507.376891739963</v>
      </c>
      <c r="E16" s="22">
        <f t="shared" si="2"/>
        <v>50.432636530331521</v>
      </c>
      <c r="F16" s="22">
        <f t="shared" si="3"/>
        <v>10.883229780769385</v>
      </c>
      <c r="G16" s="22">
        <f>+[6]Princ_paises_impo!E4</f>
        <v>201.17266083000061</v>
      </c>
      <c r="H16" s="25">
        <f>+[6]Princ_paises_impo!G4</f>
        <v>299.69130838000075</v>
      </c>
      <c r="I16" s="22">
        <f t="shared" si="0"/>
        <v>48.972184959691198</v>
      </c>
      <c r="J16" s="22">
        <f t="shared" si="1"/>
        <v>11.373222165666649</v>
      </c>
      <c r="K16" s="16"/>
    </row>
    <row r="17" spans="1:11">
      <c r="A17" s="14"/>
      <c r="B17" s="9" t="str">
        <f>+[6]Princ_paises_impo!B5</f>
        <v>Brasil</v>
      </c>
      <c r="C17" s="22">
        <f>+[6]Princ_paises_impo!D5</f>
        <v>782.67670545000408</v>
      </c>
      <c r="D17" s="25">
        <f>+[6]Princ_paises_impo!F5</f>
        <v>862.01595451999924</v>
      </c>
      <c r="E17" s="22">
        <f t="shared" si="2"/>
        <v>10.136912024790456</v>
      </c>
      <c r="F17" s="22">
        <f t="shared" si="3"/>
        <v>3.741566630304316</v>
      </c>
      <c r="G17" s="22">
        <f>+[6]Princ_paises_impo!E5</f>
        <v>73.47509142999985</v>
      </c>
      <c r="H17" s="25">
        <f>+[6]Princ_paises_impo!G5</f>
        <v>87.527580959999554</v>
      </c>
      <c r="I17" s="22">
        <f t="shared" si="0"/>
        <v>19.125514860212988</v>
      </c>
      <c r="J17" s="22">
        <f t="shared" si="1"/>
        <v>3.3216533014004477</v>
      </c>
      <c r="K17" s="16"/>
    </row>
    <row r="18" spans="1:11">
      <c r="A18" s="14"/>
      <c r="B18" s="9" t="str">
        <f>+[6]Princ_paises_impo!B6</f>
        <v>Alemania</v>
      </c>
      <c r="C18" s="22">
        <f>+[6]Princ_paises_impo!D6</f>
        <v>657.45659859001228</v>
      </c>
      <c r="D18" s="25">
        <f>+[6]Princ_paises_impo!F6</f>
        <v>772.42440864999708</v>
      </c>
      <c r="E18" s="22">
        <f t="shared" si="2"/>
        <v>17.486752784373284</v>
      </c>
      <c r="F18" s="22">
        <f t="shared" si="3"/>
        <v>3.3526959410474837</v>
      </c>
      <c r="G18" s="22">
        <f>+[6]Princ_paises_impo!E6</f>
        <v>60.017827650000129</v>
      </c>
      <c r="H18" s="25">
        <f>+[6]Princ_paises_impo!G6</f>
        <v>89.018608949999944</v>
      </c>
      <c r="I18" s="22">
        <f t="shared" si="0"/>
        <v>48.320278216533794</v>
      </c>
      <c r="J18" s="22">
        <f t="shared" si="1"/>
        <v>3.3782375002454796</v>
      </c>
      <c r="K18" s="16"/>
    </row>
    <row r="19" spans="1:11">
      <c r="A19" s="14"/>
      <c r="B19" s="9" t="str">
        <f>+[6]Princ_paises_impo!B7</f>
        <v>Corea del Sur</v>
      </c>
      <c r="C19" s="22">
        <f>+[6]Princ_paises_impo!D7</f>
        <v>588.08360422999954</v>
      </c>
      <c r="D19" s="25">
        <f>+[6]Princ_paises_impo!F7</f>
        <v>717.71360931999686</v>
      </c>
      <c r="E19" s="22">
        <f t="shared" si="2"/>
        <v>22.042785100211539</v>
      </c>
      <c r="F19" s="22">
        <f t="shared" si="3"/>
        <v>3.1152245810140244</v>
      </c>
      <c r="G19" s="22">
        <f>+[6]Princ_paises_impo!E7</f>
        <v>57.345726750000033</v>
      </c>
      <c r="H19" s="25">
        <f>+[6]Princ_paises_impo!G7</f>
        <v>66.042830239999972</v>
      </c>
      <c r="I19" s="22">
        <f t="shared" si="0"/>
        <v>15.166088186335402</v>
      </c>
      <c r="J19" s="22">
        <f t="shared" si="1"/>
        <v>2.5063115271148511</v>
      </c>
      <c r="K19" s="16"/>
    </row>
    <row r="20" spans="1:11">
      <c r="A20" s="14"/>
      <c r="B20" s="9" t="str">
        <f>+[6]Princ_paises_impo!B8</f>
        <v>Panamá</v>
      </c>
      <c r="C20" s="22">
        <f>+[6]Princ_paises_impo!D8</f>
        <v>524.13179059000311</v>
      </c>
      <c r="D20" s="25">
        <f>+[6]Princ_paises_impo!F8</f>
        <v>700.99553567999976</v>
      </c>
      <c r="E20" s="22">
        <f t="shared" si="2"/>
        <v>33.744136162949623</v>
      </c>
      <c r="F20" s="22">
        <f t="shared" si="3"/>
        <v>3.0426600465336686</v>
      </c>
      <c r="G20" s="22">
        <f>+[6]Princ_paises_impo!E8</f>
        <v>38.006132740000048</v>
      </c>
      <c r="H20" s="25">
        <f>+[6]Princ_paises_impo!G8</f>
        <v>73.608998400000033</v>
      </c>
      <c r="I20" s="22">
        <f t="shared" si="0"/>
        <v>93.676633462181442</v>
      </c>
      <c r="J20" s="22">
        <f t="shared" si="1"/>
        <v>2.7934460185741852</v>
      </c>
      <c r="K20" s="16"/>
    </row>
    <row r="21" spans="1:11">
      <c r="A21" s="14"/>
      <c r="B21" s="9" t="str">
        <f>+[6]Princ_paises_impo!B9</f>
        <v>Japón</v>
      </c>
      <c r="C21" s="22">
        <f>+[6]Princ_paises_impo!D9</f>
        <v>488.54205783999919</v>
      </c>
      <c r="D21" s="25">
        <f>+[6]Princ_paises_impo!F9</f>
        <v>635.1085689900026</v>
      </c>
      <c r="E21" s="22">
        <f t="shared" si="2"/>
        <v>30.000797024113112</v>
      </c>
      <c r="F21" s="22">
        <f t="shared" si="3"/>
        <v>2.7566787086632618</v>
      </c>
      <c r="G21" s="22">
        <f>+[6]Princ_paises_impo!E9</f>
        <v>59.311941649999994</v>
      </c>
      <c r="H21" s="25">
        <f>+[6]Princ_paises_impo!G9</f>
        <v>84.674736379999985</v>
      </c>
      <c r="I21" s="22">
        <f t="shared" si="0"/>
        <v>42.761700299184177</v>
      </c>
      <c r="J21" s="22">
        <f t="shared" si="1"/>
        <v>3.2133884491835381</v>
      </c>
      <c r="K21" s="16"/>
    </row>
    <row r="22" spans="1:11">
      <c r="A22" s="14"/>
      <c r="B22" s="9" t="str">
        <f>+[6]Princ_paises_impo!B10</f>
        <v>Francia</v>
      </c>
      <c r="C22" s="22">
        <f>+[6]Princ_paises_impo!D10</f>
        <v>628.15191293999624</v>
      </c>
      <c r="D22" s="25">
        <f>+[6]Princ_paises_impo!F10</f>
        <v>584.83058297999867</v>
      </c>
      <c r="E22" s="22">
        <f t="shared" si="2"/>
        <v>-6.8966326564599338</v>
      </c>
      <c r="F22" s="22">
        <f t="shared" si="3"/>
        <v>2.5384479048045456</v>
      </c>
      <c r="G22" s="22">
        <f>+[6]Princ_paises_impo!E10</f>
        <v>79.820453500000212</v>
      </c>
      <c r="H22" s="25">
        <f>+[6]Princ_paises_impo!G10</f>
        <v>51.996092589999982</v>
      </c>
      <c r="I22" s="22">
        <f t="shared" si="0"/>
        <v>-34.858685574869796</v>
      </c>
      <c r="J22" s="22">
        <f t="shared" si="1"/>
        <v>1.9732407855579523</v>
      </c>
      <c r="K22" s="16"/>
    </row>
    <row r="23" spans="1:11">
      <c r="A23" s="14"/>
      <c r="B23" s="9" t="str">
        <f>+[6]Princ_paises_impo!B11</f>
        <v>Bélgica</v>
      </c>
      <c r="C23" s="22">
        <f>+[6]Princ_paises_impo!D11</f>
        <v>456.19990017000021</v>
      </c>
      <c r="D23" s="25">
        <f>+[6]Princ_paises_impo!F11</f>
        <v>534.58280533000482</v>
      </c>
      <c r="E23" s="22">
        <f t="shared" si="2"/>
        <v>17.181701515233925</v>
      </c>
      <c r="F23" s="22">
        <f t="shared" si="3"/>
        <v>2.3203482198551457</v>
      </c>
      <c r="G23" s="22">
        <f>+[6]Princ_paises_impo!E11</f>
        <v>55.649874129999915</v>
      </c>
      <c r="H23" s="25">
        <f>+[6]Princ_paises_impo!G11</f>
        <v>48.061635440000003</v>
      </c>
      <c r="I23" s="22">
        <f t="shared" si="0"/>
        <v>-13.635679880018303</v>
      </c>
      <c r="J23" s="22">
        <f t="shared" si="1"/>
        <v>1.8239289636364879</v>
      </c>
      <c r="K23" s="16"/>
    </row>
    <row r="24" spans="1:11">
      <c r="A24" s="14"/>
      <c r="B24" s="9" t="str">
        <f>+[6]Princ_paises_impo!B12</f>
        <v>Chile</v>
      </c>
      <c r="C24" s="22">
        <f>+[6]Princ_paises_impo!D12</f>
        <v>427.015331680001</v>
      </c>
      <c r="D24" s="25">
        <f>+[6]Princ_paises_impo!F12</f>
        <v>456.97965276999992</v>
      </c>
      <c r="E24" s="22">
        <f t="shared" si="2"/>
        <v>7.0171534525729218</v>
      </c>
      <c r="F24" s="22">
        <f t="shared" si="3"/>
        <v>1.9835129623376551</v>
      </c>
      <c r="G24" s="22">
        <f>+[6]Princ_paises_impo!E12</f>
        <v>33.285673339999981</v>
      </c>
      <c r="H24" s="25">
        <f>+[6]Princ_paises_impo!G12</f>
        <v>72.509708210000085</v>
      </c>
      <c r="I24" s="22">
        <f t="shared" si="0"/>
        <v>117.8405930663986</v>
      </c>
      <c r="J24" s="22">
        <f t="shared" si="1"/>
        <v>2.7517281869060257</v>
      </c>
      <c r="K24" s="16"/>
    </row>
    <row r="25" spans="1:11">
      <c r="A25" s="14"/>
      <c r="B25" s="9" t="str">
        <f>+[6]Princ_paises_impo!B13</f>
        <v>Argentina</v>
      </c>
      <c r="C25" s="22">
        <f>+[6]Princ_paises_impo!D13</f>
        <v>333.18874718000075</v>
      </c>
      <c r="D25" s="25">
        <f>+[6]Princ_paises_impo!F13</f>
        <v>383.63742828000039</v>
      </c>
      <c r="E25" s="22">
        <f t="shared" si="2"/>
        <v>15.141171941423771</v>
      </c>
      <c r="F25" s="22">
        <f t="shared" si="3"/>
        <v>1.665172195783196</v>
      </c>
      <c r="G25" s="22">
        <f>+[6]Princ_paises_impo!E13</f>
        <v>40.92804269999997</v>
      </c>
      <c r="H25" s="25">
        <f>+[6]Princ_paises_impo!G13</f>
        <v>39.794770720000066</v>
      </c>
      <c r="I25" s="22">
        <f t="shared" si="0"/>
        <v>-2.7689376408901789</v>
      </c>
      <c r="J25" s="22">
        <f t="shared" si="1"/>
        <v>1.5102031849934354</v>
      </c>
      <c r="K25" s="16"/>
    </row>
    <row r="26" spans="1:11">
      <c r="A26" s="14"/>
      <c r="B26" s="9" t="str">
        <f>+[6]Princ_paises_impo!B14</f>
        <v>Hong Kong</v>
      </c>
      <c r="C26" s="22">
        <f>+[6]Princ_paises_impo!D14</f>
        <v>278.1483055800021</v>
      </c>
      <c r="D26" s="25">
        <f>+[6]Princ_paises_impo!F14</f>
        <v>355.62910690999871</v>
      </c>
      <c r="E26" s="22">
        <f t="shared" si="2"/>
        <v>27.855931449386915</v>
      </c>
      <c r="F26" s="22">
        <f t="shared" si="3"/>
        <v>1.5436025194224019</v>
      </c>
      <c r="G26" s="22">
        <f>+[6]Princ_paises_impo!E14</f>
        <v>33.92064028999998</v>
      </c>
      <c r="H26" s="25">
        <f>+[6]Princ_paises_impo!G14</f>
        <v>43.412802879999994</v>
      </c>
      <c r="I26" s="22">
        <f t="shared" si="0"/>
        <v>27.983441671053487</v>
      </c>
      <c r="J26" s="22">
        <f t="shared" si="1"/>
        <v>1.6475067450487391</v>
      </c>
      <c r="K26" s="16"/>
    </row>
    <row r="27" spans="1:11">
      <c r="A27" s="14"/>
      <c r="B27" s="9" t="str">
        <f>+[6]Princ_paises_impo!B15</f>
        <v>Suiza</v>
      </c>
      <c r="C27" s="22">
        <f>+[6]Princ_paises_impo!D15</f>
        <v>285.29812291999963</v>
      </c>
      <c r="D27" s="25">
        <f>+[6]Princ_paises_impo!F15</f>
        <v>349.19100981999861</v>
      </c>
      <c r="E27" s="22">
        <f t="shared" si="2"/>
        <v>22.395130485283698</v>
      </c>
      <c r="F27" s="22">
        <f t="shared" si="3"/>
        <v>1.5156580607284591</v>
      </c>
      <c r="G27" s="22">
        <f>+[6]Princ_paises_impo!E15</f>
        <v>38.262852019999983</v>
      </c>
      <c r="H27" s="25">
        <f>+[6]Princ_paises_impo!G15</f>
        <v>33.545081970000041</v>
      </c>
      <c r="I27" s="22">
        <f t="shared" si="0"/>
        <v>-12.329896494735848</v>
      </c>
      <c r="J27" s="22">
        <f t="shared" si="1"/>
        <v>1.2730288104537129</v>
      </c>
      <c r="K27" s="16"/>
    </row>
    <row r="28" spans="1:11">
      <c r="A28" s="14"/>
      <c r="B28" s="9" t="str">
        <f>+[6]Princ_paises_impo!B16</f>
        <v>El Salvador</v>
      </c>
      <c r="C28" s="22">
        <f>+[6]Princ_paises_impo!D16</f>
        <v>100.92087505999997</v>
      </c>
      <c r="D28" s="25">
        <f>+[6]Princ_paises_impo!F16</f>
        <v>337.73620631999995</v>
      </c>
      <c r="E28" s="22">
        <f t="shared" si="2"/>
        <v>234.65445688932775</v>
      </c>
      <c r="F28" s="22">
        <f t="shared" si="3"/>
        <v>1.4659386671284258</v>
      </c>
      <c r="G28" s="22">
        <f>+[6]Princ_paises_impo!E16</f>
        <v>7.5960739999999999E-2</v>
      </c>
      <c r="H28" s="25">
        <f>+[6]Princ_paises_impo!G16</f>
        <v>0.48027149999999996</v>
      </c>
      <c r="I28" s="22">
        <f t="shared" si="0"/>
        <v>532.26279786110558</v>
      </c>
      <c r="J28" s="22">
        <f t="shared" si="1"/>
        <v>1.8226202484364344E-2</v>
      </c>
      <c r="K28" s="16"/>
    </row>
    <row r="29" spans="1:11">
      <c r="A29" s="14"/>
      <c r="B29" s="9" t="str">
        <f>+[6]Princ_paises_impo!B17</f>
        <v>Italia</v>
      </c>
      <c r="C29" s="22">
        <f>+[6]Princ_paises_impo!D17</f>
        <v>254.20511354000004</v>
      </c>
      <c r="D29" s="25">
        <f>+[6]Princ_paises_impo!F17</f>
        <v>335.92744900999986</v>
      </c>
      <c r="E29" s="22">
        <f t="shared" si="2"/>
        <v>32.148187080878898</v>
      </c>
      <c r="F29" s="22">
        <f t="shared" si="3"/>
        <v>1.4580877846036544</v>
      </c>
      <c r="G29" s="22">
        <f>+[6]Princ_paises_impo!E17</f>
        <v>27.015925279999959</v>
      </c>
      <c r="H29" s="25">
        <f>+[6]Princ_paises_impo!G17</f>
        <v>32.736903139999953</v>
      </c>
      <c r="I29" s="22">
        <f t="shared" si="0"/>
        <v>21.176316564049969</v>
      </c>
      <c r="J29" s="22">
        <f t="shared" si="1"/>
        <v>1.2423585937134769</v>
      </c>
      <c r="K29" s="16"/>
    </row>
    <row r="30" spans="1:11">
      <c r="A30" s="14"/>
      <c r="B30" s="9" t="str">
        <f>+[6]Princ_paises_impo!B18</f>
        <v>España</v>
      </c>
      <c r="C30" s="22">
        <f>+[6]Princ_paises_impo!D18</f>
        <v>242.13648061000106</v>
      </c>
      <c r="D30" s="25">
        <f>+[6]Princ_paises_impo!F18</f>
        <v>313.46887408000566</v>
      </c>
      <c r="E30" s="22">
        <f t="shared" si="2"/>
        <v>29.459581344496645</v>
      </c>
      <c r="F30" s="22">
        <f t="shared" si="3"/>
        <v>1.3606066949769009</v>
      </c>
      <c r="G30" s="22">
        <f>+[6]Princ_paises_impo!E18</f>
        <v>30.644985469999941</v>
      </c>
      <c r="H30" s="25">
        <f>+[6]Princ_paises_impo!G18</f>
        <v>34.099785639999993</v>
      </c>
      <c r="I30" s="22">
        <f t="shared" si="0"/>
        <v>11.273623129572519</v>
      </c>
      <c r="J30" s="22">
        <f t="shared" si="1"/>
        <v>1.2940796981458602</v>
      </c>
      <c r="K30" s="16"/>
    </row>
    <row r="31" spans="1:11">
      <c r="A31" s="14"/>
      <c r="B31" s="9" t="str">
        <f>+[6]Princ_paises_impo!B19</f>
        <v>India</v>
      </c>
      <c r="C31" s="22">
        <f>+[6]Princ_paises_impo!D19</f>
        <v>180.74054466999877</v>
      </c>
      <c r="D31" s="25">
        <f>+[6]Princ_paises_impo!F19</f>
        <v>295.93122829999874</v>
      </c>
      <c r="E31" s="22">
        <f t="shared" si="2"/>
        <v>63.732619507326582</v>
      </c>
      <c r="F31" s="22">
        <f t="shared" si="3"/>
        <v>1.2844848205724884</v>
      </c>
      <c r="G31" s="22">
        <f>+[6]Princ_paises_impo!E19</f>
        <v>16.203254029999997</v>
      </c>
      <c r="H31" s="25">
        <f>+[6]Princ_paises_impo!G19</f>
        <v>25.904164430000041</v>
      </c>
      <c r="I31" s="22">
        <f t="shared" si="0"/>
        <v>59.870137085050978</v>
      </c>
      <c r="J31" s="22">
        <f t="shared" si="1"/>
        <v>0.98305759573376561</v>
      </c>
      <c r="K31" s="16"/>
    </row>
    <row r="32" spans="1:11">
      <c r="A32" s="14"/>
      <c r="B32" s="9" t="str">
        <f>+[6]Princ_paises_impo!B20</f>
        <v>Ecuador</v>
      </c>
      <c r="C32" s="22">
        <f>+[6]Princ_paises_impo!D20</f>
        <v>145.64870324000012</v>
      </c>
      <c r="D32" s="25">
        <f>+[6]Princ_paises_impo!F20</f>
        <v>257.36823576999961</v>
      </c>
      <c r="E32" s="22">
        <f t="shared" si="2"/>
        <v>76.70479039274926</v>
      </c>
      <c r="F32" s="22">
        <f t="shared" si="3"/>
        <v>1.1171027608108883</v>
      </c>
      <c r="G32" s="22">
        <f>+[6]Princ_paises_impo!E20</f>
        <v>10.561317949999996</v>
      </c>
      <c r="H32" s="25">
        <f>+[6]Princ_paises_impo!G20</f>
        <v>33.414747539999979</v>
      </c>
      <c r="I32" s="22">
        <f t="shared" si="0"/>
        <v>216.38804643695053</v>
      </c>
      <c r="J32" s="22">
        <f t="shared" si="1"/>
        <v>1.2680826462281334</v>
      </c>
      <c r="K32" s="16"/>
    </row>
    <row r="33" spans="1:11">
      <c r="A33" s="14"/>
      <c r="B33" s="9" t="str">
        <f>+[6]Princ_paises_impo!B21</f>
        <v>Paises Bajos</v>
      </c>
      <c r="C33" s="22">
        <f>+[6]Princ_paises_impo!D21</f>
        <v>207.84820760999958</v>
      </c>
      <c r="D33" s="25">
        <f>+[6]Princ_paises_impo!F21</f>
        <v>253.25508883000009</v>
      </c>
      <c r="E33" s="22">
        <f t="shared" si="2"/>
        <v>21.846174062371837</v>
      </c>
      <c r="F33" s="22">
        <f t="shared" si="3"/>
        <v>1.0992497115076303</v>
      </c>
      <c r="G33" s="22">
        <f>+[6]Princ_paises_impo!E21</f>
        <v>22.540647450000037</v>
      </c>
      <c r="H33" s="25">
        <f>+[6]Princ_paises_impo!G21</f>
        <v>44.878786309999995</v>
      </c>
      <c r="I33" s="22">
        <f t="shared" si="0"/>
        <v>99.101584857093016</v>
      </c>
      <c r="J33" s="22">
        <f t="shared" si="1"/>
        <v>1.7031405081054745</v>
      </c>
      <c r="K33" s="16"/>
    </row>
    <row r="34" spans="1:11">
      <c r="A34" s="14"/>
      <c r="B34" s="9" t="str">
        <f>+[6]Princ_paises_impo!B22</f>
        <v>Perú</v>
      </c>
      <c r="C34" s="22">
        <f>+[6]Princ_paises_impo!D22</f>
        <v>173.75658841999936</v>
      </c>
      <c r="D34" s="25">
        <f>+[6]Princ_paises_impo!F22</f>
        <v>239.51180621999981</v>
      </c>
      <c r="E34" s="22">
        <f t="shared" si="2"/>
        <v>37.843294690535046</v>
      </c>
      <c r="F34" s="22">
        <f t="shared" si="3"/>
        <v>1.0395972104897671</v>
      </c>
      <c r="G34" s="22">
        <f>+[6]Princ_paises_impo!E22</f>
        <v>19.065435850000018</v>
      </c>
      <c r="H34" s="25">
        <f>+[6]Princ_paises_impo!G22</f>
        <v>21.375337790000028</v>
      </c>
      <c r="I34" s="22">
        <f t="shared" si="0"/>
        <v>12.115652420293376</v>
      </c>
      <c r="J34" s="22">
        <f t="shared" si="1"/>
        <v>0.81118957658787905</v>
      </c>
      <c r="K34" s="16"/>
    </row>
    <row r="35" spans="1:11">
      <c r="A35" s="14"/>
      <c r="B35" s="9" t="str">
        <f>+[6]Princ_paises_impo!B23</f>
        <v>Reino Unido</v>
      </c>
      <c r="C35" s="22">
        <f>+[6]Princ_paises_impo!D23</f>
        <v>224.54044442000014</v>
      </c>
      <c r="D35" s="25">
        <f>+[6]Princ_paises_impo!F23</f>
        <v>231.57240174999953</v>
      </c>
      <c r="E35" s="22">
        <f t="shared" si="2"/>
        <v>3.1317107918634957</v>
      </c>
      <c r="F35" s="22">
        <f t="shared" si="3"/>
        <v>1.0051363508343525</v>
      </c>
      <c r="G35" s="22">
        <f>+[6]Princ_paises_impo!E23</f>
        <v>14.483172779999979</v>
      </c>
      <c r="H35" s="25">
        <f>+[6]Princ_paises_impo!G23</f>
        <v>20.035598709999995</v>
      </c>
      <c r="I35" s="22">
        <f t="shared" si="0"/>
        <v>38.337082725875106</v>
      </c>
      <c r="J35" s="22">
        <f t="shared" si="1"/>
        <v>0.76034676008034829</v>
      </c>
      <c r="K35" s="16"/>
    </row>
    <row r="36" spans="1:11">
      <c r="A36" s="14"/>
      <c r="B36" s="9" t="str">
        <f>+[6]Princ_paises_impo!B24</f>
        <v>Costa Rica</v>
      </c>
      <c r="C36" s="22">
        <f>+[6]Princ_paises_impo!D24</f>
        <v>129.31274246000012</v>
      </c>
      <c r="D36" s="25">
        <f>+[6]Princ_paises_impo!F24</f>
        <v>229.93822181999991</v>
      </c>
      <c r="E36" s="22">
        <f t="shared" si="2"/>
        <v>77.81559453905011</v>
      </c>
      <c r="F36" s="22">
        <f t="shared" si="3"/>
        <v>0.99804321866906154</v>
      </c>
      <c r="G36" s="22">
        <f>+[6]Princ_paises_impo!E24</f>
        <v>52.155157920000008</v>
      </c>
      <c r="H36" s="25">
        <f>+[6]Princ_paises_impo!G24</f>
        <v>2.1373951600000001</v>
      </c>
      <c r="I36" s="22">
        <f t="shared" si="0"/>
        <v>-95.901852769234225</v>
      </c>
      <c r="J36" s="22">
        <f t="shared" si="1"/>
        <v>8.111369709687194E-2</v>
      </c>
      <c r="K36" s="16"/>
    </row>
    <row r="37" spans="1:11">
      <c r="A37" s="14"/>
      <c r="B37" s="9" t="str">
        <f>+[6]Princ_paises_impo!B25</f>
        <v>Canadá</v>
      </c>
      <c r="C37" s="22">
        <f>+[6]Princ_paises_impo!D25</f>
        <v>218.03392468999991</v>
      </c>
      <c r="D37" s="25">
        <f>+[6]Princ_paises_impo!F25</f>
        <v>214.33552490999983</v>
      </c>
      <c r="E37" s="22">
        <f t="shared" si="2"/>
        <v>-1.6962496938301874</v>
      </c>
      <c r="F37" s="22">
        <f t="shared" si="3"/>
        <v>0.93031995926173927</v>
      </c>
      <c r="G37" s="22">
        <f>+[6]Princ_paises_impo!E25</f>
        <v>21.8287054</v>
      </c>
      <c r="H37" s="25">
        <f>+[6]Princ_paises_impo!G25</f>
        <v>30.125883720000001</v>
      </c>
      <c r="I37" s="22">
        <f t="shared" si="0"/>
        <v>38.010400378576726</v>
      </c>
      <c r="J37" s="22">
        <f t="shared" si="1"/>
        <v>1.1432709554931646</v>
      </c>
      <c r="K37" s="16"/>
    </row>
    <row r="38" spans="1:11">
      <c r="A38" s="14"/>
      <c r="B38" s="9" t="str">
        <f>+[6]Princ_paises_impo!B26</f>
        <v>Tailandia</v>
      </c>
      <c r="C38" s="22">
        <f>+[6]Princ_paises_impo!D26</f>
        <v>102.24982820000014</v>
      </c>
      <c r="D38" s="25">
        <f>+[6]Princ_paises_impo!F26</f>
        <v>201.8603987900008</v>
      </c>
      <c r="E38" s="22">
        <f t="shared" si="2"/>
        <v>97.418814626429381</v>
      </c>
      <c r="F38" s="22">
        <f t="shared" si="3"/>
        <v>0.87617187145120989</v>
      </c>
      <c r="G38" s="22">
        <f>+[6]Princ_paises_impo!E26</f>
        <v>16.023810170000008</v>
      </c>
      <c r="H38" s="25">
        <f>+[6]Princ_paises_impo!G26</f>
        <v>31.921922589999987</v>
      </c>
      <c r="I38" s="22">
        <f t="shared" si="0"/>
        <v>99.215556420935627</v>
      </c>
      <c r="J38" s="22">
        <f t="shared" si="1"/>
        <v>1.2114302531287908</v>
      </c>
      <c r="K38" s="16"/>
    </row>
    <row r="39" spans="1:11">
      <c r="A39" s="14"/>
      <c r="B39" s="9" t="str">
        <f>+[6]Princ_paises_impo!B27</f>
        <v>Trinidad y Tobago</v>
      </c>
      <c r="C39" s="22">
        <f>+[6]Princ_paises_impo!D27</f>
        <v>47.633464079999996</v>
      </c>
      <c r="D39" s="25">
        <f>+[6]Princ_paises_impo!F27</f>
        <v>197.17963239999989</v>
      </c>
      <c r="E39" s="22">
        <f t="shared" si="2"/>
        <v>313.9519058887642</v>
      </c>
      <c r="F39" s="22">
        <f t="shared" si="3"/>
        <v>0.85585507889389645</v>
      </c>
      <c r="G39" s="22">
        <f>+[6]Princ_paises_impo!E27</f>
        <v>1.1508734099999998</v>
      </c>
      <c r="H39" s="25">
        <f>+[6]Princ_paises_impo!G27</f>
        <v>70.237868090000006</v>
      </c>
      <c r="I39" s="22">
        <f t="shared" si="0"/>
        <v>6003.0055503671792</v>
      </c>
      <c r="J39" s="22">
        <f t="shared" si="1"/>
        <v>2.6655123318340008</v>
      </c>
      <c r="K39" s="16"/>
    </row>
    <row r="40" spans="1:11">
      <c r="A40" s="14"/>
      <c r="B40" s="9" t="str">
        <f>+[6]Princ_paises_impo!B28</f>
        <v>Venezuela</v>
      </c>
      <c r="C40" s="22">
        <f>+[6]Princ_paises_impo!D28</f>
        <v>73.994184169999755</v>
      </c>
      <c r="D40" s="25">
        <f>+[6]Princ_paises_impo!F28</f>
        <v>175.88703060999958</v>
      </c>
      <c r="E40" s="22">
        <f t="shared" si="2"/>
        <v>137.70385819229199</v>
      </c>
      <c r="F40" s="22">
        <f t="shared" si="3"/>
        <v>0.76343487725831893</v>
      </c>
      <c r="G40" s="22">
        <f>+[6]Princ_paises_impo!E28</f>
        <v>7.317490300000002</v>
      </c>
      <c r="H40" s="25">
        <f>+[6]Princ_paises_impo!G28</f>
        <v>22.211145979999991</v>
      </c>
      <c r="I40" s="22">
        <f t="shared" si="0"/>
        <v>203.53502456983077</v>
      </c>
      <c r="J40" s="22">
        <f t="shared" si="1"/>
        <v>0.84290832173313424</v>
      </c>
      <c r="K40" s="16"/>
    </row>
    <row r="41" spans="1:11">
      <c r="A41" s="14"/>
      <c r="B41" s="9" t="str">
        <f>+[6]Princ_paises_impo!B29</f>
        <v>Taiwán</v>
      </c>
      <c r="C41" s="22">
        <f>+[6]Princ_paises_impo!D29</f>
        <v>115.60002962999967</v>
      </c>
      <c r="D41" s="25">
        <f>+[6]Princ_paises_impo!F29</f>
        <v>149.25669997000011</v>
      </c>
      <c r="E41" s="22">
        <f t="shared" si="2"/>
        <v>29.114759267558288</v>
      </c>
      <c r="F41" s="22">
        <f t="shared" si="3"/>
        <v>0.64784634788814599</v>
      </c>
      <c r="G41" s="22">
        <f>+[6]Princ_paises_impo!E29</f>
        <v>9.3474784799999888</v>
      </c>
      <c r="H41" s="25">
        <f>+[6]Princ_paises_impo!G29</f>
        <v>14.864642900000021</v>
      </c>
      <c r="I41" s="22">
        <f t="shared" si="0"/>
        <v>59.023023500986312</v>
      </c>
      <c r="J41" s="22">
        <f t="shared" si="1"/>
        <v>0.56411007389189072</v>
      </c>
      <c r="K41" s="16"/>
    </row>
    <row r="42" spans="1:11">
      <c r="A42" s="14"/>
      <c r="B42" s="9" t="str">
        <f>+[6]Princ_paises_impo!B30</f>
        <v>Zona Franca de Bogotá</v>
      </c>
      <c r="C42" s="22">
        <f>+[6]Princ_paises_impo!D30</f>
        <v>133.11735929000025</v>
      </c>
      <c r="D42" s="25">
        <f>+[6]Princ_paises_impo!F30</f>
        <v>145.02394886999983</v>
      </c>
      <c r="E42" s="22">
        <f t="shared" si="2"/>
        <v>8.9444304210247303</v>
      </c>
      <c r="F42" s="22">
        <f t="shared" si="3"/>
        <v>0.62947415861821121</v>
      </c>
      <c r="G42" s="22">
        <f>+[6]Princ_paises_impo!E30</f>
        <v>13.266818440000003</v>
      </c>
      <c r="H42" s="25">
        <f>+[6]Princ_paises_impo!G30</f>
        <v>19.925369989999997</v>
      </c>
      <c r="I42" s="22">
        <f t="shared" si="0"/>
        <v>50.189512882185738</v>
      </c>
      <c r="J42" s="22">
        <f t="shared" si="1"/>
        <v>0.75616360332357158</v>
      </c>
      <c r="K42" s="16"/>
    </row>
    <row r="43" spans="1:11">
      <c r="A43" s="14"/>
      <c r="B43" s="9" t="str">
        <f>+[6]Princ_paises_impo!B31</f>
        <v>Israel</v>
      </c>
      <c r="C43" s="22">
        <f>+[6]Princ_paises_impo!D31</f>
        <v>206.09227039000004</v>
      </c>
      <c r="D43" s="25">
        <f>+[6]Princ_paises_impo!F31</f>
        <v>100.76036393000001</v>
      </c>
      <c r="E43" s="22">
        <f t="shared" ref="E43" si="4">IF(OR(OR(D43=0,C43=0),D43=""),"",(D43/C43-1)*100)</f>
        <v>-51.109100919056559</v>
      </c>
      <c r="F43" s="22">
        <f t="shared" ref="F43" si="5">(D43/D$13)*100</f>
        <v>0.43734876757325736</v>
      </c>
      <c r="G43" s="22">
        <f>+[6]Princ_paises_impo!E31</f>
        <v>66.152031720000096</v>
      </c>
      <c r="H43" s="25">
        <f>+[6]Princ_paises_impo!G31</f>
        <v>4.3435170300000019</v>
      </c>
      <c r="I43" s="22">
        <f t="shared" ref="I43" si="6">IF(OR(OR(H43=0,G43=0),H43=""),"",(H43/G43-1)*100)</f>
        <v>-93.434038355186601</v>
      </c>
      <c r="J43" s="22">
        <f t="shared" ref="J43" si="7">(H43/H$13)*100</f>
        <v>0.16483555839366873</v>
      </c>
      <c r="K43" s="16"/>
    </row>
    <row r="44" spans="1:11">
      <c r="A44" s="14"/>
      <c r="B44" s="9" t="s">
        <v>3</v>
      </c>
      <c r="C44" s="22">
        <f>+C13-SUM(C14:C43)</f>
        <v>779.50466825994226</v>
      </c>
      <c r="D44" s="25">
        <f>+D13-SUM(D14:D43)</f>
        <v>1023.6464985598068</v>
      </c>
      <c r="E44" s="22">
        <f t="shared" si="2"/>
        <v>31.320124207190791</v>
      </c>
      <c r="F44" s="22">
        <f t="shared" si="3"/>
        <v>4.4431214528644425</v>
      </c>
      <c r="G44" s="22">
        <f t="shared" ref="G44:H44" si="8">+G13-SUM(G14:G43)</f>
        <v>75.554504940002289</v>
      </c>
      <c r="H44" s="25">
        <f t="shared" si="8"/>
        <v>120.87019242999531</v>
      </c>
      <c r="I44" s="22">
        <f t="shared" si="0"/>
        <v>59.977479206538554</v>
      </c>
      <c r="J44" s="22">
        <f t="shared" si="1"/>
        <v>4.5869983989330549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activeCell="C21" sqref="C21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54</v>
      </c>
      <c r="C13" s="23">
        <f>+'Resumen importaciones totales'!C13</f>
        <v>16196.148383640118</v>
      </c>
      <c r="D13" s="23">
        <f>+'Resumen importaciones totales'!D13</f>
        <v>23038.904279779941</v>
      </c>
      <c r="E13" s="25">
        <f>IF(OR(OR(D13=0,C13=0),D13=""),"",(D13/C13-1)*100)</f>
        <v>42.249278865904657</v>
      </c>
      <c r="F13" s="25">
        <f>(D13/D$13)*100</f>
        <v>100</v>
      </c>
      <c r="G13" s="23">
        <f>+'Resumen importaciones totales'!G13</f>
        <v>1755.104618940001</v>
      </c>
      <c r="H13" s="23">
        <f>+'Resumen importaciones totales'!H13</f>
        <v>2635.0607067600013</v>
      </c>
      <c r="I13" s="25">
        <f>IF(OR(OR(H13=0,G13=0),H13=""),"",(H13/G13-1)*100)</f>
        <v>50.136959262944188</v>
      </c>
      <c r="J13" s="25">
        <f>(H13/H$13)*100</f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55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tr">
        <f>+[6]Disminuyeron!B2</f>
        <v>Israel</v>
      </c>
      <c r="C16" s="22">
        <f>+[6]Disminuyeron!C2</f>
        <v>206.09227039000018</v>
      </c>
      <c r="D16" s="25">
        <f>+[6]Disminuyeron!D2</f>
        <v>100.76036393</v>
      </c>
      <c r="E16" s="22">
        <f>IF(OR(OR(D16=0,C16=0),D16=""),"",(D16/C16-1)*100)</f>
        <v>-51.109100919056594</v>
      </c>
      <c r="F16" s="22">
        <f>(D16/D$13)*100</f>
        <v>0.4373487675732573</v>
      </c>
      <c r="G16" s="22">
        <f>+[6]Disminuyeron!E2</f>
        <v>66.152031719999997</v>
      </c>
      <c r="H16" s="25">
        <f>+[6]Disminuyeron!F2</f>
        <v>4.3435170299999974</v>
      </c>
      <c r="I16" s="22">
        <f t="shared" ref="I16" si="0">IF(OR(OR(H16=0,G16=0),H16=""),"",(H16/G16-1)*100)</f>
        <v>-93.434038355186601</v>
      </c>
      <c r="J16" s="22">
        <f t="shared" ref="J16" si="1">(H16/H$13)*100</f>
        <v>0.16483555839366856</v>
      </c>
      <c r="K16" s="16"/>
    </row>
    <row r="17" spans="1:11">
      <c r="A17" s="14"/>
      <c r="B17" s="9" t="str">
        <f>+[6]Disminuyeron!B3</f>
        <v>Francia</v>
      </c>
      <c r="C17" s="22">
        <f>+[6]Disminuyeron!C3</f>
        <v>628.1519129399976</v>
      </c>
      <c r="D17" s="25">
        <f>+[6]Disminuyeron!D3</f>
        <v>584.83058297999878</v>
      </c>
      <c r="E17" s="22">
        <f t="shared" ref="E17:E37" si="2">IF(OR(OR(D17=0,C17=0),D17=""),"",(D17/C17-1)*100)</f>
        <v>-6.8966326564601221</v>
      </c>
      <c r="F17" s="22">
        <f t="shared" ref="F17:F37" si="3">(D17/D$13)*100</f>
        <v>2.5384479048045456</v>
      </c>
      <c r="G17" s="22">
        <f>+[6]Disminuyeron!E3</f>
        <v>79.820453500000241</v>
      </c>
      <c r="H17" s="25">
        <f>+[6]Disminuyeron!F3</f>
        <v>51.996092590000067</v>
      </c>
      <c r="I17" s="22">
        <f t="shared" ref="I17:I36" si="4">IF(OR(OR(H17=0,G17=0),H17=""),"",(H17/G17-1)*100)</f>
        <v>-34.858685574869718</v>
      </c>
      <c r="J17" s="22">
        <f t="shared" ref="J17:J37" si="5">(H17/H$13)*100</f>
        <v>1.9732407855579555</v>
      </c>
      <c r="K17" s="16"/>
    </row>
    <row r="18" spans="1:11">
      <c r="A18" s="14"/>
      <c r="B18" s="9" t="str">
        <f>+[6]Disminuyeron!B4</f>
        <v>Otros</v>
      </c>
      <c r="C18" s="22">
        <f>+[6]Disminuyeron!C4</f>
        <v>41.594844389999999</v>
      </c>
      <c r="D18" s="25">
        <f>+[6]Disminuyeron!D4</f>
        <v>0</v>
      </c>
      <c r="E18" s="22" t="str">
        <f t="shared" si="2"/>
        <v/>
      </c>
      <c r="F18" s="22">
        <f t="shared" si="3"/>
        <v>0</v>
      </c>
      <c r="G18" s="22">
        <f>+[6]Disminuyeron!E4</f>
        <v>0</v>
      </c>
      <c r="H18" s="25">
        <f>+[6]Disminuyeron!F4</f>
        <v>0</v>
      </c>
      <c r="I18" s="22" t="str">
        <f t="shared" si="4"/>
        <v/>
      </c>
      <c r="J18" s="22">
        <f t="shared" si="5"/>
        <v>0</v>
      </c>
      <c r="K18" s="16"/>
    </row>
    <row r="19" spans="1:11">
      <c r="A19" s="14"/>
      <c r="B19" s="9" t="str">
        <f>+[6]Disminuyeron!B5</f>
        <v>Honduras</v>
      </c>
      <c r="C19" s="22">
        <f>+[6]Disminuyeron!C5</f>
        <v>10.78024273999999</v>
      </c>
      <c r="D19" s="25">
        <f>+[6]Disminuyeron!D5</f>
        <v>2.6626491200000002</v>
      </c>
      <c r="E19" s="22">
        <f t="shared" si="2"/>
        <v>-75.300657098190698</v>
      </c>
      <c r="F19" s="22">
        <f t="shared" si="3"/>
        <v>1.1557186434152036E-2</v>
      </c>
      <c r="G19" s="22">
        <f>+[6]Disminuyeron!E5</f>
        <v>0.16459657999999999</v>
      </c>
      <c r="H19" s="25">
        <f>+[6]Disminuyeron!F5</f>
        <v>0.30267743999999996</v>
      </c>
      <c r="I19" s="22">
        <f t="shared" si="4"/>
        <v>83.890479376910491</v>
      </c>
      <c r="J19" s="22">
        <f t="shared" si="5"/>
        <v>1.148654523303806E-2</v>
      </c>
      <c r="K19" s="16"/>
    </row>
    <row r="20" spans="1:11">
      <c r="A20" s="14"/>
      <c r="B20" s="9" t="str">
        <f>+[6]Disminuyeron!B6</f>
        <v>Ruanda</v>
      </c>
      <c r="C20" s="22">
        <f>+[6]Disminuyeron!C6</f>
        <v>8.3046034099999986</v>
      </c>
      <c r="D20" s="25">
        <f>+[6]Disminuyeron!D6</f>
        <v>1.60156714</v>
      </c>
      <c r="E20" s="22">
        <f t="shared" si="2"/>
        <v>-80.714706519621743</v>
      </c>
      <c r="F20" s="22">
        <f t="shared" si="3"/>
        <v>6.9515768655960472E-3</v>
      </c>
      <c r="G20" s="22">
        <f>+[6]Disminuyeron!E6</f>
        <v>0</v>
      </c>
      <c r="H20" s="25">
        <f>+[6]Disminuyeron!F6</f>
        <v>0</v>
      </c>
      <c r="I20" s="22" t="str">
        <f t="shared" si="4"/>
        <v/>
      </c>
      <c r="J20" s="22">
        <f t="shared" si="5"/>
        <v>0</v>
      </c>
      <c r="K20" s="16"/>
    </row>
    <row r="21" spans="1:11">
      <c r="A21" s="14"/>
      <c r="B21" s="9" t="str">
        <f>+[6]Disminuyeron!B7</f>
        <v>Corea del Norte</v>
      </c>
      <c r="C21" s="22">
        <f>+[6]Disminuyeron!C7</f>
        <v>5.7333529899999958</v>
      </c>
      <c r="D21" s="25">
        <f>+[6]Disminuyeron!D7</f>
        <v>1.982313680000001</v>
      </c>
      <c r="E21" s="22">
        <f t="shared" si="2"/>
        <v>-65.424879935745906</v>
      </c>
      <c r="F21" s="22">
        <f t="shared" si="3"/>
        <v>8.6042012064774086E-3</v>
      </c>
      <c r="G21" s="22">
        <f>+[6]Disminuyeron!E7</f>
        <v>0.13410011999999999</v>
      </c>
      <c r="H21" s="25">
        <f>+[6]Disminuyeron!F7</f>
        <v>0</v>
      </c>
      <c r="I21" s="22" t="str">
        <f t="shared" si="4"/>
        <v/>
      </c>
      <c r="J21" s="22">
        <f t="shared" si="5"/>
        <v>0</v>
      </c>
      <c r="K21" s="16"/>
    </row>
    <row r="22" spans="1:11">
      <c r="A22" s="14"/>
      <c r="B22" s="9" t="str">
        <f>+[6]Disminuyeron!B8</f>
        <v>Canada</v>
      </c>
      <c r="C22" s="22">
        <f>+[6]Disminuyeron!C8</f>
        <v>218.03392469000005</v>
      </c>
      <c r="D22" s="25">
        <f>+[6]Disminuyeron!D8</f>
        <v>214.3355249100006</v>
      </c>
      <c r="E22" s="22">
        <f t="shared" si="2"/>
        <v>-1.6962496938298988</v>
      </c>
      <c r="F22" s="22">
        <f t="shared" si="3"/>
        <v>0.9303199592617426</v>
      </c>
      <c r="G22" s="22">
        <f>+[6]Disminuyeron!E8</f>
        <v>21.828705399999976</v>
      </c>
      <c r="H22" s="25">
        <f>+[6]Disminuyeron!F8</f>
        <v>30.125883720000015</v>
      </c>
      <c r="I22" s="22">
        <f t="shared" si="4"/>
        <v>38.010400378576946</v>
      </c>
      <c r="J22" s="22">
        <f t="shared" si="5"/>
        <v>1.143270955493165</v>
      </c>
      <c r="K22" s="16"/>
    </row>
    <row r="23" spans="1:11">
      <c r="A23" s="14"/>
      <c r="B23" s="9" t="str">
        <f>+[6]Disminuyeron!B9</f>
        <v>Zona Franca Barranquilla</v>
      </c>
      <c r="C23" s="22">
        <f>+[6]Disminuyeron!C9</f>
        <v>18.331967039999995</v>
      </c>
      <c r="D23" s="25">
        <f>+[6]Disminuyeron!D9</f>
        <v>14.985127549999987</v>
      </c>
      <c r="E23" s="22">
        <f t="shared" si="2"/>
        <v>-18.256848720583385</v>
      </c>
      <c r="F23" s="22">
        <f t="shared" si="3"/>
        <v>6.5042709358151471E-2</v>
      </c>
      <c r="G23" s="22">
        <f>+[6]Disminuyeron!E9</f>
        <v>1.3824029800000008</v>
      </c>
      <c r="H23" s="25">
        <f>+[6]Disminuyeron!F9</f>
        <v>1.1370179400000004</v>
      </c>
      <c r="I23" s="22">
        <f t="shared" si="4"/>
        <v>-17.750615670692504</v>
      </c>
      <c r="J23" s="22">
        <f t="shared" si="5"/>
        <v>4.3149591851265039E-2</v>
      </c>
      <c r="K23" s="16"/>
    </row>
    <row r="24" spans="1:11">
      <c r="A24" s="14"/>
      <c r="B24" s="9" t="str">
        <f>+[6]Disminuyeron!B10</f>
        <v>Zona Franca del Pacífico</v>
      </c>
      <c r="C24" s="22">
        <f>+[6]Disminuyeron!C10</f>
        <v>6.8481798700000001</v>
      </c>
      <c r="D24" s="25">
        <f>+[6]Disminuyeron!D10</f>
        <v>4.1742782199999997</v>
      </c>
      <c r="E24" s="22">
        <f t="shared" si="2"/>
        <v>-39.045435440643594</v>
      </c>
      <c r="F24" s="22">
        <f t="shared" si="3"/>
        <v>1.8118388658194776E-2</v>
      </c>
      <c r="G24" s="22">
        <f>+[6]Disminuyeron!E10</f>
        <v>0.99164829999999982</v>
      </c>
      <c r="H24" s="25">
        <f>+[6]Disminuyeron!F10</f>
        <v>3.9412178</v>
      </c>
      <c r="I24" s="22">
        <f t="shared" si="4"/>
        <v>297.4410887408369</v>
      </c>
      <c r="J24" s="22">
        <f t="shared" si="5"/>
        <v>0.14956838716805176</v>
      </c>
      <c r="K24" s="16"/>
    </row>
    <row r="25" spans="1:11">
      <c r="A25" s="14"/>
      <c r="B25" s="9" t="str">
        <f>+[6]Disminuyeron!B11</f>
        <v>Zona Franca Palmaseca</v>
      </c>
      <c r="C25" s="22">
        <f>+[6]Disminuyeron!C11</f>
        <v>6.3024461000000001</v>
      </c>
      <c r="D25" s="25">
        <f>+[6]Disminuyeron!D11</f>
        <v>3.6896075500000007</v>
      </c>
      <c r="E25" s="22">
        <f t="shared" si="2"/>
        <v>-41.457531068770258</v>
      </c>
      <c r="F25" s="22">
        <f t="shared" si="3"/>
        <v>1.6014683273102442E-2</v>
      </c>
      <c r="G25" s="22">
        <f>+[6]Disminuyeron!E11</f>
        <v>0.24946978999999997</v>
      </c>
      <c r="H25" s="25">
        <f>+[6]Disminuyeron!F11</f>
        <v>4.9246069999999989E-2</v>
      </c>
      <c r="I25" s="22">
        <f t="shared" si="4"/>
        <v>-80.259705994862145</v>
      </c>
      <c r="J25" s="22">
        <f t="shared" si="5"/>
        <v>1.8688780062510065E-3</v>
      </c>
      <c r="K25" s="16"/>
    </row>
    <row r="26" spans="1:11">
      <c r="A26" s="14"/>
      <c r="B26" s="9" t="str">
        <f>+[6]Disminuyeron!B12</f>
        <v>Bulgaria</v>
      </c>
      <c r="C26" s="22">
        <f>+[6]Disminuyeron!C12</f>
        <v>3.6827471700000003</v>
      </c>
      <c r="D26" s="25">
        <f>+[6]Disminuyeron!D12</f>
        <v>2.0457991800000004</v>
      </c>
      <c r="E26" s="22">
        <f t="shared" si="2"/>
        <v>-44.449100479520553</v>
      </c>
      <c r="F26" s="22">
        <f t="shared" si="3"/>
        <v>8.879759016124273E-3</v>
      </c>
      <c r="G26" s="22">
        <f>+[6]Disminuyeron!E12</f>
        <v>0.40715059999999992</v>
      </c>
      <c r="H26" s="25">
        <f>+[6]Disminuyeron!F12</f>
        <v>0.27898227999999997</v>
      </c>
      <c r="I26" s="22">
        <f t="shared" si="4"/>
        <v>-31.479339585892784</v>
      </c>
      <c r="J26" s="22">
        <f t="shared" si="5"/>
        <v>1.0587318891147255E-2</v>
      </c>
      <c r="K26" s="16"/>
    </row>
    <row r="27" spans="1:11">
      <c r="A27" s="14"/>
      <c r="B27" s="9" t="str">
        <f>+[6]Disminuyeron!B13</f>
        <v>Tunicia</v>
      </c>
      <c r="C27" s="22">
        <f>+[6]Disminuyeron!C13</f>
        <v>1.0048768800000001</v>
      </c>
      <c r="D27" s="25">
        <f>+[6]Disminuyeron!D13</f>
        <v>6.7251359999999996E-2</v>
      </c>
      <c r="E27" s="22">
        <f t="shared" si="2"/>
        <v>-93.307502507172828</v>
      </c>
      <c r="F27" s="22">
        <f t="shared" si="3"/>
        <v>2.9190346547436742E-4</v>
      </c>
      <c r="G27" s="22">
        <f>+[6]Disminuyeron!E13</f>
        <v>5.0817000000000006E-4</v>
      </c>
      <c r="H27" s="25">
        <f>+[6]Disminuyeron!F13</f>
        <v>0</v>
      </c>
      <c r="I27" s="22" t="str">
        <f t="shared" si="4"/>
        <v/>
      </c>
      <c r="J27" s="22">
        <f t="shared" si="5"/>
        <v>0</v>
      </c>
      <c r="K27" s="16"/>
    </row>
    <row r="28" spans="1:11">
      <c r="A28" s="14"/>
      <c r="B28" s="9" t="str">
        <f>+[6]Disminuyeron!B14</f>
        <v>Antigua y Barbuda</v>
      </c>
      <c r="C28" s="22">
        <f>+[6]Disminuyeron!C14</f>
        <v>1.2151391099999997</v>
      </c>
      <c r="D28" s="25">
        <f>+[6]Disminuyeron!D14</f>
        <v>0.28403628999999997</v>
      </c>
      <c r="E28" s="22">
        <f t="shared" si="2"/>
        <v>-76.625203841887696</v>
      </c>
      <c r="F28" s="22">
        <f t="shared" si="3"/>
        <v>1.2328550288274081E-3</v>
      </c>
      <c r="G28" s="22">
        <f>+[6]Disminuyeron!E14</f>
        <v>1.15368E-2</v>
      </c>
      <c r="H28" s="25">
        <f>+[6]Disminuyeron!F14</f>
        <v>2.1802519999999995E-2</v>
      </c>
      <c r="I28" s="22">
        <f t="shared" si="4"/>
        <v>88.982386797032078</v>
      </c>
      <c r="J28" s="22">
        <f t="shared" si="5"/>
        <v>8.274010516747365E-4</v>
      </c>
      <c r="K28" s="16"/>
    </row>
    <row r="29" spans="1:11">
      <c r="A29" s="14"/>
      <c r="B29" s="9" t="str">
        <f>+[6]Disminuyeron!B15</f>
        <v>Bermudas</v>
      </c>
      <c r="C29" s="22">
        <f>+[6]Disminuyeron!C15</f>
        <v>0.89724626000000007</v>
      </c>
      <c r="D29" s="25">
        <f>+[6]Disminuyeron!D15</f>
        <v>1.249549E-2</v>
      </c>
      <c r="E29" s="22">
        <f t="shared" si="2"/>
        <v>-98.607351118967046</v>
      </c>
      <c r="F29" s="22">
        <f t="shared" si="3"/>
        <v>5.4236476909913843E-5</v>
      </c>
      <c r="G29" s="22">
        <f>+[6]Disminuyeron!E15</f>
        <v>0.12709435999999999</v>
      </c>
      <c r="H29" s="25">
        <f>+[6]Disminuyeron!F15</f>
        <v>0</v>
      </c>
      <c r="I29" s="22" t="str">
        <f t="shared" si="4"/>
        <v/>
      </c>
      <c r="J29" s="22">
        <f t="shared" si="5"/>
        <v>0</v>
      </c>
      <c r="K29" s="16"/>
    </row>
    <row r="30" spans="1:11">
      <c r="A30" s="14"/>
      <c r="B30" s="9" t="str">
        <f>+[6]Disminuyeron!B16</f>
        <v>Emiratos Arabes Unidos</v>
      </c>
      <c r="C30" s="22">
        <f>+[6]Disminuyeron!C16</f>
        <v>7.0440645500000043</v>
      </c>
      <c r="D30" s="25">
        <f>+[6]Disminuyeron!D16</f>
        <v>6.2965309999999999</v>
      </c>
      <c r="E30" s="22">
        <f t="shared" si="2"/>
        <v>-10.612247299749743</v>
      </c>
      <c r="F30" s="22">
        <f t="shared" si="3"/>
        <v>2.7329993317113353E-2</v>
      </c>
      <c r="G30" s="22">
        <f>+[6]Disminuyeron!E16</f>
        <v>1.4254257099999996</v>
      </c>
      <c r="H30" s="25">
        <f>+[6]Disminuyeron!F16</f>
        <v>0.20258697999999997</v>
      </c>
      <c r="I30" s="22">
        <f t="shared" si="4"/>
        <v>-85.787615687105855</v>
      </c>
      <c r="J30" s="22">
        <f t="shared" si="5"/>
        <v>7.688133312461533E-3</v>
      </c>
      <c r="K30" s="16"/>
    </row>
    <row r="31" spans="1:11">
      <c r="A31" s="14"/>
      <c r="B31" s="9" t="str">
        <f>+[6]Disminuyeron!B17</f>
        <v>Bolivia</v>
      </c>
      <c r="C31" s="22">
        <f>+[6]Disminuyeron!C17</f>
        <v>5.6606632099999974</v>
      </c>
      <c r="D31" s="25">
        <f>+[6]Disminuyeron!D17</f>
        <v>5.0128409800000018</v>
      </c>
      <c r="E31" s="22">
        <f t="shared" si="2"/>
        <v>-11.444281455493899</v>
      </c>
      <c r="F31" s="22">
        <f t="shared" si="3"/>
        <v>2.1758157068257424E-2</v>
      </c>
      <c r="G31" s="22">
        <f>+[6]Disminuyeron!E17</f>
        <v>0.54110716000000003</v>
      </c>
      <c r="H31" s="25">
        <f>+[6]Disminuyeron!F17</f>
        <v>1.0170400500000001</v>
      </c>
      <c r="I31" s="22">
        <f t="shared" si="4"/>
        <v>87.95538576868951</v>
      </c>
      <c r="J31" s="22">
        <f t="shared" si="5"/>
        <v>3.8596456142011418E-2</v>
      </c>
      <c r="K31" s="16"/>
    </row>
    <row r="32" spans="1:11">
      <c r="A32" s="14"/>
      <c r="B32" s="9" t="str">
        <f>+[6]Disminuyeron!B18</f>
        <v>Cuba</v>
      </c>
      <c r="C32" s="22">
        <f>+[6]Disminuyeron!C18</f>
        <v>3.2967703400000006</v>
      </c>
      <c r="D32" s="25">
        <f>+[6]Disminuyeron!D18</f>
        <v>2.6729871100000002</v>
      </c>
      <c r="E32" s="22">
        <f t="shared" si="2"/>
        <v>-18.921039856237009</v>
      </c>
      <c r="F32" s="22">
        <f t="shared" si="3"/>
        <v>1.1602058316401546E-2</v>
      </c>
      <c r="G32" s="22">
        <f>+[6]Disminuyeron!E18</f>
        <v>5.5982469999999999E-2</v>
      </c>
      <c r="H32" s="25">
        <f>+[6]Disminuyeron!F18</f>
        <v>1.7452273</v>
      </c>
      <c r="I32" s="22">
        <f t="shared" si="4"/>
        <v>3017.4531956164133</v>
      </c>
      <c r="J32" s="22">
        <f t="shared" si="5"/>
        <v>6.6231009233403346E-2</v>
      </c>
      <c r="K32" s="16"/>
    </row>
    <row r="33" spans="1:13">
      <c r="A33" s="14"/>
      <c r="B33" s="9" t="str">
        <f>+[6]Disminuyeron!B19</f>
        <v>Georgia</v>
      </c>
      <c r="C33" s="22">
        <f>+[6]Disminuyeron!C19</f>
        <v>1.5791340900000004</v>
      </c>
      <c r="D33" s="25">
        <f>+[6]Disminuyeron!D19</f>
        <v>1.0759879299999999</v>
      </c>
      <c r="E33" s="22">
        <f t="shared" si="2"/>
        <v>-31.862155543738556</v>
      </c>
      <c r="F33" s="22">
        <f t="shared" si="3"/>
        <v>4.6703086090094095E-3</v>
      </c>
      <c r="G33" s="22">
        <f>+[6]Disminuyeron!E19</f>
        <v>0.43682852999999999</v>
      </c>
      <c r="H33" s="25">
        <f>+[6]Disminuyeron!F19</f>
        <v>7.5628039999999994E-2</v>
      </c>
      <c r="I33" s="22">
        <f t="shared" si="4"/>
        <v>-82.687019091907757</v>
      </c>
      <c r="J33" s="22">
        <f t="shared" si="5"/>
        <v>2.8700682229439098E-3</v>
      </c>
      <c r="K33" s="16"/>
    </row>
    <row r="34" spans="1:13">
      <c r="A34" s="14"/>
      <c r="B34" s="9" t="str">
        <f>+[6]Disminuyeron!B20</f>
        <v>Marshall Islas</v>
      </c>
      <c r="C34" s="22">
        <f>+[6]Disminuyeron!C20</f>
        <v>0.50199441999999994</v>
      </c>
      <c r="D34" s="25">
        <f>+[6]Disminuyeron!D20</f>
        <v>0.10385367</v>
      </c>
      <c r="E34" s="22">
        <f t="shared" si="2"/>
        <v>-79.311787967682989</v>
      </c>
      <c r="F34" s="22">
        <f t="shared" si="3"/>
        <v>4.5077521369428578E-4</v>
      </c>
      <c r="G34" s="22">
        <f>+[6]Disminuyeron!E20</f>
        <v>0</v>
      </c>
      <c r="H34" s="25">
        <f>+[6]Disminuyeron!F20</f>
        <v>0</v>
      </c>
      <c r="I34" s="22" t="str">
        <f t="shared" si="4"/>
        <v/>
      </c>
      <c r="J34" s="22">
        <f t="shared" si="5"/>
        <v>0</v>
      </c>
      <c r="K34" s="16"/>
    </row>
    <row r="35" spans="1:13">
      <c r="A35" s="14"/>
      <c r="B35" s="9" t="str">
        <f>+[6]Disminuyeron!B21</f>
        <v>Zona Franca de Ríonegro</v>
      </c>
      <c r="C35" s="22">
        <f>+[6]Disminuyeron!C21</f>
        <v>2.2647625699999998</v>
      </c>
      <c r="D35" s="25">
        <f>+[6]Disminuyeron!D21</f>
        <v>1.912518590000001</v>
      </c>
      <c r="E35" s="22">
        <f t="shared" si="2"/>
        <v>-15.553240973953342</v>
      </c>
      <c r="F35" s="22">
        <f t="shared" si="3"/>
        <v>8.3012567211302665E-3</v>
      </c>
      <c r="G35" s="22">
        <f>+[6]Disminuyeron!E21</f>
        <v>4.110258E-2</v>
      </c>
      <c r="H35" s="25">
        <f>+[6]Disminuyeron!F21</f>
        <v>0.6098090300000002</v>
      </c>
      <c r="I35" s="22">
        <f t="shared" si="4"/>
        <v>1383.6271348416576</v>
      </c>
      <c r="J35" s="22">
        <f t="shared" si="5"/>
        <v>2.3142124522429114E-2</v>
      </c>
      <c r="K35" s="16"/>
    </row>
    <row r="36" spans="1:13">
      <c r="A36" s="14"/>
      <c r="B36" s="9" t="s">
        <v>3</v>
      </c>
      <c r="C36" s="22">
        <f>+[6]Disminuyeron!C22</f>
        <v>38.526489279999943</v>
      </c>
      <c r="D36" s="25">
        <f>+[6]Disminuyeron!D22</f>
        <v>35.149583270000051</v>
      </c>
      <c r="E36" s="22">
        <f t="shared" si="2"/>
        <v>-8.7651537243829019</v>
      </c>
      <c r="F36" s="22">
        <f t="shared" si="3"/>
        <v>0.15256621080217356</v>
      </c>
      <c r="G36" s="22">
        <f>+[6]Disminuyeron!E22</f>
        <v>2.3627347099999993</v>
      </c>
      <c r="H36" s="25">
        <f>+[6]Disminuyeron!F22</f>
        <v>2.99932687</v>
      </c>
      <c r="I36" s="22">
        <f t="shared" si="4"/>
        <v>26.943023154723988</v>
      </c>
      <c r="J36" s="22">
        <f t="shared" si="5"/>
        <v>0.11382382433564085</v>
      </c>
      <c r="K36" s="16"/>
    </row>
    <row r="37" spans="1:13">
      <c r="A37" s="14"/>
      <c r="B37" s="10" t="s">
        <v>22</v>
      </c>
      <c r="C37" s="23">
        <f>SUM(C16:C36)</f>
        <v>1215.8476324399978</v>
      </c>
      <c r="D37" s="23">
        <f>SUM(D16:D36)</f>
        <v>983.65589994999937</v>
      </c>
      <c r="E37" s="25">
        <f t="shared" si="2"/>
        <v>-19.097107753874511</v>
      </c>
      <c r="F37" s="25">
        <f t="shared" si="3"/>
        <v>4.2695428914703353</v>
      </c>
      <c r="G37" s="23">
        <f t="shared" ref="G37:H37" si="6">SUM(G16:G36)</f>
        <v>176.13287948000024</v>
      </c>
      <c r="H37" s="23">
        <f t="shared" si="6"/>
        <v>98.846055660000076</v>
      </c>
      <c r="I37" s="25">
        <f>IF(OR(OR(H37=0,G37=0),H37=""),"",(H37/G37-1)*100)</f>
        <v>-43.87983893079771</v>
      </c>
      <c r="J37" s="25">
        <f t="shared" si="5"/>
        <v>3.7511870374151073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tr">
        <f>IF(F38="","",1)</f>
        <v/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f>+'Resumen importaciones totales'!C13</f>
        <v>16196.148383640118</v>
      </c>
      <c r="D13" s="23">
        <f>+'Resumen importaciones totales'!D13</f>
        <v>23038.904279779941</v>
      </c>
      <c r="E13" s="25">
        <f>IF(OR(OR(D13=0,C13=0),D13=""),"",(D13/C13-1)*100)</f>
        <v>42.249278865904657</v>
      </c>
      <c r="F13" s="25">
        <f>(D13/D$13)*100</f>
        <v>100</v>
      </c>
      <c r="G13" s="23">
        <f>+'Resumen importaciones totales'!G13</f>
        <v>1755.104618940001</v>
      </c>
      <c r="H13" s="23">
        <f>+'Resumen importaciones totales'!H13</f>
        <v>2635.0607067600013</v>
      </c>
      <c r="I13" s="25">
        <f>IF(OR(OR(H13=0,G13=0),H13=""),"",(H13/G13-1)*100)</f>
        <v>50.136959262944188</v>
      </c>
      <c r="J13" s="25">
        <f>(H13/H$13)*100</f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56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tr">
        <f>+[6]Aumentaron!B2</f>
        <v>Estados Unidos</v>
      </c>
      <c r="C16" s="21">
        <f>+[6]Aumentaron!C2</f>
        <v>4261.0379400000193</v>
      </c>
      <c r="D16" s="23">
        <f>+[6]Aumentaron!D2</f>
        <v>6547.8661789400812</v>
      </c>
      <c r="E16" s="22">
        <f t="shared" ref="E16:E38" si="0">IF(OR(OR(D16=0,C16=0),D16=""),"",(D16/C16-1)*100)</f>
        <v>53.668337882484373</v>
      </c>
      <c r="F16" s="22">
        <f t="shared" ref="F16:F38" si="1">(D16/D$13)*100</f>
        <v>28.420909690079345</v>
      </c>
      <c r="G16" s="21">
        <f>+[6]Aumentaron!E2</f>
        <v>430.88558867999967</v>
      </c>
      <c r="H16" s="23">
        <f>+[6]Aumentaron!F2</f>
        <v>706.87633478000214</v>
      </c>
      <c r="I16" s="22">
        <f t="shared" ref="I16:I35" si="2">IF(OR(OR(H16=0,G16=0),H16=""),"",(H16/G16-1)*100)</f>
        <v>64.051978843267605</v>
      </c>
      <c r="J16" s="22">
        <f t="shared" ref="J16:J38" si="3">(H16/H$13)*100</f>
        <v>26.825808337795674</v>
      </c>
      <c r="K16" s="16"/>
    </row>
    <row r="17" spans="1:11">
      <c r="A17" s="14"/>
      <c r="B17" s="9" t="str">
        <f>+[6]Aumentaron!B3</f>
        <v>Mexico</v>
      </c>
      <c r="C17" s="21">
        <f>+[6]Aumentaron!C3</f>
        <v>1484.1047346099956</v>
      </c>
      <c r="D17" s="23">
        <f>+[6]Aumentaron!D3</f>
        <v>2927.8929357100578</v>
      </c>
      <c r="E17" s="22">
        <f t="shared" si="0"/>
        <v>97.28344418222423</v>
      </c>
      <c r="F17" s="22">
        <f t="shared" si="1"/>
        <v>12.708473025254586</v>
      </c>
      <c r="G17" s="21">
        <f>+[6]Aumentaron!E3</f>
        <v>149.63454289999973</v>
      </c>
      <c r="H17" s="23">
        <f>+[6]Aumentaron!F3</f>
        <v>408.73668391000069</v>
      </c>
      <c r="I17" s="22">
        <f t="shared" si="2"/>
        <v>173.15663615396483</v>
      </c>
      <c r="J17" s="22">
        <f t="shared" si="3"/>
        <v>15.511471248515264</v>
      </c>
      <c r="K17" s="16"/>
    </row>
    <row r="18" spans="1:11">
      <c r="A18" s="14"/>
      <c r="B18" s="9" t="str">
        <f>+[6]Aumentaron!B4</f>
        <v>China</v>
      </c>
      <c r="C18" s="21">
        <f>+[6]Aumentaron!C4</f>
        <v>1666.7772031200225</v>
      </c>
      <c r="D18" s="23">
        <f>+[6]Aumentaron!D4</f>
        <v>2507.3768917399934</v>
      </c>
      <c r="E18" s="22">
        <f t="shared" si="0"/>
        <v>50.432636530332985</v>
      </c>
      <c r="F18" s="22">
        <f t="shared" si="1"/>
        <v>10.883229780769517</v>
      </c>
      <c r="G18" s="21">
        <f>+[6]Aumentaron!E4</f>
        <v>201.17266082999978</v>
      </c>
      <c r="H18" s="23">
        <f>+[6]Aumentaron!F4</f>
        <v>299.69130837999984</v>
      </c>
      <c r="I18" s="22">
        <f t="shared" si="2"/>
        <v>48.972184959691354</v>
      </c>
      <c r="J18" s="22">
        <f t="shared" si="3"/>
        <v>11.373222165666617</v>
      </c>
      <c r="K18" s="16"/>
    </row>
    <row r="19" spans="1:11">
      <c r="A19" s="14"/>
      <c r="B19" s="9" t="str">
        <f>+[6]Aumentaron!B5</f>
        <v>El Salvador</v>
      </c>
      <c r="C19" s="21">
        <f>+[6]Aumentaron!C5</f>
        <v>100.92087505999997</v>
      </c>
      <c r="D19" s="23">
        <f>+[6]Aumentaron!D5</f>
        <v>337.73620631999989</v>
      </c>
      <c r="E19" s="22">
        <f t="shared" si="0"/>
        <v>234.65445688932772</v>
      </c>
      <c r="F19" s="22">
        <f t="shared" si="1"/>
        <v>1.4659386671284258</v>
      </c>
      <c r="G19" s="21">
        <f>+[6]Aumentaron!E5</f>
        <v>7.5960739999999985E-2</v>
      </c>
      <c r="H19" s="23">
        <f>+[6]Aumentaron!F5</f>
        <v>0.48027150000000007</v>
      </c>
      <c r="I19" s="22">
        <f t="shared" si="2"/>
        <v>532.26279786110581</v>
      </c>
      <c r="J19" s="22">
        <f t="shared" si="3"/>
        <v>1.8226202484364348E-2</v>
      </c>
      <c r="K19" s="16"/>
    </row>
    <row r="20" spans="1:11">
      <c r="A20" s="14"/>
      <c r="B20" s="9" t="str">
        <f>+[6]Aumentaron!B6</f>
        <v>Panama</v>
      </c>
      <c r="C20" s="21">
        <f>+[6]Aumentaron!C6</f>
        <v>524.13179058999765</v>
      </c>
      <c r="D20" s="23">
        <f>+[6]Aumentaron!D6</f>
        <v>700.99553568000215</v>
      </c>
      <c r="E20" s="22">
        <f t="shared" si="0"/>
        <v>33.744136162951463</v>
      </c>
      <c r="F20" s="22">
        <f t="shared" si="1"/>
        <v>3.0426600465336793</v>
      </c>
      <c r="G20" s="21">
        <f>+[6]Aumentaron!E6</f>
        <v>38.006132740000005</v>
      </c>
      <c r="H20" s="23">
        <f>+[6]Aumentaron!F6</f>
        <v>73.608998400000033</v>
      </c>
      <c r="I20" s="22">
        <f t="shared" si="2"/>
        <v>93.67663346218167</v>
      </c>
      <c r="J20" s="22">
        <f t="shared" si="3"/>
        <v>2.7934460185741852</v>
      </c>
      <c r="K20" s="16"/>
    </row>
    <row r="21" spans="1:11">
      <c r="A21" s="14"/>
      <c r="B21" s="9" t="str">
        <f>+[6]Aumentaron!B7</f>
        <v>Trinidad y Tobago</v>
      </c>
      <c r="C21" s="21">
        <f>+[6]Aumentaron!C7</f>
        <v>47.633464079999982</v>
      </c>
      <c r="D21" s="23">
        <f>+[6]Aumentaron!D7</f>
        <v>197.17963239999997</v>
      </c>
      <c r="E21" s="22">
        <f t="shared" si="0"/>
        <v>313.95190588876449</v>
      </c>
      <c r="F21" s="22">
        <f t="shared" si="1"/>
        <v>0.85585507889389678</v>
      </c>
      <c r="G21" s="21">
        <f>+[6]Aumentaron!E7</f>
        <v>1.1508734100000004</v>
      </c>
      <c r="H21" s="23">
        <f>+[6]Aumentaron!F7</f>
        <v>70.237868090000021</v>
      </c>
      <c r="I21" s="22">
        <f t="shared" si="2"/>
        <v>6003.0055503671765</v>
      </c>
      <c r="J21" s="22">
        <f t="shared" si="3"/>
        <v>2.6655123318340008</v>
      </c>
      <c r="K21" s="16"/>
    </row>
    <row r="22" spans="1:11">
      <c r="A22" s="14"/>
      <c r="B22" s="9" t="str">
        <f>+[6]Aumentaron!B8</f>
        <v>Japon</v>
      </c>
      <c r="C22" s="21">
        <f>+[6]Aumentaron!C8</f>
        <v>488.54205783999487</v>
      </c>
      <c r="D22" s="23">
        <f>+[6]Aumentaron!D8</f>
        <v>635.10856899000032</v>
      </c>
      <c r="E22" s="22">
        <f t="shared" si="0"/>
        <v>30.000797024113801</v>
      </c>
      <c r="F22" s="22">
        <f t="shared" si="1"/>
        <v>2.7566787086632516</v>
      </c>
      <c r="G22" s="21">
        <f>+[6]Aumentaron!E8</f>
        <v>59.311941650000065</v>
      </c>
      <c r="H22" s="23">
        <f>+[6]Aumentaron!F8</f>
        <v>84.674736380000112</v>
      </c>
      <c r="I22" s="22">
        <f t="shared" si="2"/>
        <v>42.761700299184227</v>
      </c>
      <c r="J22" s="22">
        <f t="shared" si="3"/>
        <v>3.2133884491835429</v>
      </c>
      <c r="K22" s="16"/>
    </row>
    <row r="23" spans="1:11">
      <c r="A23" s="14"/>
      <c r="B23" s="9" t="str">
        <f>+[6]Aumentaron!B9</f>
        <v>Corea del Sur</v>
      </c>
      <c r="C23" s="21">
        <f>+[6]Aumentaron!C9</f>
        <v>588.08360423000033</v>
      </c>
      <c r="D23" s="23">
        <f>+[6]Aumentaron!D9</f>
        <v>717.713609320003</v>
      </c>
      <c r="E23" s="22">
        <f t="shared" si="0"/>
        <v>22.042785100212427</v>
      </c>
      <c r="F23" s="22">
        <f t="shared" si="1"/>
        <v>3.1152245810140511</v>
      </c>
      <c r="G23" s="21">
        <f>+[6]Aumentaron!E9</f>
        <v>57.345726750000047</v>
      </c>
      <c r="H23" s="23">
        <f>+[6]Aumentaron!F9</f>
        <v>66.042830240000029</v>
      </c>
      <c r="I23" s="22">
        <f t="shared" si="2"/>
        <v>15.166088186335468</v>
      </c>
      <c r="J23" s="22">
        <f t="shared" si="3"/>
        <v>2.5063115271148533</v>
      </c>
      <c r="K23" s="16"/>
    </row>
    <row r="24" spans="1:11">
      <c r="A24" s="14"/>
      <c r="B24" s="9" t="str">
        <f>+[6]Aumentaron!B10</f>
        <v>India</v>
      </c>
      <c r="C24" s="21">
        <f>+[6]Aumentaron!C10</f>
        <v>180.74054466999996</v>
      </c>
      <c r="D24" s="23">
        <f>+[6]Aumentaron!D10</f>
        <v>295.93122830000027</v>
      </c>
      <c r="E24" s="22">
        <f t="shared" si="0"/>
        <v>63.732619507326362</v>
      </c>
      <c r="F24" s="22">
        <f t="shared" si="1"/>
        <v>1.2844848205724952</v>
      </c>
      <c r="G24" s="21">
        <f>+[6]Aumentaron!E10</f>
        <v>16.203254029999993</v>
      </c>
      <c r="H24" s="23">
        <f>+[6]Aumentaron!F10</f>
        <v>25.904164429999987</v>
      </c>
      <c r="I24" s="22">
        <f t="shared" si="2"/>
        <v>59.870137085050665</v>
      </c>
      <c r="J24" s="22">
        <f t="shared" si="3"/>
        <v>0.98305759573376361</v>
      </c>
      <c r="K24" s="16"/>
    </row>
    <row r="25" spans="1:11">
      <c r="A25" s="14"/>
      <c r="B25" s="9" t="str">
        <f>+[6]Aumentaron!B11</f>
        <v>Alemania</v>
      </c>
      <c r="C25" s="21">
        <f>+[6]Aumentaron!C11</f>
        <v>657.45659859000534</v>
      </c>
      <c r="D25" s="23">
        <f>+[6]Aumentaron!D11</f>
        <v>772.42440864999935</v>
      </c>
      <c r="E25" s="22">
        <f t="shared" si="0"/>
        <v>17.486752784374858</v>
      </c>
      <c r="F25" s="22">
        <f t="shared" si="1"/>
        <v>3.3526959410474935</v>
      </c>
      <c r="G25" s="21">
        <f>+[6]Aumentaron!E11</f>
        <v>60.017827650000086</v>
      </c>
      <c r="H25" s="23">
        <f>+[6]Aumentaron!F11</f>
        <v>89.018608949999603</v>
      </c>
      <c r="I25" s="22">
        <f t="shared" si="2"/>
        <v>48.320278216533353</v>
      </c>
      <c r="J25" s="22">
        <f t="shared" si="3"/>
        <v>3.3782375002454672</v>
      </c>
      <c r="K25" s="16"/>
    </row>
    <row r="26" spans="1:11">
      <c r="A26" s="14"/>
      <c r="B26" s="9" t="str">
        <f>+[6]Aumentaron!B12</f>
        <v>Ecuador</v>
      </c>
      <c r="C26" s="21">
        <f>+[6]Aumentaron!C12</f>
        <v>145.64870324000083</v>
      </c>
      <c r="D26" s="23">
        <f>+[6]Aumentaron!D12</f>
        <v>257.36823577000013</v>
      </c>
      <c r="E26" s="22">
        <f t="shared" si="0"/>
        <v>76.704790392748762</v>
      </c>
      <c r="F26" s="22">
        <f t="shared" si="1"/>
        <v>1.1171027608108905</v>
      </c>
      <c r="G26" s="21">
        <f>+[6]Aumentaron!E12</f>
        <v>10.561317950000005</v>
      </c>
      <c r="H26" s="23">
        <f>+[6]Aumentaron!F12</f>
        <v>33.414747540000008</v>
      </c>
      <c r="I26" s="22">
        <f t="shared" si="2"/>
        <v>216.38804643695053</v>
      </c>
      <c r="J26" s="22">
        <f t="shared" si="3"/>
        <v>1.2680826462281345</v>
      </c>
      <c r="K26" s="16"/>
    </row>
    <row r="27" spans="1:11">
      <c r="A27" s="14"/>
      <c r="B27" s="9" t="str">
        <f>+[6]Aumentaron!B13</f>
        <v>Venezuela</v>
      </c>
      <c r="C27" s="21">
        <f>+[6]Aumentaron!C13</f>
        <v>73.994184169999002</v>
      </c>
      <c r="D27" s="23">
        <f>+[6]Aumentaron!D13</f>
        <v>175.88703061000129</v>
      </c>
      <c r="E27" s="22">
        <f t="shared" si="0"/>
        <v>137.70385819229668</v>
      </c>
      <c r="F27" s="22">
        <f t="shared" si="1"/>
        <v>0.76343487725832637</v>
      </c>
      <c r="G27" s="21">
        <f>+[6]Aumentaron!E13</f>
        <v>7.3174903000000011</v>
      </c>
      <c r="H27" s="23">
        <f>+[6]Aumentaron!F13</f>
        <v>22.211145980000008</v>
      </c>
      <c r="I27" s="22">
        <f t="shared" si="2"/>
        <v>203.53502456983108</v>
      </c>
      <c r="J27" s="22">
        <f t="shared" si="3"/>
        <v>0.84290832173313479</v>
      </c>
      <c r="K27" s="16"/>
    </row>
    <row r="28" spans="1:11">
      <c r="A28" s="14"/>
      <c r="B28" s="9" t="str">
        <f>+[6]Aumentaron!B14</f>
        <v>Costa Rica</v>
      </c>
      <c r="C28" s="21">
        <f>+[6]Aumentaron!C14</f>
        <v>129.31274246000012</v>
      </c>
      <c r="D28" s="23">
        <f>+[6]Aumentaron!D14</f>
        <v>229.93822182000011</v>
      </c>
      <c r="E28" s="22">
        <f t="shared" si="0"/>
        <v>77.815594539050267</v>
      </c>
      <c r="F28" s="22">
        <f t="shared" si="1"/>
        <v>0.99804321866906243</v>
      </c>
      <c r="G28" s="21">
        <f>+[6]Aumentaron!E14</f>
        <v>52.155157920000001</v>
      </c>
      <c r="H28" s="23">
        <f>+[6]Aumentaron!F14</f>
        <v>2.1373951600000001</v>
      </c>
      <c r="I28" s="22">
        <f t="shared" si="2"/>
        <v>-95.901852769234225</v>
      </c>
      <c r="J28" s="22">
        <f t="shared" si="3"/>
        <v>8.111369709687194E-2</v>
      </c>
      <c r="K28" s="16"/>
    </row>
    <row r="29" spans="1:11">
      <c r="A29" s="14"/>
      <c r="B29" s="9" t="str">
        <f>+[6]Aumentaron!B15</f>
        <v>Tailandia</v>
      </c>
      <c r="C29" s="21">
        <f>+[6]Aumentaron!C15</f>
        <v>102.24982819999975</v>
      </c>
      <c r="D29" s="23">
        <f>+[6]Aumentaron!D15</f>
        <v>201.86039879000052</v>
      </c>
      <c r="E29" s="22">
        <f t="shared" si="0"/>
        <v>97.41881462642985</v>
      </c>
      <c r="F29" s="22">
        <f t="shared" si="1"/>
        <v>0.87617187145120867</v>
      </c>
      <c r="G29" s="21">
        <f>+[6]Aumentaron!E15</f>
        <v>16.023810170000004</v>
      </c>
      <c r="H29" s="23">
        <f>+[6]Aumentaron!F15</f>
        <v>31.921922589999998</v>
      </c>
      <c r="I29" s="22">
        <f t="shared" si="2"/>
        <v>99.215556420935741</v>
      </c>
      <c r="J29" s="22">
        <f t="shared" si="3"/>
        <v>1.2114302531287913</v>
      </c>
      <c r="K29" s="16"/>
    </row>
    <row r="30" spans="1:11">
      <c r="A30" s="14"/>
      <c r="B30" s="9" t="str">
        <f>+[6]Aumentaron!B16</f>
        <v>Italia</v>
      </c>
      <c r="C30" s="21">
        <f>+[6]Aumentaron!C16</f>
        <v>254.20511353999939</v>
      </c>
      <c r="D30" s="23">
        <f>+[6]Aumentaron!D16</f>
        <v>335.92744900999986</v>
      </c>
      <c r="E30" s="22">
        <f t="shared" si="0"/>
        <v>32.148187080879232</v>
      </c>
      <c r="F30" s="22">
        <f t="shared" si="1"/>
        <v>1.4580877846036544</v>
      </c>
      <c r="G30" s="21">
        <f>+[6]Aumentaron!E16</f>
        <v>27.01592527999999</v>
      </c>
      <c r="H30" s="23">
        <f>+[6]Aumentaron!F16</f>
        <v>32.736903140000024</v>
      </c>
      <c r="I30" s="22">
        <f t="shared" si="2"/>
        <v>21.176316564050079</v>
      </c>
      <c r="J30" s="22">
        <f t="shared" si="3"/>
        <v>1.2423585937134793</v>
      </c>
      <c r="K30" s="16"/>
    </row>
    <row r="31" spans="1:11">
      <c r="A31" s="14"/>
      <c r="B31" s="9" t="str">
        <f>+[6]Aumentaron!B17</f>
        <v>Brasil</v>
      </c>
      <c r="C31" s="21">
        <f>+[6]Aumentaron!C17</f>
        <v>782.67670544998794</v>
      </c>
      <c r="D31" s="23">
        <f>+[6]Aumentaron!D17</f>
        <v>862.01595451998469</v>
      </c>
      <c r="E31" s="22">
        <f t="shared" si="0"/>
        <v>10.136912024790856</v>
      </c>
      <c r="F31" s="22">
        <f t="shared" si="1"/>
        <v>3.741566630304253</v>
      </c>
      <c r="G31" s="21">
        <f>+[6]Aumentaron!E17</f>
        <v>73.47509143000002</v>
      </c>
      <c r="H31" s="23">
        <f>+[6]Aumentaron!F17</f>
        <v>87.527580959999511</v>
      </c>
      <c r="I31" s="22">
        <f t="shared" si="2"/>
        <v>19.125514860212654</v>
      </c>
      <c r="J31" s="22">
        <f t="shared" si="3"/>
        <v>3.3216533014004463</v>
      </c>
      <c r="K31" s="16"/>
    </row>
    <row r="32" spans="1:11">
      <c r="A32" s="14"/>
      <c r="B32" s="9" t="str">
        <f>+[6]Aumentaron!B18</f>
        <v>Belgica</v>
      </c>
      <c r="C32" s="21">
        <f>+[6]Aumentaron!C18</f>
        <v>456.19990016999344</v>
      </c>
      <c r="D32" s="23">
        <f>+[6]Aumentaron!D18</f>
        <v>534.58280532999424</v>
      </c>
      <c r="E32" s="22">
        <f t="shared" si="0"/>
        <v>17.18170151523335</v>
      </c>
      <c r="F32" s="22">
        <f t="shared" si="1"/>
        <v>2.3203482198550995</v>
      </c>
      <c r="G32" s="21">
        <f>+[6]Aumentaron!E18</f>
        <v>55.649874129999993</v>
      </c>
      <c r="H32" s="23">
        <f>+[6]Aumentaron!F18</f>
        <v>48.061635439999861</v>
      </c>
      <c r="I32" s="22">
        <f t="shared" si="2"/>
        <v>-13.635679880018682</v>
      </c>
      <c r="J32" s="22">
        <f t="shared" si="3"/>
        <v>1.8239289636364824</v>
      </c>
      <c r="K32" s="16"/>
    </row>
    <row r="33" spans="1:13">
      <c r="A33" s="14"/>
      <c r="B33" s="9" t="str">
        <f>+[6]Aumentaron!B19</f>
        <v>Hong Kong</v>
      </c>
      <c r="C33" s="21">
        <f>+[6]Aumentaron!C19</f>
        <v>278.14830558000006</v>
      </c>
      <c r="D33" s="23">
        <f>+[6]Aumentaron!D19</f>
        <v>355.62910691000042</v>
      </c>
      <c r="E33" s="22">
        <f t="shared" si="0"/>
        <v>27.855931449388471</v>
      </c>
      <c r="F33" s="22">
        <f t="shared" si="1"/>
        <v>1.543602519422409</v>
      </c>
      <c r="G33" s="21">
        <f>+[6]Aumentaron!E19</f>
        <v>33.920640290000016</v>
      </c>
      <c r="H33" s="23">
        <f>+[6]Aumentaron!F19</f>
        <v>43.412802880000065</v>
      </c>
      <c r="I33" s="22">
        <f t="shared" si="2"/>
        <v>27.983441671053555</v>
      </c>
      <c r="J33" s="22">
        <f t="shared" si="3"/>
        <v>1.6475067450487417</v>
      </c>
      <c r="K33" s="16"/>
    </row>
    <row r="34" spans="1:13">
      <c r="A34" s="14"/>
      <c r="B34" s="9" t="str">
        <f>+[6]Aumentaron!B20</f>
        <v>España</v>
      </c>
      <c r="C34" s="21">
        <f>+[6]Aumentaron!C20</f>
        <v>242.1364806100016</v>
      </c>
      <c r="D34" s="23">
        <f>+[6]Aumentaron!D20</f>
        <v>313.46887408000129</v>
      </c>
      <c r="E34" s="22">
        <f t="shared" si="0"/>
        <v>29.459581344494556</v>
      </c>
      <c r="F34" s="22">
        <f t="shared" si="1"/>
        <v>1.360606694976882</v>
      </c>
      <c r="G34" s="21">
        <f>+[6]Aumentaron!E20</f>
        <v>30.644985470000044</v>
      </c>
      <c r="H34" s="23">
        <f>+[6]Aumentaron!F20</f>
        <v>34.099785639999972</v>
      </c>
      <c r="I34" s="22">
        <f t="shared" si="2"/>
        <v>11.273623129572075</v>
      </c>
      <c r="J34" s="22">
        <f t="shared" si="3"/>
        <v>1.2940796981458593</v>
      </c>
      <c r="K34" s="16"/>
    </row>
    <row r="35" spans="1:13">
      <c r="A35" s="14"/>
      <c r="B35" s="9" t="str">
        <f>+[6]Aumentaron!B21</f>
        <v>Peru</v>
      </c>
      <c r="C35" s="21">
        <f>+[6]Aumentaron!C21</f>
        <v>173.75658842000001</v>
      </c>
      <c r="D35" s="23">
        <f>+[6]Aumentaron!D21</f>
        <v>239.5118062199997</v>
      </c>
      <c r="E35" s="22">
        <f t="shared" si="0"/>
        <v>37.843294690534471</v>
      </c>
      <c r="F35" s="22">
        <f t="shared" si="1"/>
        <v>1.0395972104897666</v>
      </c>
      <c r="G35" s="21">
        <f>+[6]Aumentaron!E21</f>
        <v>19.06543585</v>
      </c>
      <c r="H35" s="23">
        <f>+[6]Aumentaron!F21</f>
        <v>21.375337789999982</v>
      </c>
      <c r="I35" s="22">
        <f t="shared" si="2"/>
        <v>12.115652420293245</v>
      </c>
      <c r="J35" s="22">
        <f t="shared" si="3"/>
        <v>0.81118957658787727</v>
      </c>
      <c r="K35" s="16"/>
    </row>
    <row r="36" spans="1:13">
      <c r="A36" s="14"/>
      <c r="B36" s="9" t="str">
        <f>+[6]Aumentaron!B22</f>
        <v>Suiza</v>
      </c>
      <c r="C36" s="21">
        <f>+[6]Aumentaron!C22</f>
        <v>285.29812291999951</v>
      </c>
      <c r="D36" s="23">
        <f>+[6]Aumentaron!D22</f>
        <v>349.19100981999838</v>
      </c>
      <c r="E36" s="22">
        <f t="shared" ref="E36:E37" si="4">IF(OR(OR(D36=0,C36=0),D36=""),"",(D36/C36-1)*100)</f>
        <v>22.395130485283655</v>
      </c>
      <c r="F36" s="22">
        <f t="shared" ref="F36:F37" si="5">(D36/D$13)*100</f>
        <v>1.5156580607284582</v>
      </c>
      <c r="G36" s="21">
        <f>+[6]Aumentaron!E22</f>
        <v>38.262852020000011</v>
      </c>
      <c r="H36" s="23">
        <f>+[6]Aumentaron!F22</f>
        <v>33.54508196999997</v>
      </c>
      <c r="I36" s="22">
        <f t="shared" ref="I36:I37" si="6">IF(OR(OR(H36=0,G36=0),H36=""),"",(H36/G36-1)*100)</f>
        <v>-12.329896494736092</v>
      </c>
      <c r="J36" s="22">
        <f t="shared" ref="J36:J37" si="7">(H36/H$13)*100</f>
        <v>1.27302881045371</v>
      </c>
      <c r="K36" s="16"/>
    </row>
    <row r="37" spans="1:13">
      <c r="A37" s="14"/>
      <c r="B37" s="9" t="s">
        <v>3</v>
      </c>
      <c r="C37" s="21">
        <f>+[6]Aumentaron!C23</f>
        <v>2057.2452636499988</v>
      </c>
      <c r="D37" s="23">
        <f>+[6]Aumentaron!D23</f>
        <v>2559.642290899993</v>
      </c>
      <c r="E37" s="22">
        <f t="shared" si="4"/>
        <v>24.420862020050691</v>
      </c>
      <c r="F37" s="22">
        <f t="shared" si="5"/>
        <v>11.110086920003653</v>
      </c>
      <c r="G37" s="21">
        <f>+[6]Aumentaron!E23</f>
        <v>201.07464927000001</v>
      </c>
      <c r="H37" s="23">
        <f>+[6]Aumentaron!F23</f>
        <v>320.49850695000003</v>
      </c>
      <c r="I37" s="22">
        <f t="shared" si="6"/>
        <v>59.392796711851759</v>
      </c>
      <c r="J37" s="22">
        <f t="shared" si="7"/>
        <v>12.162850978263656</v>
      </c>
      <c r="K37" s="16"/>
    </row>
    <row r="38" spans="1:13">
      <c r="A38" s="14"/>
      <c r="B38" s="10" t="s">
        <v>22</v>
      </c>
      <c r="C38" s="23">
        <f>SUM(C16:C37)</f>
        <v>14980.300751200011</v>
      </c>
      <c r="D38" s="23">
        <f>SUM(D16:D37)</f>
        <v>22055.248379830111</v>
      </c>
      <c r="E38" s="25">
        <f t="shared" si="0"/>
        <v>47.228341714456931</v>
      </c>
      <c r="F38" s="25">
        <f t="shared" si="1"/>
        <v>95.730457108530402</v>
      </c>
      <c r="G38" s="25">
        <f>SUM(G16:G37)</f>
        <v>1578.9717394599993</v>
      </c>
      <c r="H38" s="25">
        <f>SUM(H16:H37)</f>
        <v>2536.2146511000014</v>
      </c>
      <c r="I38" s="25">
        <f>IF(OR(OR(H38=0,G38=0),H38=""),"",(H38/G38-1)*100)</f>
        <v>60.624448666027078</v>
      </c>
      <c r="J38" s="25">
        <f t="shared" si="3"/>
        <v>96.248812962584907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tr">
        <f>IF(F39="","",1)</f>
        <v/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f>+'Resumen importaciones totales'!C13</f>
        <v>16196.148383640118</v>
      </c>
      <c r="D13" s="23">
        <f>+'Resumen importaciones totales'!D13</f>
        <v>23038.904279779941</v>
      </c>
      <c r="E13" s="25">
        <f>IF(OR(OR(D13=0,C13=0),D13=""),"",(D13/C13-1)*100)</f>
        <v>42.249278865904657</v>
      </c>
      <c r="F13" s="23">
        <f>(D13/D$13)*100</f>
        <v>100</v>
      </c>
      <c r="G13" s="25">
        <f>+'Resumen importaciones totales'!G13</f>
        <v>1755.104618940001</v>
      </c>
      <c r="H13" s="25">
        <f>+'Resumen importaciones totales'!H13</f>
        <v>2635.0607067600013</v>
      </c>
      <c r="I13" s="25">
        <f>IF(OR(OR(H13=0,G13=0),H13=""),"",(H13/G13-1)*100)</f>
        <v>50.136959262944188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+C15+C19</f>
        <v>3501.054067</v>
      </c>
      <c r="D14" s="25">
        <f>+D15+D19</f>
        <v>5392.3666649999996</v>
      </c>
      <c r="E14" s="22">
        <f t="shared" ref="E14:E45" si="0">IF(OR(OR(D14=0,C14=0),D14=""),"",(D14/C14-1)*100)</f>
        <v>54.021233657229303</v>
      </c>
      <c r="F14" s="22">
        <f t="shared" ref="F14:F45" si="1">(D14/D$13)*100</f>
        <v>23.405482307301401</v>
      </c>
      <c r="G14" s="22">
        <f>+G15+G19</f>
        <v>342.8769640000001</v>
      </c>
      <c r="H14" s="25">
        <f t="shared" ref="H14" si="2">+H15+H19</f>
        <v>697.47513600000002</v>
      </c>
      <c r="I14" s="22">
        <f t="shared" ref="I14:I45" si="3">IF(OR(OR(H14=0,G14=0),H14=""),"",(H14/G14-1)*100)</f>
        <v>103.41848803817567</v>
      </c>
      <c r="J14" s="22">
        <f>(H14/H$13)*100</f>
        <v>26.469034819983193</v>
      </c>
      <c r="K14" s="16"/>
    </row>
    <row r="15" spans="1:14">
      <c r="A15" s="14"/>
      <c r="B15" s="10" t="s">
        <v>35</v>
      </c>
      <c r="C15" s="22">
        <f>+SUM(C16:C18)</f>
        <v>325.06595400000003</v>
      </c>
      <c r="D15" s="25">
        <f>+SUM(D16:D18)</f>
        <v>501.89288299999998</v>
      </c>
      <c r="E15" s="22">
        <f t="shared" si="0"/>
        <v>54.397246719968685</v>
      </c>
      <c r="F15" s="22">
        <f>(D15/D$13)*100</f>
        <v>2.1784581284991296</v>
      </c>
      <c r="G15" s="22">
        <f t="shared" ref="G15:H15" si="4">+SUM(G16:G18)</f>
        <v>30.167860999999998</v>
      </c>
      <c r="H15" s="25">
        <f t="shared" si="4"/>
        <v>55.807126000000004</v>
      </c>
      <c r="I15" s="22">
        <f t="shared" si="3"/>
        <v>84.988673873828873</v>
      </c>
      <c r="J15" s="22">
        <f t="shared" ref="J15:J45" si="5">(H15/H$13)*100</f>
        <v>2.1178687024868936</v>
      </c>
      <c r="K15" s="16"/>
    </row>
    <row r="16" spans="1:14">
      <c r="A16" s="14" t="s">
        <v>41</v>
      </c>
      <c r="B16" s="9" t="str">
        <f>CONCATENATE(A16,[7]resumen_pais_origen!B7)</f>
        <v xml:space="preserve">   Bolivia</v>
      </c>
      <c r="C16" s="22">
        <f>[7]resumen_pais_origen!C7/1000000</f>
        <v>5.6606629999999996</v>
      </c>
      <c r="D16" s="25">
        <f>[7]resumen_pais_origen!D7/1000000</f>
        <v>5.0128409999999999</v>
      </c>
      <c r="E16" s="22">
        <f t="shared" si="0"/>
        <v>-11.444277816927094</v>
      </c>
      <c r="F16" s="22">
        <f t="shared" si="1"/>
        <v>2.1758157155067102E-2</v>
      </c>
      <c r="G16" s="22">
        <f>[7]resumen_pais_origen!E7/1000000</f>
        <v>0.541107</v>
      </c>
      <c r="H16" s="25">
        <f>[7]resumen_pais_origen!F7/1000000</f>
        <v>1.0170399999999999</v>
      </c>
      <c r="I16" s="22">
        <f t="shared" si="3"/>
        <v>87.95543210492562</v>
      </c>
      <c r="J16" s="22">
        <f t="shared" si="5"/>
        <v>3.8596454244521926E-2</v>
      </c>
      <c r="K16" s="16"/>
    </row>
    <row r="17" spans="1:11">
      <c r="A17" s="14" t="s">
        <v>41</v>
      </c>
      <c r="B17" s="9" t="str">
        <f>CONCATENATE(A17,[7]resumen_pais_origen!B8)</f>
        <v xml:space="preserve">   Ecuador</v>
      </c>
      <c r="C17" s="22">
        <f>[7]resumen_pais_origen!C8/1000000</f>
        <v>145.64870300000001</v>
      </c>
      <c r="D17" s="25">
        <f>[7]resumen_pais_origen!D8/1000000</f>
        <v>257.36823600000002</v>
      </c>
      <c r="E17" s="22">
        <f t="shared" si="0"/>
        <v>76.704790841838118</v>
      </c>
      <c r="F17" s="22">
        <f t="shared" si="1"/>
        <v>1.1171027618092013</v>
      </c>
      <c r="G17" s="22">
        <f>[7]resumen_pais_origen!E8/1000000</f>
        <v>10.561318</v>
      </c>
      <c r="H17" s="25">
        <f>[7]resumen_pais_origen!F8/1000000</f>
        <v>33.414748000000003</v>
      </c>
      <c r="I17" s="22">
        <f t="shared" si="3"/>
        <v>216.38804929460514</v>
      </c>
      <c r="J17" s="22">
        <f t="shared" si="5"/>
        <v>1.2680826636850377</v>
      </c>
      <c r="K17" s="16"/>
    </row>
    <row r="18" spans="1:11">
      <c r="A18" s="14" t="s">
        <v>41</v>
      </c>
      <c r="B18" s="9" t="str">
        <f>CONCATENATE(A18,[7]resumen_pais_origen!B9)</f>
        <v xml:space="preserve">   Perú </v>
      </c>
      <c r="C18" s="22">
        <f>[7]resumen_pais_origen!C9/1000000</f>
        <v>173.75658799999999</v>
      </c>
      <c r="D18" s="25">
        <f>[7]resumen_pais_origen!D9/1000000</f>
        <v>239.51180600000001</v>
      </c>
      <c r="E18" s="22">
        <f t="shared" si="0"/>
        <v>37.843294897112045</v>
      </c>
      <c r="F18" s="22">
        <f t="shared" si="1"/>
        <v>1.0395972095348613</v>
      </c>
      <c r="G18" s="22">
        <f>[7]resumen_pais_origen!E9/1000000</f>
        <v>19.065435999999998</v>
      </c>
      <c r="H18" s="25">
        <f>[7]resumen_pais_origen!F9/1000000</f>
        <v>21.375337999999999</v>
      </c>
      <c r="I18" s="22">
        <f t="shared" si="3"/>
        <v>12.115652639677377</v>
      </c>
      <c r="J18" s="22">
        <f t="shared" si="5"/>
        <v>0.81118958455733381</v>
      </c>
      <c r="K18" s="16"/>
    </row>
    <row r="19" spans="1:11">
      <c r="A19" s="14"/>
      <c r="B19" s="10" t="s">
        <v>36</v>
      </c>
      <c r="C19" s="22">
        <f>SUM(C20:C27)</f>
        <v>3175.9881129999999</v>
      </c>
      <c r="D19" s="25">
        <f>SUM(D20:D27)</f>
        <v>4890.473782</v>
      </c>
      <c r="E19" s="22">
        <f t="shared" si="0"/>
        <v>53.982748297521745</v>
      </c>
      <c r="F19" s="22">
        <f t="shared" si="1"/>
        <v>21.227024178802274</v>
      </c>
      <c r="G19" s="22">
        <f>SUM(G20:G27)</f>
        <v>312.70910300000008</v>
      </c>
      <c r="H19" s="25">
        <f>SUM(H20:H27)</f>
        <v>641.66800999999998</v>
      </c>
      <c r="I19" s="22">
        <f t="shared" si="3"/>
        <v>105.19646017468185</v>
      </c>
      <c r="J19" s="22">
        <f t="shared" si="5"/>
        <v>24.351166117496302</v>
      </c>
      <c r="K19" s="16"/>
    </row>
    <row r="20" spans="1:11">
      <c r="A20" s="14" t="s">
        <v>41</v>
      </c>
      <c r="B20" s="9" t="str">
        <f>CONCATENATE(A20,[7]resumen_pais_origen!B23)</f>
        <v xml:space="preserve">   Argentina</v>
      </c>
      <c r="C20" s="22">
        <f>[7]resumen_pais_origen!C23/1000000</f>
        <v>333.18874699999998</v>
      </c>
      <c r="D20" s="25">
        <f>[7]resumen_pais_origen!D23/1000000</f>
        <v>383.637428</v>
      </c>
      <c r="E20" s="22">
        <f t="shared" si="0"/>
        <v>15.141171919590679</v>
      </c>
      <c r="F20" s="22">
        <f t="shared" si="1"/>
        <v>1.6651721945678588</v>
      </c>
      <c r="G20" s="22">
        <f>[7]resumen_pais_origen!E23/1000000</f>
        <v>40.928043000000002</v>
      </c>
      <c r="H20" s="25">
        <f>[7]resumen_pais_origen!F23/1000000</f>
        <v>39.794770999999997</v>
      </c>
      <c r="I20" s="22">
        <f t="shared" si="3"/>
        <v>-2.7689376694605361</v>
      </c>
      <c r="J20" s="22">
        <f t="shared" si="5"/>
        <v>1.510203195619374</v>
      </c>
      <c r="K20" s="16"/>
    </row>
    <row r="21" spans="1:11">
      <c r="A21" s="14" t="s">
        <v>41</v>
      </c>
      <c r="B21" s="9" t="str">
        <f>CONCATENATE(A21,[7]resumen_pais_origen!B24)</f>
        <v xml:space="preserve">   Brasil </v>
      </c>
      <c r="C21" s="22">
        <f>[7]resumen_pais_origen!C24/1000000</f>
        <v>782.67670499999997</v>
      </c>
      <c r="D21" s="25">
        <f>[7]resumen_pais_origen!D24/1000000</f>
        <v>862.01595499999996</v>
      </c>
      <c r="E21" s="22">
        <f t="shared" si="0"/>
        <v>10.136912149442345</v>
      </c>
      <c r="F21" s="22">
        <f t="shared" si="1"/>
        <v>3.7415666323877517</v>
      </c>
      <c r="G21" s="22">
        <f>[7]resumen_pais_origen!E24/1000000</f>
        <v>73.475091000000006</v>
      </c>
      <c r="H21" s="25">
        <f>[7]resumen_pais_origen!F24/1000000</f>
        <v>87.527580999999998</v>
      </c>
      <c r="I21" s="22">
        <f t="shared" si="3"/>
        <v>19.125515611814613</v>
      </c>
      <c r="J21" s="22">
        <f t="shared" si="5"/>
        <v>3.3216533029184565</v>
      </c>
      <c r="K21" s="16"/>
    </row>
    <row r="22" spans="1:11">
      <c r="A22" s="14" t="s">
        <v>41</v>
      </c>
      <c r="B22" s="9" t="str">
        <f>CONCATENATE(A22,[7]resumen_pais_origen!B25)</f>
        <v xml:space="preserve">   Cuba </v>
      </c>
      <c r="C22" s="22">
        <f>[7]resumen_pais_origen!C25/1000000</f>
        <v>3.29677</v>
      </c>
      <c r="D22" s="25">
        <f>[7]resumen_pais_origen!D25/1000000</f>
        <v>2.672987</v>
      </c>
      <c r="E22" s="22">
        <f t="shared" si="0"/>
        <v>-18.921034831061924</v>
      </c>
      <c r="F22" s="22">
        <f t="shared" si="1"/>
        <v>1.1602057838948283E-2</v>
      </c>
      <c r="G22" s="22">
        <f>[7]resumen_pais_origen!E25/1000000</f>
        <v>5.5981999999999997E-2</v>
      </c>
      <c r="H22" s="25">
        <f>[7]resumen_pais_origen!F25/1000000</f>
        <v>1.7452270000000001</v>
      </c>
      <c r="I22" s="22">
        <f t="shared" si="3"/>
        <v>3017.4788324818696</v>
      </c>
      <c r="J22" s="22">
        <f t="shared" si="5"/>
        <v>6.6230997848466408E-2</v>
      </c>
      <c r="K22" s="16"/>
    </row>
    <row r="23" spans="1:11">
      <c r="A23" s="14" t="s">
        <v>41</v>
      </c>
      <c r="B23" s="9" t="str">
        <f>CONCATENATE(A23,[7]resumen_pais_origen!B26)</f>
        <v xml:space="preserve">   Chile </v>
      </c>
      <c r="C23" s="22">
        <f>[7]resumen_pais_origen!C26/1000000</f>
        <v>427.015332</v>
      </c>
      <c r="D23" s="25">
        <f>[7]resumen_pais_origen!D26/1000000</f>
        <v>456.97965299999998</v>
      </c>
      <c r="E23" s="22">
        <f t="shared" si="0"/>
        <v>7.0171534262380986</v>
      </c>
      <c r="F23" s="22">
        <f t="shared" si="1"/>
        <v>1.9835129633359667</v>
      </c>
      <c r="G23" s="22">
        <f>[7]resumen_pais_origen!E26/1000000</f>
        <v>33.285673000000003</v>
      </c>
      <c r="H23" s="25">
        <f>[7]resumen_pais_origen!F26/1000000</f>
        <v>72.509708000000003</v>
      </c>
      <c r="I23" s="22">
        <f t="shared" si="3"/>
        <v>117.84059466065173</v>
      </c>
      <c r="J23" s="22">
        <f t="shared" si="5"/>
        <v>2.7517281789365664</v>
      </c>
      <c r="K23" s="16"/>
    </row>
    <row r="24" spans="1:11">
      <c r="A24" s="14" t="s">
        <v>41</v>
      </c>
      <c r="B24" s="9" t="str">
        <f>CONCATENATE(A24,[7]resumen_pais_origen!B27)</f>
        <v xml:space="preserve">   México </v>
      </c>
      <c r="C24" s="22">
        <f>[7]resumen_pais_origen!C27/1000000</f>
        <v>1484.1047349999999</v>
      </c>
      <c r="D24" s="25">
        <f>[7]resumen_pais_origen!D27/1000000</f>
        <v>2927.8929360000002</v>
      </c>
      <c r="E24" s="22">
        <f t="shared" si="0"/>
        <v>97.283444149917116</v>
      </c>
      <c r="F24" s="22">
        <f t="shared" si="1"/>
        <v>12.708473026513076</v>
      </c>
      <c r="G24" s="22">
        <f>[7]resumen_pais_origen!E27/1000000</f>
        <v>149.63454300000001</v>
      </c>
      <c r="H24" s="25">
        <f>[7]resumen_pais_origen!F27/1000000</f>
        <v>408.73668400000003</v>
      </c>
      <c r="I24" s="22">
        <f t="shared" si="3"/>
        <v>173.15663603156125</v>
      </c>
      <c r="J24" s="22">
        <f t="shared" si="5"/>
        <v>15.51147125193072</v>
      </c>
      <c r="K24" s="16"/>
    </row>
    <row r="25" spans="1:11">
      <c r="A25" s="14" t="s">
        <v>41</v>
      </c>
      <c r="B25" s="9" t="str">
        <f>CONCATENATE(A25,[7]resumen_pais_origen!B28)</f>
        <v xml:space="preserve">   Paraguay </v>
      </c>
      <c r="C25" s="22">
        <f>[7]resumen_pais_origen!C28/1000000</f>
        <v>2.96828</v>
      </c>
      <c r="D25" s="25">
        <f>[7]resumen_pais_origen!D28/1000000</f>
        <v>3.3360539999999999</v>
      </c>
      <c r="E25" s="22">
        <f t="shared" si="0"/>
        <v>12.39013839664722</v>
      </c>
      <c r="F25" s="22">
        <f t="shared" si="1"/>
        <v>1.4480089675653033E-2</v>
      </c>
      <c r="G25" s="22">
        <f>[7]resumen_pais_origen!E28/1000000</f>
        <v>0.32798100000000002</v>
      </c>
      <c r="H25" s="25">
        <f>[7]resumen_pais_origen!F28/1000000</f>
        <v>0.103716</v>
      </c>
      <c r="I25" s="22">
        <f t="shared" si="3"/>
        <v>-68.377436497845906</v>
      </c>
      <c r="J25" s="22">
        <f t="shared" si="5"/>
        <v>3.9360004015818809E-3</v>
      </c>
      <c r="K25" s="16"/>
    </row>
    <row r="26" spans="1:11">
      <c r="A26" s="14" t="s">
        <v>41</v>
      </c>
      <c r="B26" s="9" t="str">
        <f>CONCATENATE(A26,[7]resumen_pais_origen!B29)</f>
        <v xml:space="preserve">   Uruguay </v>
      </c>
      <c r="C26" s="22">
        <f>[7]resumen_pais_origen!C29/1000000</f>
        <v>68.743359999999996</v>
      </c>
      <c r="D26" s="25">
        <f>[7]resumen_pais_origen!D29/1000000</f>
        <v>78.051738</v>
      </c>
      <c r="E26" s="22">
        <f t="shared" si="0"/>
        <v>13.540766700958473</v>
      </c>
      <c r="F26" s="22">
        <f t="shared" si="1"/>
        <v>0.3387823355319115</v>
      </c>
      <c r="G26" s="22">
        <f>[7]resumen_pais_origen!E29/1000000</f>
        <v>7.6843000000000004</v>
      </c>
      <c r="H26" s="25">
        <f>[7]resumen_pais_origen!F29/1000000</f>
        <v>9.0391770000000005</v>
      </c>
      <c r="I26" s="22">
        <f t="shared" si="3"/>
        <v>17.631755657639616</v>
      </c>
      <c r="J26" s="22">
        <f t="shared" si="5"/>
        <v>0.3430348673490079</v>
      </c>
      <c r="K26" s="16"/>
    </row>
    <row r="27" spans="1:11">
      <c r="A27" s="14" t="s">
        <v>41</v>
      </c>
      <c r="B27" s="9" t="str">
        <f>CONCATENATE(A27,[7]resumen_pais_origen!B30)</f>
        <v xml:space="preserve">   Venezuela</v>
      </c>
      <c r="C27" s="22">
        <f>[7]resumen_pais_origen!C30/1000000</f>
        <v>73.994184000000004</v>
      </c>
      <c r="D27" s="25">
        <f>[7]resumen_pais_origen!D30/1000000</f>
        <v>175.88703100000001</v>
      </c>
      <c r="E27" s="22">
        <f t="shared" si="0"/>
        <v>137.70385926547957</v>
      </c>
      <c r="F27" s="22">
        <f>(D27/D$13)*100</f>
        <v>0.76343487895110962</v>
      </c>
      <c r="G27" s="22">
        <f>[7]resumen_pais_origen!E30/1000000</f>
        <v>7.3174900000000003</v>
      </c>
      <c r="H27" s="25">
        <f>[7]resumen_pais_origen!F30/1000000</f>
        <v>22.211145999999999</v>
      </c>
      <c r="I27" s="22">
        <f t="shared" si="3"/>
        <v>203.53503728737584</v>
      </c>
      <c r="J27" s="22">
        <f t="shared" si="5"/>
        <v>0.84290832249213021</v>
      </c>
      <c r="K27" s="16"/>
    </row>
    <row r="28" spans="1:11">
      <c r="A28" s="14" t="s">
        <v>41</v>
      </c>
      <c r="B28" s="9" t="str">
        <f>+[7]resumen_pais_origen!B44</f>
        <v xml:space="preserve">Canadá </v>
      </c>
      <c r="C28" s="22">
        <f>+[7]resumen_pais_origen!C44/1000000</f>
        <v>218.03392500000001</v>
      </c>
      <c r="D28" s="25">
        <f>+[7]resumen_pais_origen!D44/1000000</f>
        <v>214.33552499999999</v>
      </c>
      <c r="E28" s="22">
        <f t="shared" si="0"/>
        <v>-1.6962497923201703</v>
      </c>
      <c r="F28" s="22">
        <f>(D28/D$13)*100</f>
        <v>0.93031995965238334</v>
      </c>
      <c r="G28" s="22">
        <f>+[7]resumen_pais_origen!E44/1000000</f>
        <v>21.828704999999999</v>
      </c>
      <c r="H28" s="25">
        <f>+[7]resumen_pais_origen!F44/1000000</f>
        <v>30.125883999999999</v>
      </c>
      <c r="I28" s="22">
        <f t="shared" si="3"/>
        <v>38.010404190262314</v>
      </c>
      <c r="J28" s="22">
        <f t="shared" si="5"/>
        <v>1.1432709661191056</v>
      </c>
      <c r="K28" s="16"/>
    </row>
    <row r="29" spans="1:11">
      <c r="A29" s="14" t="s">
        <v>41</v>
      </c>
      <c r="B29" s="9" t="str">
        <f>+[7]resumen_pais_origen!B45</f>
        <v>Estados Unidos</v>
      </c>
      <c r="C29" s="22">
        <f>+[7]resumen_pais_origen!C45/1000000</f>
        <v>4261.0379400000002</v>
      </c>
      <c r="D29" s="25">
        <f>+[7]resumen_pais_origen!D45/1000000</f>
        <v>6547.8661789999996</v>
      </c>
      <c r="E29" s="22">
        <f t="shared" si="0"/>
        <v>53.668337883891247</v>
      </c>
      <c r="F29" s="22">
        <f t="shared" si="1"/>
        <v>28.420909690339414</v>
      </c>
      <c r="G29" s="22">
        <f>+[7]resumen_pais_origen!E45/1000000</f>
        <v>430.88558899999998</v>
      </c>
      <c r="H29" s="25">
        <f>+[7]resumen_pais_origen!F45/1000000</f>
        <v>706.87633500000004</v>
      </c>
      <c r="I29" s="22">
        <f t="shared" si="3"/>
        <v>64.051978772490358</v>
      </c>
      <c r="J29" s="22">
        <f t="shared" si="5"/>
        <v>26.825808346144552</v>
      </c>
      <c r="K29" s="16"/>
    </row>
    <row r="30" spans="1:11">
      <c r="A30" s="14"/>
      <c r="B30" s="10" t="s">
        <v>33</v>
      </c>
      <c r="C30" s="22">
        <f>SUM(C31:C41)</f>
        <v>2918.2711880000002</v>
      </c>
      <c r="D30" s="25">
        <f>SUM(D31:D41)</f>
        <v>3354.9588280000007</v>
      </c>
      <c r="E30" s="22">
        <f t="shared" si="0"/>
        <v>14.963915683904583</v>
      </c>
      <c r="F30" s="22">
        <f t="shared" si="1"/>
        <v>14.562145782881156</v>
      </c>
      <c r="G30" s="22">
        <f>SUM(G31:G41)</f>
        <v>316.82573200000002</v>
      </c>
      <c r="H30" s="25">
        <f>SUM(H31:H41)</f>
        <v>357.68207099999995</v>
      </c>
      <c r="I30" s="22">
        <f t="shared" si="3"/>
        <v>12.895524218342192</v>
      </c>
      <c r="J30" s="22">
        <f t="shared" si="5"/>
        <v>13.573959418938628</v>
      </c>
      <c r="K30" s="16"/>
    </row>
    <row r="31" spans="1:11">
      <c r="A31" s="14" t="s">
        <v>41</v>
      </c>
      <c r="B31" s="9" t="str">
        <f>CONCATENATE(A31,[7]resumen_pais_origen!B59)</f>
        <v xml:space="preserve">   Alemania </v>
      </c>
      <c r="C31" s="22">
        <f>[7]resumen_pais_origen!C59/1000000</f>
        <v>657.45659899999998</v>
      </c>
      <c r="D31" s="25">
        <f>[7]resumen_pais_origen!D59/1000000</f>
        <v>772.42440899999997</v>
      </c>
      <c r="E31" s="22">
        <f t="shared" si="0"/>
        <v>17.486752764344835</v>
      </c>
      <c r="F31" s="22">
        <f t="shared" si="1"/>
        <v>3.3526959425666658</v>
      </c>
      <c r="G31" s="22">
        <f>[7]resumen_pais_origen!E59/1000000</f>
        <v>60.017828000000002</v>
      </c>
      <c r="H31" s="25">
        <f>[7]resumen_pais_origen!F59/1000000</f>
        <v>89.018608999999998</v>
      </c>
      <c r="I31" s="22">
        <f t="shared" si="3"/>
        <v>48.320277434898173</v>
      </c>
      <c r="J31" s="22">
        <f t="shared" si="5"/>
        <v>3.3782375021429716</v>
      </c>
      <c r="K31" s="16"/>
    </row>
    <row r="32" spans="1:11">
      <c r="A32" s="14" t="s">
        <v>41</v>
      </c>
      <c r="B32" s="9" t="str">
        <f>CONCATENATE(A32,[7]resumen_pais_origen!B60)</f>
        <v xml:space="preserve">   Bélgica </v>
      </c>
      <c r="C32" s="22">
        <f>[7]resumen_pais_origen!C60/1000000</f>
        <v>456.19990000000001</v>
      </c>
      <c r="D32" s="25">
        <f>[7]resumen_pais_origen!D60/1000000</f>
        <v>534.58280500000001</v>
      </c>
      <c r="E32" s="22">
        <f t="shared" si="0"/>
        <v>17.181701486563238</v>
      </c>
      <c r="F32" s="22">
        <f t="shared" si="1"/>
        <v>2.3203482184227648</v>
      </c>
      <c r="G32" s="22">
        <f>[7]resumen_pais_origen!E60/1000000</f>
        <v>55.649873999999997</v>
      </c>
      <c r="H32" s="25">
        <f>[7]resumen_pais_origen!F60/1000000</f>
        <v>48.061635000000003</v>
      </c>
      <c r="I32" s="22">
        <f t="shared" si="3"/>
        <v>-13.635680468926115</v>
      </c>
      <c r="J32" s="22">
        <f t="shared" si="5"/>
        <v>1.8239289469385804</v>
      </c>
      <c r="K32" s="16"/>
    </row>
    <row r="33" spans="1:11">
      <c r="A33" s="14" t="s">
        <v>41</v>
      </c>
      <c r="B33" s="9" t="str">
        <f>CONCATENATE(A33,[7]resumen_pais_origen!B61)</f>
        <v xml:space="preserve">   Dinamarca </v>
      </c>
      <c r="C33" s="22">
        <f>[7]resumen_pais_origen!C61/1000000</f>
        <v>33.546576999999999</v>
      </c>
      <c r="D33" s="25">
        <f>[7]resumen_pais_origen!D61/1000000</f>
        <v>33.415263000000003</v>
      </c>
      <c r="E33" s="22">
        <f t="shared" si="0"/>
        <v>-0.39143785072317527</v>
      </c>
      <c r="F33" s="22">
        <f t="shared" si="1"/>
        <v>0.14503842107337916</v>
      </c>
      <c r="G33" s="22">
        <f>[7]resumen_pais_origen!E61/1000000</f>
        <v>1.7774460000000001</v>
      </c>
      <c r="H33" s="25">
        <f>[7]resumen_pais_origen!F61/1000000</f>
        <v>2.8045460000000002</v>
      </c>
      <c r="I33" s="22">
        <f t="shared" si="3"/>
        <v>57.785159155327356</v>
      </c>
      <c r="J33" s="22">
        <f t="shared" si="5"/>
        <v>0.10643193125703708</v>
      </c>
      <c r="K33" s="16"/>
    </row>
    <row r="34" spans="1:11">
      <c r="A34" s="14" t="s">
        <v>41</v>
      </c>
      <c r="B34" s="9" t="str">
        <f>CONCATENATE(A34,[7]resumen_pais_origen!B62)</f>
        <v xml:space="preserve">   España </v>
      </c>
      <c r="C34" s="22">
        <f>[7]resumen_pais_origen!C62/1000000</f>
        <v>242.136481</v>
      </c>
      <c r="D34" s="25">
        <f>[7]resumen_pais_origen!D62/1000000</f>
        <v>313.46887400000003</v>
      </c>
      <c r="E34" s="22">
        <f t="shared" si="0"/>
        <v>29.459581102940046</v>
      </c>
      <c r="F34" s="22">
        <f t="shared" si="1"/>
        <v>1.3606066946296378</v>
      </c>
      <c r="G34" s="22">
        <f>[7]resumen_pais_origen!E62/1000000</f>
        <v>30.644984999999998</v>
      </c>
      <c r="H34" s="25">
        <f>[7]resumen_pais_origen!F62/1000000</f>
        <v>34.099786000000002</v>
      </c>
      <c r="I34" s="22">
        <f t="shared" si="3"/>
        <v>11.273626010911752</v>
      </c>
      <c r="J34" s="22">
        <f t="shared" si="5"/>
        <v>1.2940797118077849</v>
      </c>
      <c r="K34" s="16"/>
    </row>
    <row r="35" spans="1:11">
      <c r="A35" s="14" t="s">
        <v>41</v>
      </c>
      <c r="B35" s="9" t="str">
        <f>CONCATENATE(A35,[7]resumen_pais_origen!B63)</f>
        <v xml:space="preserve">   Finlandia </v>
      </c>
      <c r="C35" s="22">
        <f>[7]resumen_pais_origen!C63/1000000</f>
        <v>55.339080000000003</v>
      </c>
      <c r="D35" s="25">
        <f>[7]resumen_pais_origen!D63/1000000</f>
        <v>80.230659000000003</v>
      </c>
      <c r="E35" s="22">
        <f t="shared" si="0"/>
        <v>44.980109897020327</v>
      </c>
      <c r="F35" s="22">
        <f t="shared" si="1"/>
        <v>0.34823990770435342</v>
      </c>
      <c r="G35" s="22">
        <f>[7]resumen_pais_origen!E63/1000000</f>
        <v>6.6924840000000003</v>
      </c>
      <c r="H35" s="25">
        <f>[7]resumen_pais_origen!F63/1000000</f>
        <v>13.220046999999999</v>
      </c>
      <c r="I35" s="22">
        <f t="shared" si="3"/>
        <v>97.535728139208075</v>
      </c>
      <c r="J35" s="22">
        <f t="shared" si="5"/>
        <v>0.50169800513837148</v>
      </c>
      <c r="K35" s="16"/>
    </row>
    <row r="36" spans="1:11">
      <c r="A36" s="14" t="s">
        <v>41</v>
      </c>
      <c r="B36" s="9" t="str">
        <f>CONCATENATE(A36,[7]resumen_pais_origen!B64)</f>
        <v xml:space="preserve">   Francia </v>
      </c>
      <c r="C36" s="22">
        <f>[7]resumen_pais_origen!C64/1000000</f>
        <v>628.15191300000004</v>
      </c>
      <c r="D36" s="25">
        <f>[7]resumen_pais_origen!D64/1000000</f>
        <v>584.83058300000005</v>
      </c>
      <c r="E36" s="22">
        <f t="shared" si="0"/>
        <v>-6.8966326621694112</v>
      </c>
      <c r="F36" s="22">
        <f t="shared" si="1"/>
        <v>2.5384479048913611</v>
      </c>
      <c r="G36" s="22">
        <f>[7]resumen_pais_origen!E64/1000000</f>
        <v>79.820453999999998</v>
      </c>
      <c r="H36" s="25">
        <f>[7]resumen_pais_origen!F64/1000000</f>
        <v>51.996093000000002</v>
      </c>
      <c r="I36" s="22">
        <f t="shared" si="3"/>
        <v>-34.858685469265808</v>
      </c>
      <c r="J36" s="22">
        <f t="shared" si="5"/>
        <v>1.973240801117367</v>
      </c>
      <c r="K36" s="16"/>
    </row>
    <row r="37" spans="1:11">
      <c r="A37" s="14" t="s">
        <v>41</v>
      </c>
      <c r="B37" s="7" t="str">
        <f>CONCATENATE(A37,[7]resumen_pais_origen!B65)</f>
        <v xml:space="preserve">   Italia </v>
      </c>
      <c r="C37" s="22">
        <f>[7]resumen_pais_origen!C65/1000000</f>
        <v>254.20511400000001</v>
      </c>
      <c r="D37" s="25">
        <f>[7]resumen_pais_origen!D65/1000000</f>
        <v>335.92744900000002</v>
      </c>
      <c r="E37" s="22">
        <f t="shared" si="0"/>
        <v>32.148186837814748</v>
      </c>
      <c r="F37" s="22">
        <f t="shared" si="1"/>
        <v>1.4580877845602502</v>
      </c>
      <c r="G37" s="22">
        <f>[7]resumen_pais_origen!E65/1000000</f>
        <v>27.015924999999999</v>
      </c>
      <c r="H37" s="25">
        <f>[7]resumen_pais_origen!F65/1000000</f>
        <v>32.736902999999998</v>
      </c>
      <c r="I37" s="22">
        <f t="shared" si="3"/>
        <v>21.176317301739612</v>
      </c>
      <c r="J37" s="22">
        <f t="shared" si="5"/>
        <v>1.2423585884005077</v>
      </c>
      <c r="K37" s="16"/>
    </row>
    <row r="38" spans="1:11">
      <c r="A38" s="14" t="s">
        <v>41</v>
      </c>
      <c r="B38" s="7" t="str">
        <f>CONCATENATE(A38,[7]resumen_pais_origen!B66)</f>
        <v xml:space="preserve">   Países Bajos </v>
      </c>
      <c r="C38" s="22">
        <f>[7]resumen_pais_origen!C66/1000000</f>
        <v>207.848208</v>
      </c>
      <c r="D38" s="25">
        <f>[7]resumen_pais_origen!D66/1000000</f>
        <v>253.255089</v>
      </c>
      <c r="E38" s="22">
        <f t="shared" si="0"/>
        <v>21.846173915533583</v>
      </c>
      <c r="F38" s="22">
        <f t="shared" si="1"/>
        <v>1.0992497122455123</v>
      </c>
      <c r="G38" s="22">
        <f>[7]resumen_pais_origen!E66/1000000</f>
        <v>22.540647</v>
      </c>
      <c r="H38" s="25">
        <f>[7]resumen_pais_origen!F66/1000000</f>
        <v>44.878785999999998</v>
      </c>
      <c r="I38" s="22">
        <f t="shared" si="3"/>
        <v>99.101587456651075</v>
      </c>
      <c r="J38" s="22">
        <f t="shared" si="5"/>
        <v>1.7031404963410399</v>
      </c>
      <c r="K38" s="16"/>
    </row>
    <row r="39" spans="1:11">
      <c r="A39" s="14" t="s">
        <v>41</v>
      </c>
      <c r="B39" s="7" t="str">
        <f>CONCATENATE(A39,[7]resumen_pais_origen!B67)</f>
        <v xml:space="preserve">   Reino Unido </v>
      </c>
      <c r="C39" s="22">
        <f>[7]resumen_pais_origen!C67/1000000</f>
        <v>224.54044400000001</v>
      </c>
      <c r="D39" s="25">
        <f>[7]resumen_pais_origen!D67/1000000</f>
        <v>231.57240200000001</v>
      </c>
      <c r="E39" s="22">
        <f t="shared" si="0"/>
        <v>3.1317110961088135</v>
      </c>
      <c r="F39" s="22">
        <f t="shared" si="1"/>
        <v>1.0051363519194756</v>
      </c>
      <c r="G39" s="22">
        <f>[7]resumen_pais_origen!E67/1000000</f>
        <v>14.483173000000001</v>
      </c>
      <c r="H39" s="25">
        <f>[7]resumen_pais_origen!F67/1000000</f>
        <v>20.035599000000001</v>
      </c>
      <c r="I39" s="22">
        <f t="shared" si="3"/>
        <v>38.337082626852556</v>
      </c>
      <c r="J39" s="22">
        <f t="shared" si="5"/>
        <v>0.76034677108578752</v>
      </c>
      <c r="K39" s="16"/>
    </row>
    <row r="40" spans="1:11">
      <c r="A40" s="14" t="s">
        <v>41</v>
      </c>
      <c r="B40" s="9" t="str">
        <f>CONCATENATE(A40,[7]resumen_pais_origen!B68)</f>
        <v xml:space="preserve">   Suecia </v>
      </c>
      <c r="C40" s="22">
        <f>[7]resumen_pais_origen!C68/1000000</f>
        <v>60.847819000000001</v>
      </c>
      <c r="D40" s="25">
        <f>[7]resumen_pais_origen!D68/1000000</f>
        <v>61.726633</v>
      </c>
      <c r="E40" s="22">
        <f t="shared" si="0"/>
        <v>1.4442818402414792</v>
      </c>
      <c r="F40" s="22">
        <f t="shared" si="1"/>
        <v>0.26792347522435905</v>
      </c>
      <c r="G40" s="22">
        <f>[7]resumen_pais_origen!E68/1000000</f>
        <v>6.8906000000000001</v>
      </c>
      <c r="H40" s="25">
        <f>[7]resumen_pais_origen!F68/1000000</f>
        <v>5.5273859999999999</v>
      </c>
      <c r="I40" s="22">
        <f t="shared" si="3"/>
        <v>-19.783676312657828</v>
      </c>
      <c r="J40" s="22">
        <f t="shared" si="5"/>
        <v>0.20976313698656007</v>
      </c>
      <c r="K40" s="16"/>
    </row>
    <row r="41" spans="1:11">
      <c r="A41" s="14" t="s">
        <v>41</v>
      </c>
      <c r="B41" s="9" t="str">
        <f>CONCATENATE(A41,[7]resumen_pais_origen!B69)</f>
        <v xml:space="preserve">   Resto </v>
      </c>
      <c r="C41" s="22">
        <f>[7]resumen_pais_origen!C69/1000000</f>
        <v>97.999053000000004</v>
      </c>
      <c r="D41" s="25">
        <f>[7]resumen_pais_origen!D69/1000000</f>
        <v>153.52466200000001</v>
      </c>
      <c r="E41" s="22">
        <f t="shared" si="0"/>
        <v>56.659332208036737</v>
      </c>
      <c r="F41" s="22">
        <f t="shared" si="1"/>
        <v>0.66637136964339361</v>
      </c>
      <c r="G41" s="22">
        <f>[7]resumen_pais_origen!E69/1000000</f>
        <v>11.292316</v>
      </c>
      <c r="H41" s="25">
        <f>[7]resumen_pais_origen!F69/1000000</f>
        <v>15.302681</v>
      </c>
      <c r="I41" s="22">
        <f t="shared" si="3"/>
        <v>35.514105343846204</v>
      </c>
      <c r="J41" s="22">
        <f t="shared" si="5"/>
        <v>0.58073352772262155</v>
      </c>
      <c r="K41" s="16"/>
    </row>
    <row r="42" spans="1:11">
      <c r="A42" s="14"/>
      <c r="B42" s="9" t="str">
        <f>+[7]resumen_pais_origen!B83</f>
        <v>Corea del Sur</v>
      </c>
      <c r="C42" s="22">
        <f>+[7]resumen_pais_origen!C83/1000000</f>
        <v>588.08360400000004</v>
      </c>
      <c r="D42" s="25">
        <f>+[7]resumen_pais_origen!D83/1000000</f>
        <v>717.71360900000002</v>
      </c>
      <c r="E42" s="22">
        <f t="shared" si="0"/>
        <v>22.04278509352897</v>
      </c>
      <c r="F42" s="22">
        <f t="shared" si="1"/>
        <v>3.1152245796250835</v>
      </c>
      <c r="G42" s="22">
        <f>+[7]resumen_pais_origen!E83/1000000</f>
        <v>57.345726999999997</v>
      </c>
      <c r="H42" s="25">
        <f>+[7]resumen_pais_origen!F83/1000000</f>
        <v>66.042829999999995</v>
      </c>
      <c r="I42" s="22">
        <f t="shared" si="3"/>
        <v>15.166087265752171</v>
      </c>
      <c r="J42" s="22">
        <f t="shared" si="5"/>
        <v>2.5063115180069024</v>
      </c>
      <c r="K42" s="16"/>
    </row>
    <row r="43" spans="1:11">
      <c r="A43" s="14"/>
      <c r="B43" s="9" t="str">
        <f>+[7]resumen_pais_origen!B84</f>
        <v xml:space="preserve">China </v>
      </c>
      <c r="C43" s="22">
        <f>+[7]resumen_pais_origen!C84/1000000</f>
        <v>1666.7772030000001</v>
      </c>
      <c r="D43" s="25">
        <f>+[7]resumen_pais_origen!D84/1000000</f>
        <v>2507.3768920000002</v>
      </c>
      <c r="E43" s="22">
        <f t="shared" ref="E43:E44" si="6">IF(OR(OR(D43=0,C43=0),D43=""),"",(D43/C43-1)*100)</f>
        <v>50.43263655676482</v>
      </c>
      <c r="F43" s="22">
        <f t="shared" ref="F43:F44" si="7">(D43/D$13)*100</f>
        <v>10.883229781898072</v>
      </c>
      <c r="G43" s="22">
        <f>+[7]resumen_pais_origen!E84/1000000</f>
        <v>201.17266100000001</v>
      </c>
      <c r="H43" s="25">
        <f>+[7]resumen_pais_origen!F84/1000000</f>
        <v>299.69130799999999</v>
      </c>
      <c r="I43" s="22">
        <f t="shared" ref="I43:I44" si="8">IF(OR(OR(H43=0,G43=0),H43=""),"",(H43/G43-1)*100)</f>
        <v>48.972184644910556</v>
      </c>
      <c r="J43" s="22">
        <f t="shared" ref="J43:J44" si="9">(H43/H$13)*100</f>
        <v>11.373222151245702</v>
      </c>
      <c r="K43" s="16"/>
    </row>
    <row r="44" spans="1:11">
      <c r="A44" s="14"/>
      <c r="B44" s="9" t="str">
        <f>+[7]resumen_pais_origen!B85</f>
        <v xml:space="preserve">Japón </v>
      </c>
      <c r="C44" s="22">
        <f>+[7]resumen_pais_origen!C85/1000000</f>
        <v>488.542058</v>
      </c>
      <c r="D44" s="25">
        <f>+[7]resumen_pais_origen!D85/1000000</f>
        <v>635.10856899999999</v>
      </c>
      <c r="E44" s="22">
        <f t="shared" si="6"/>
        <v>30.000796983583335</v>
      </c>
      <c r="F44" s="22">
        <f t="shared" si="7"/>
        <v>2.7566787087066551</v>
      </c>
      <c r="G44" s="22">
        <f>+[7]resumen_pais_origen!E85/1000000</f>
        <v>59.311942000000002</v>
      </c>
      <c r="H44" s="25">
        <f>+[7]resumen_pais_origen!F85/1000000</f>
        <v>84.674735999999996</v>
      </c>
      <c r="I44" s="22">
        <f t="shared" si="8"/>
        <v>42.761698816066399</v>
      </c>
      <c r="J44" s="22">
        <f t="shared" si="9"/>
        <v>3.2133884347626185</v>
      </c>
      <c r="K44" s="16"/>
    </row>
    <row r="45" spans="1:11">
      <c r="A45" s="14"/>
      <c r="B45" s="9" t="s">
        <v>3</v>
      </c>
      <c r="C45" s="22">
        <f>+C13-C14-C30-C42-C28-C29-C43-C44</f>
        <v>2554.3483986401193</v>
      </c>
      <c r="D45" s="25">
        <f>+D13-D14-D30-D42-D28-D29-D43-D44</f>
        <v>3669.1780127799384</v>
      </c>
      <c r="E45" s="22">
        <f t="shared" si="0"/>
        <v>43.644383621800785</v>
      </c>
      <c r="F45" s="22">
        <f t="shared" si="1"/>
        <v>15.926009189595822</v>
      </c>
      <c r="G45" s="22">
        <f t="shared" ref="G45:H45" si="10">+G13-G14-G30-G42-G28-G29-G43-G44</f>
        <v>324.8572989400011</v>
      </c>
      <c r="H45" s="25">
        <f t="shared" si="10"/>
        <v>392.49240676000113</v>
      </c>
      <c r="I45" s="22">
        <f t="shared" si="3"/>
        <v>20.819944031022608</v>
      </c>
      <c r="J45" s="22">
        <f t="shared" si="5"/>
        <v>14.895004344799293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f>+'Resumen importaciones totales'!C22</f>
        <v>579.55623184999831</v>
      </c>
      <c r="D13" s="25">
        <f>+'Resumen importaciones totales'!D22</f>
        <v>760.56178642999885</v>
      </c>
      <c r="E13" s="25">
        <f>IF(OR(OR(D13=0,C13=0),D13=""),"",(D13/C13-1)*100)</f>
        <v>31.231750196562235</v>
      </c>
      <c r="F13" s="23">
        <f>(D13/D$13)*100</f>
        <v>100</v>
      </c>
      <c r="G13" s="25">
        <f>+'Resumen importaciones totales'!G22</f>
        <v>56.922102469999956</v>
      </c>
      <c r="H13" s="25">
        <f>+'Resumen importaciones totales'!H22</f>
        <v>83.698133489999961</v>
      </c>
      <c r="I13" s="25">
        <f>IF(OR(OR(H13=0,G13=0),H13=""),"",(H13/G13-1)*100)</f>
        <v>47.039778676678281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+C15+C19</f>
        <v>280.26733400000006</v>
      </c>
      <c r="D14" s="25">
        <f>+D15+D19</f>
        <v>402.02022399999993</v>
      </c>
      <c r="E14" s="22">
        <f t="shared" ref="E14:E44" si="0">IF(OR(OR(D14=0,C14=0),D14=""),"",(D14/C14-1)*100)</f>
        <v>43.441698417839824</v>
      </c>
      <c r="F14" s="22">
        <f t="shared" ref="F14:F44" si="1">(D14/D$13)*100</f>
        <v>52.858325407991217</v>
      </c>
      <c r="G14" s="22">
        <f>+G15+G19</f>
        <v>29.49765</v>
      </c>
      <c r="H14" s="25">
        <f t="shared" ref="H14" si="2">+H15+H19</f>
        <v>48.798560999999999</v>
      </c>
      <c r="I14" s="22">
        <f t="shared" ref="I14:I44" si="3">IF(OR(OR(H14=0,G14=0),H14=""),"",(H14/G14-1)*100)</f>
        <v>65.432029331150105</v>
      </c>
      <c r="J14" s="22">
        <f>(H14/H$13)*100</f>
        <v>58.303045677631907</v>
      </c>
      <c r="K14" s="16"/>
    </row>
    <row r="15" spans="1:14">
      <c r="A15" s="14"/>
      <c r="B15" s="10" t="s">
        <v>35</v>
      </c>
      <c r="C15" s="22">
        <f>+SUM(C16:C18)</f>
        <v>36.079771999999998</v>
      </c>
      <c r="D15" s="25">
        <f>+SUM(D16:D18)</f>
        <v>57.798053999999993</v>
      </c>
      <c r="E15" s="22">
        <f t="shared" si="0"/>
        <v>60.195175291019012</v>
      </c>
      <c r="F15" s="22">
        <f>(D15/D$13)*100</f>
        <v>7.5993896920982964</v>
      </c>
      <c r="G15" s="22">
        <f t="shared" ref="G15:H15" si="4">+SUM(G16:G18)</f>
        <v>3.9951449999999999</v>
      </c>
      <c r="H15" s="25">
        <f t="shared" si="4"/>
        <v>7.7549610000000007</v>
      </c>
      <c r="I15" s="22">
        <f t="shared" si="3"/>
        <v>94.109625558021065</v>
      </c>
      <c r="J15" s="22">
        <f t="shared" ref="J15:J44" si="5">(H15/H$13)*100</f>
        <v>9.2653929981921799</v>
      </c>
      <c r="K15" s="16"/>
    </row>
    <row r="16" spans="1:14">
      <c r="A16" s="14" t="s">
        <v>41</v>
      </c>
      <c r="B16" s="9" t="str">
        <f>CONCATENATE(A16,[8]resumen_pais_primarios!B7)</f>
        <v xml:space="preserve">   Bolivia</v>
      </c>
      <c r="C16" s="22">
        <f>[8]resumen_pais_primarios!C7/1000000</f>
        <v>1.351067</v>
      </c>
      <c r="D16" s="25">
        <f>[8]resumen_pais_primarios!D7/1000000</f>
        <v>3.0509040000000001</v>
      </c>
      <c r="E16" s="22">
        <f t="shared" si="0"/>
        <v>125.81441186854536</v>
      </c>
      <c r="F16" s="22">
        <f t="shared" si="1"/>
        <v>0.40113821841097735</v>
      </c>
      <c r="G16" s="22">
        <f>[8]resumen_pais_primarios!E7/1000000</f>
        <v>0.40180500000000002</v>
      </c>
      <c r="H16" s="25">
        <f>[8]resumen_pais_primarios!F7/1000000</f>
        <v>0.56611400000000001</v>
      </c>
      <c r="I16" s="22">
        <f t="shared" si="3"/>
        <v>40.892721593807948</v>
      </c>
      <c r="J16" s="22">
        <f t="shared" si="5"/>
        <v>0.67637589560780087</v>
      </c>
      <c r="K16" s="16"/>
    </row>
    <row r="17" spans="1:11">
      <c r="A17" s="14" t="s">
        <v>41</v>
      </c>
      <c r="B17" s="9" t="str">
        <f>CONCATENATE(A17,[8]resumen_pais_primarios!B8)</f>
        <v xml:space="preserve">   Ecuador</v>
      </c>
      <c r="C17" s="22">
        <f>[8]resumen_pais_primarios!C8/1000000</f>
        <v>8.7580639999999992</v>
      </c>
      <c r="D17" s="25">
        <f>[8]resumen_pais_primarios!D8/1000000</f>
        <v>26.903811999999999</v>
      </c>
      <c r="E17" s="22">
        <f t="shared" si="0"/>
        <v>207.18903173121367</v>
      </c>
      <c r="F17" s="22">
        <f t="shared" si="1"/>
        <v>3.537360472221962</v>
      </c>
      <c r="G17" s="22">
        <f>[8]resumen_pais_primarios!E8/1000000</f>
        <v>0.38279800000000003</v>
      </c>
      <c r="H17" s="25">
        <f>[8]resumen_pais_primarios!F8/1000000</f>
        <v>2.6909290000000001</v>
      </c>
      <c r="I17" s="22">
        <f t="shared" si="3"/>
        <v>602.96318162581827</v>
      </c>
      <c r="J17" s="22">
        <f t="shared" si="5"/>
        <v>3.2150406320847114</v>
      </c>
      <c r="K17" s="16"/>
    </row>
    <row r="18" spans="1:11">
      <c r="A18" s="14" t="s">
        <v>41</v>
      </c>
      <c r="B18" s="9" t="str">
        <f>CONCATENATE(A18,[8]resumen_pais_primarios!B9)</f>
        <v xml:space="preserve">   Perú </v>
      </c>
      <c r="C18" s="22">
        <f>[8]resumen_pais_primarios!C9/1000000</f>
        <v>25.970641000000001</v>
      </c>
      <c r="D18" s="25">
        <f>[8]resumen_pais_primarios!D9/1000000</f>
        <v>27.843337999999999</v>
      </c>
      <c r="E18" s="22">
        <f t="shared" si="0"/>
        <v>7.2108231752924246</v>
      </c>
      <c r="F18" s="22">
        <f t="shared" si="1"/>
        <v>3.660891001465358</v>
      </c>
      <c r="G18" s="22">
        <f>[8]resumen_pais_primarios!E9/1000000</f>
        <v>3.2105419999999998</v>
      </c>
      <c r="H18" s="25">
        <f>[8]resumen_pais_primarios!F9/1000000</f>
        <v>4.4979180000000003</v>
      </c>
      <c r="I18" s="22">
        <f t="shared" si="3"/>
        <v>40.098400830763168</v>
      </c>
      <c r="J18" s="22">
        <f t="shared" si="5"/>
        <v>5.3739764704996675</v>
      </c>
      <c r="K18" s="16"/>
    </row>
    <row r="19" spans="1:11">
      <c r="A19" s="14"/>
      <c r="B19" s="10" t="s">
        <v>36</v>
      </c>
      <c r="C19" s="22">
        <f>SUM(C20:C27)</f>
        <v>244.18756200000004</v>
      </c>
      <c r="D19" s="25">
        <f>SUM(D20:D27)</f>
        <v>344.22216999999995</v>
      </c>
      <c r="E19" s="22">
        <f t="shared" si="0"/>
        <v>40.966299503821531</v>
      </c>
      <c r="F19" s="22">
        <f t="shared" si="1"/>
        <v>45.258935715892918</v>
      </c>
      <c r="G19" s="22">
        <f>SUM(G20:G27)</f>
        <v>25.502504999999999</v>
      </c>
      <c r="H19" s="25">
        <f t="shared" ref="H19" si="6">SUM(H20:H27)</f>
        <v>41.043599999999998</v>
      </c>
      <c r="I19" s="22">
        <f t="shared" si="3"/>
        <v>60.939484180083483</v>
      </c>
      <c r="J19" s="22">
        <f t="shared" si="5"/>
        <v>49.037652679439717</v>
      </c>
      <c r="K19" s="16"/>
    </row>
    <row r="20" spans="1:11">
      <c r="A20" s="14" t="s">
        <v>41</v>
      </c>
      <c r="B20" s="9" t="str">
        <f>CONCATENATE(A20,[8]resumen_pais_primarios!B23)</f>
        <v xml:space="preserve">   Argentina</v>
      </c>
      <c r="C20" s="22">
        <f>[8]resumen_pais_primarios!C23/1000000</f>
        <v>125.24696900000001</v>
      </c>
      <c r="D20" s="25">
        <f>[8]resumen_pais_primarios!D23/1000000</f>
        <v>202.07320300000001</v>
      </c>
      <c r="E20" s="22">
        <f t="shared" si="0"/>
        <v>61.339794977393815</v>
      </c>
      <c r="F20" s="22">
        <f t="shared" si="1"/>
        <v>26.568939776544841</v>
      </c>
      <c r="G20" s="22">
        <f>[8]resumen_pais_primarios!E23/1000000</f>
        <v>14.522684</v>
      </c>
      <c r="H20" s="25">
        <f>[8]resumen_pais_primarios!F23/1000000</f>
        <v>23.957087999999999</v>
      </c>
      <c r="I20" s="22">
        <f t="shared" si="3"/>
        <v>64.963225805918512</v>
      </c>
      <c r="J20" s="22">
        <f t="shared" si="5"/>
        <v>28.623204605706448</v>
      </c>
      <c r="K20" s="16"/>
    </row>
    <row r="21" spans="1:11">
      <c r="A21" s="14" t="s">
        <v>41</v>
      </c>
      <c r="B21" s="9" t="str">
        <f>CONCATENATE(A21,[8]resumen_pais_primarios!B24)</f>
        <v xml:space="preserve">   Brasil </v>
      </c>
      <c r="C21" s="22">
        <f>[8]resumen_pais_primarios!C24/1000000</f>
        <v>29.512661000000001</v>
      </c>
      <c r="D21" s="25">
        <f>[8]resumen_pais_primarios!D24/1000000</f>
        <v>39.710368000000003</v>
      </c>
      <c r="E21" s="22">
        <f t="shared" si="0"/>
        <v>34.553668339157895</v>
      </c>
      <c r="F21" s="22">
        <f t="shared" si="1"/>
        <v>5.221188956441857</v>
      </c>
      <c r="G21" s="22">
        <f>[8]resumen_pais_primarios!E24/1000000</f>
        <v>2.7499880000000001</v>
      </c>
      <c r="H21" s="25">
        <f>[8]resumen_pais_primarios!F24/1000000</f>
        <v>7.644997</v>
      </c>
      <c r="I21" s="22">
        <f t="shared" si="3"/>
        <v>178.00110400481745</v>
      </c>
      <c r="J21" s="22">
        <f t="shared" si="5"/>
        <v>9.1340113348088039</v>
      </c>
      <c r="K21" s="16"/>
    </row>
    <row r="22" spans="1:11">
      <c r="A22" s="14" t="s">
        <v>41</v>
      </c>
      <c r="B22" s="9" t="str">
        <f>CONCATENATE(A22,[8]resumen_pais_primarios!B25)</f>
        <v xml:space="preserve">   Cuba </v>
      </c>
      <c r="C22" s="22">
        <f>[8]resumen_pais_primarios!C25/1000000</f>
        <v>3.4463000000000001E-2</v>
      </c>
      <c r="D22" s="25">
        <f>[8]resumen_pais_primarios!D25/1000000</f>
        <v>9.1339999999999998E-3</v>
      </c>
      <c r="E22" s="22">
        <f t="shared" si="0"/>
        <v>-73.496213330238234</v>
      </c>
      <c r="F22" s="22">
        <f t="shared" si="1"/>
        <v>1.2009543685956251E-3</v>
      </c>
      <c r="G22" s="22">
        <f>[8]resumen_pais_primarios!E25/1000000</f>
        <v>0</v>
      </c>
      <c r="H22" s="25">
        <f>[8]resumen_pais_primarios!F25/1000000</f>
        <v>4.9849999999999998E-3</v>
      </c>
      <c r="I22" s="22" t="str">
        <f t="shared" si="3"/>
        <v/>
      </c>
      <c r="J22" s="22">
        <f t="shared" si="5"/>
        <v>5.95592732136087E-3</v>
      </c>
      <c r="K22" s="16"/>
    </row>
    <row r="23" spans="1:11">
      <c r="A23" s="14" t="s">
        <v>41</v>
      </c>
      <c r="B23" s="9" t="str">
        <f>CONCATENATE(A23,[8]resumen_pais_primarios!B26)</f>
        <v xml:space="preserve">   Chile </v>
      </c>
      <c r="C23" s="22">
        <f>[8]resumen_pais_primarios!C26/1000000</f>
        <v>66.338192000000006</v>
      </c>
      <c r="D23" s="25">
        <f>[8]resumen_pais_primarios!D26/1000000</f>
        <v>87.170136999999997</v>
      </c>
      <c r="E23" s="22">
        <f t="shared" si="0"/>
        <v>31.402642085874135</v>
      </c>
      <c r="F23" s="22">
        <f t="shared" si="1"/>
        <v>11.461282772195002</v>
      </c>
      <c r="G23" s="22">
        <f>[8]resumen_pais_primarios!E26/1000000</f>
        <v>6.7465039999999998</v>
      </c>
      <c r="H23" s="25">
        <f>[8]resumen_pais_primarios!F26/1000000</f>
        <v>8.2198930000000008</v>
      </c>
      <c r="I23" s="22">
        <f t="shared" si="3"/>
        <v>21.839296322954826</v>
      </c>
      <c r="J23" s="22">
        <f t="shared" si="5"/>
        <v>9.8208796985682998</v>
      </c>
      <c r="K23" s="16"/>
    </row>
    <row r="24" spans="1:11">
      <c r="A24" s="14" t="s">
        <v>41</v>
      </c>
      <c r="B24" s="9" t="str">
        <f>CONCATENATE(A24,[8]resumen_pais_primarios!B27)</f>
        <v xml:space="preserve">   México </v>
      </c>
      <c r="C24" s="22">
        <f>[8]resumen_pais_primarios!C27/1000000</f>
        <v>20.032959999999999</v>
      </c>
      <c r="D24" s="25">
        <f>[8]resumen_pais_primarios!D27/1000000</f>
        <v>10.035527</v>
      </c>
      <c r="E24" s="22">
        <f t="shared" si="0"/>
        <v>-49.904921689056437</v>
      </c>
      <c r="F24" s="22">
        <f t="shared" si="1"/>
        <v>1.3194887225541219</v>
      </c>
      <c r="G24" s="22">
        <f>[8]resumen_pais_primarios!E27/1000000</f>
        <v>1.287245</v>
      </c>
      <c r="H24" s="25">
        <f>[8]resumen_pais_primarios!F27/1000000</f>
        <v>1.0841400000000001</v>
      </c>
      <c r="I24" s="22">
        <f t="shared" si="3"/>
        <v>-15.778270647778768</v>
      </c>
      <c r="J24" s="22">
        <f t="shared" si="5"/>
        <v>1.2952977023430641</v>
      </c>
      <c r="K24" s="16"/>
    </row>
    <row r="25" spans="1:11">
      <c r="A25" s="14" t="s">
        <v>41</v>
      </c>
      <c r="B25" s="9" t="str">
        <f>CONCATENATE(A25,[8]resumen_pais_primarios!B28)</f>
        <v xml:space="preserve">   Paraguay </v>
      </c>
      <c r="C25" s="22">
        <f>[8]resumen_pais_primarios!C28/1000000</f>
        <v>0.99586300000000005</v>
      </c>
      <c r="D25" s="25">
        <f>[8]resumen_pais_primarios!D28/1000000</f>
        <v>0.92933299999999996</v>
      </c>
      <c r="E25" s="22">
        <f t="shared" si="0"/>
        <v>-6.6806377985727083</v>
      </c>
      <c r="F25" s="22">
        <f t="shared" si="1"/>
        <v>0.12219033569411845</v>
      </c>
      <c r="G25" s="22">
        <f>[8]resumen_pais_primarios!E28/1000000</f>
        <v>6.9238999999999995E-2</v>
      </c>
      <c r="H25" s="25">
        <f>[8]resumen_pais_primarios!F28/1000000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41</v>
      </c>
      <c r="B26" s="9" t="str">
        <f>CONCATENATE(A26,[8]resumen_pais_primarios!B29)</f>
        <v xml:space="preserve">   Uruguay </v>
      </c>
      <c r="C26" s="22">
        <f>[8]resumen_pais_primarios!C29/1000000</f>
        <v>1.5467709999999999</v>
      </c>
      <c r="D26" s="25">
        <f>[8]resumen_pais_primarios!D29/1000000</f>
        <v>3.9594170000000002</v>
      </c>
      <c r="E26" s="22">
        <f t="shared" si="0"/>
        <v>155.9795212090219</v>
      </c>
      <c r="F26" s="22">
        <f t="shared" si="1"/>
        <v>0.52059110392399655</v>
      </c>
      <c r="G26" s="22">
        <f>[8]resumen_pais_primarios!E29/1000000</f>
        <v>9.6850000000000006E-2</v>
      </c>
      <c r="H26" s="25">
        <f>[8]resumen_pais_primarios!F29/1000000</f>
        <v>8.2990999999999995E-2</v>
      </c>
      <c r="I26" s="22">
        <f t="shared" si="3"/>
        <v>-14.309757356737229</v>
      </c>
      <c r="J26" s="22">
        <f t="shared" si="5"/>
        <v>9.9155138280252755E-2</v>
      </c>
      <c r="K26" s="16"/>
    </row>
    <row r="27" spans="1:11">
      <c r="A27" s="14" t="s">
        <v>41</v>
      </c>
      <c r="B27" s="9" t="str">
        <f>CONCATENATE(A27,[8]resumen_pais_primarios!B30)</f>
        <v xml:space="preserve">   Venezuela</v>
      </c>
      <c r="C27" s="22">
        <f>[8]resumen_pais_primarios!C30/1000000</f>
        <v>0.47968300000000003</v>
      </c>
      <c r="D27" s="25">
        <f>[8]resumen_pais_primarios!D30/1000000</f>
        <v>0.33505099999999999</v>
      </c>
      <c r="E27" s="22">
        <f t="shared" ref="E27" si="7">IF(OR(OR(D27=0,C27=0),D27=""),"",(D27/C27-1)*100)</f>
        <v>-30.151579272144314</v>
      </c>
      <c r="F27" s="22">
        <f t="shared" ref="F27" si="8">(D27/D$13)*100</f>
        <v>4.4053094170388961E-2</v>
      </c>
      <c r="G27" s="22">
        <f>[8]resumen_pais_primarios!E30/1000000</f>
        <v>2.9995000000000001E-2</v>
      </c>
      <c r="H27" s="25">
        <f>[8]resumen_pais_primarios!F30/1000000</f>
        <v>4.9506000000000001E-2</v>
      </c>
      <c r="I27" s="22">
        <f t="shared" ref="I27" si="9">IF(OR(OR(H27=0,G27=0),H27=""),"",(H27/G27-1)*100)</f>
        <v>65.047507917986323</v>
      </c>
      <c r="J27" s="22">
        <f t="shared" ref="J27" si="10">(H27/H$13)*100</f>
        <v>5.9148272411492724E-2</v>
      </c>
      <c r="K27" s="16"/>
    </row>
    <row r="28" spans="1:11">
      <c r="A28" s="14" t="s">
        <v>41</v>
      </c>
      <c r="B28" s="9" t="str">
        <f>+[8]resumen_pais_primarios!B44</f>
        <v xml:space="preserve">Canadá </v>
      </c>
      <c r="C28" s="22">
        <f>+[8]resumen_pais_primarios!C44/1000000</f>
        <v>99.809535999999994</v>
      </c>
      <c r="D28" s="25">
        <f>+[8]resumen_pais_primarios!D44/1000000</f>
        <v>81.972465</v>
      </c>
      <c r="E28" s="22">
        <f t="shared" si="0"/>
        <v>-17.871109029101184</v>
      </c>
      <c r="F28" s="22">
        <f>(D28/D$13)*100</f>
        <v>10.777883725235601</v>
      </c>
      <c r="G28" s="22">
        <f>+[8]resumen_pais_primarios!E44/1000000</f>
        <v>10.616944999999999</v>
      </c>
      <c r="H28" s="25">
        <f>+[8]resumen_pais_primarios!F44/1000000</f>
        <v>10.531955999999999</v>
      </c>
      <c r="I28" s="22">
        <f t="shared" si="3"/>
        <v>-0.80050334630159536</v>
      </c>
      <c r="J28" s="22">
        <f t="shared" si="5"/>
        <v>12.58326268561094</v>
      </c>
      <c r="K28" s="16"/>
    </row>
    <row r="29" spans="1:11">
      <c r="A29" s="14" t="s">
        <v>41</v>
      </c>
      <c r="B29" s="9" t="str">
        <f>+[8]resumen_pais_primarios!B45</f>
        <v>Estados Unidos</v>
      </c>
      <c r="C29" s="22">
        <f>+[8]resumen_pais_primarios!C45/1000000</f>
        <v>102.42072</v>
      </c>
      <c r="D29" s="25">
        <f>+[8]resumen_pais_primarios!D45/1000000</f>
        <v>133.79957200000001</v>
      </c>
      <c r="E29" s="22">
        <f t="shared" ref="E29" si="11">IF(OR(OR(D29=0,C29=0),D29=""),"",(D29/C29-1)*100)</f>
        <v>30.637210908105317</v>
      </c>
      <c r="F29" s="22">
        <f>(D29/D$13)*100</f>
        <v>17.59220281471698</v>
      </c>
      <c r="G29" s="22">
        <f>+[8]resumen_pais_primarios!E45/1000000</f>
        <v>8.0644860000000005</v>
      </c>
      <c r="H29" s="25">
        <f>+[8]resumen_pais_primarios!F45/1000000</f>
        <v>11.976451000000001</v>
      </c>
      <c r="I29" s="22">
        <f t="shared" ref="I29" si="12">IF(OR(OR(H29=0,G29=0),H29=""),"",(H29/G29-1)*100)</f>
        <v>48.508547227932453</v>
      </c>
      <c r="J29" s="22">
        <f t="shared" ref="J29" si="13">(H29/H$13)*100</f>
        <v>14.309101649717096</v>
      </c>
      <c r="K29" s="16"/>
    </row>
    <row r="30" spans="1:11">
      <c r="A30" s="14"/>
      <c r="B30" s="10" t="s">
        <v>33</v>
      </c>
      <c r="C30" s="22">
        <f>SUM(C31:C41)</f>
        <v>33.777356999999995</v>
      </c>
      <c r="D30" s="25">
        <f>SUM(D31:D41)</f>
        <v>45.170656999999999</v>
      </c>
      <c r="E30" s="22">
        <f t="shared" si="0"/>
        <v>33.730584663566198</v>
      </c>
      <c r="F30" s="22">
        <f t="shared" si="1"/>
        <v>5.9391173479838582</v>
      </c>
      <c r="G30" s="22">
        <f>SUM(G31:G41)</f>
        <v>3.4230369999999999</v>
      </c>
      <c r="H30" s="25">
        <f>SUM(H31:H41)</f>
        <v>4.0677219999999998</v>
      </c>
      <c r="I30" s="22">
        <f t="shared" si="3"/>
        <v>18.833714038147995</v>
      </c>
      <c r="J30" s="22">
        <f t="shared" si="5"/>
        <v>4.859991292979073</v>
      </c>
      <c r="K30" s="16"/>
    </row>
    <row r="31" spans="1:11">
      <c r="A31" s="14" t="s">
        <v>41</v>
      </c>
      <c r="B31" s="9" t="str">
        <f>CONCATENATE(A31,[8]resumen_pais_primarios!B59)</f>
        <v xml:space="preserve">   Alemania </v>
      </c>
      <c r="C31" s="22">
        <f>[8]resumen_pais_primarios!C59/1000000</f>
        <v>3.5281340000000001</v>
      </c>
      <c r="D31" s="25">
        <f>[8]resumen_pais_primarios!D59/1000000</f>
        <v>3.6920660000000001</v>
      </c>
      <c r="E31" s="22">
        <f t="shared" si="0"/>
        <v>4.6464221597025457</v>
      </c>
      <c r="F31" s="22">
        <f t="shared" si="1"/>
        <v>0.48543932470367585</v>
      </c>
      <c r="G31" s="22">
        <f>[8]resumen_pais_primarios!E59/1000000</f>
        <v>0.32923999999999998</v>
      </c>
      <c r="H31" s="25">
        <f>[8]resumen_pais_primarios!F59/1000000</f>
        <v>0.57592299999999996</v>
      </c>
      <c r="I31" s="22">
        <f t="shared" si="3"/>
        <v>74.924978738913865</v>
      </c>
      <c r="J31" s="22">
        <f t="shared" si="5"/>
        <v>0.68809539231697414</v>
      </c>
      <c r="K31" s="16"/>
    </row>
    <row r="32" spans="1:11">
      <c r="A32" s="14" t="s">
        <v>41</v>
      </c>
      <c r="B32" s="9" t="str">
        <f>CONCATENATE(A32,[8]resumen_pais_primarios!B60)</f>
        <v xml:space="preserve">   Bélgica </v>
      </c>
      <c r="C32" s="22">
        <f>[8]resumen_pais_primarios!C60/1000000</f>
        <v>3.565083</v>
      </c>
      <c r="D32" s="25">
        <f>[8]resumen_pais_primarios!D60/1000000</f>
        <v>7.0426840000000004</v>
      </c>
      <c r="E32" s="22">
        <f t="shared" si="0"/>
        <v>97.546144086967985</v>
      </c>
      <c r="F32" s="22">
        <f t="shared" si="1"/>
        <v>0.92598446643732346</v>
      </c>
      <c r="G32" s="22">
        <f>[8]resumen_pais_primarios!E60/1000000</f>
        <v>0.51349599999999995</v>
      </c>
      <c r="H32" s="25">
        <f>[8]resumen_pais_primarios!F60/1000000</f>
        <v>0.62247699999999995</v>
      </c>
      <c r="I32" s="22">
        <f t="shared" si="3"/>
        <v>21.223339617056425</v>
      </c>
      <c r="J32" s="22">
        <f t="shared" si="5"/>
        <v>0.74371670435682047</v>
      </c>
      <c r="K32" s="16"/>
    </row>
    <row r="33" spans="1:11">
      <c r="A33" s="14" t="s">
        <v>41</v>
      </c>
      <c r="B33" s="9" t="str">
        <f>CONCATENATE(A33,[8]resumen_pais_primarios!B61)</f>
        <v xml:space="preserve">   Chipre </v>
      </c>
      <c r="C33" s="22">
        <f>[8]resumen_pais_primarios!C61/1000000</f>
        <v>0.24392800000000001</v>
      </c>
      <c r="D33" s="25">
        <f>[8]resumen_pais_primarios!D61/1000000</f>
        <v>0.13581599999999999</v>
      </c>
      <c r="E33" s="22">
        <f t="shared" si="0"/>
        <v>-44.321275130366345</v>
      </c>
      <c r="F33" s="22">
        <f t="shared" si="1"/>
        <v>1.7857326311055771E-2</v>
      </c>
      <c r="G33" s="22">
        <f>[8]resumen_pais_primarios!E61/1000000</f>
        <v>0</v>
      </c>
      <c r="H33" s="25">
        <f>[8]resumen_pais_primarios!F61/1000000</f>
        <v>0</v>
      </c>
      <c r="I33" s="22" t="str">
        <f t="shared" si="3"/>
        <v/>
      </c>
      <c r="J33" s="22">
        <f t="shared" si="5"/>
        <v>0</v>
      </c>
      <c r="K33" s="16"/>
    </row>
    <row r="34" spans="1:11">
      <c r="A34" s="14" t="s">
        <v>41</v>
      </c>
      <c r="B34" s="9" t="str">
        <f>CONCATENATE(A34,[8]resumen_pais_primarios!B62)</f>
        <v xml:space="preserve">   Dinamarca </v>
      </c>
      <c r="C34" s="22">
        <f>[8]resumen_pais_primarios!C62/1000000</f>
        <v>0.457401</v>
      </c>
      <c r="D34" s="25">
        <f>[8]resumen_pais_primarios!D62/1000000</f>
        <v>4.6911000000000001E-2</v>
      </c>
      <c r="E34" s="22">
        <f t="shared" si="0"/>
        <v>-89.744010179251916</v>
      </c>
      <c r="F34" s="22">
        <f t="shared" si="1"/>
        <v>6.1679407034365419E-3</v>
      </c>
      <c r="G34" s="22">
        <f>[8]resumen_pais_primarios!E62/1000000</f>
        <v>1.0643E-2</v>
      </c>
      <c r="H34" s="25">
        <f>[8]resumen_pais_primarios!F62/1000000</f>
        <v>2.9436E-2</v>
      </c>
      <c r="I34" s="22">
        <f t="shared" si="3"/>
        <v>176.57615334022364</v>
      </c>
      <c r="J34" s="22">
        <f t="shared" si="5"/>
        <v>3.5169243055482163E-2</v>
      </c>
      <c r="K34" s="16"/>
    </row>
    <row r="35" spans="1:11">
      <c r="A35" s="14" t="s">
        <v>41</v>
      </c>
      <c r="B35" s="9" t="str">
        <f>CONCATENATE(A35,[8]resumen_pais_primarios!B63)</f>
        <v xml:space="preserve">   España </v>
      </c>
      <c r="C35" s="22">
        <f>[8]resumen_pais_primarios!C63/1000000</f>
        <v>5.762975</v>
      </c>
      <c r="D35" s="25">
        <f>[8]resumen_pais_primarios!D63/1000000</f>
        <v>7.4602279999999999</v>
      </c>
      <c r="E35" s="22">
        <f t="shared" si="0"/>
        <v>29.450986686563784</v>
      </c>
      <c r="F35" s="22">
        <f t="shared" si="1"/>
        <v>0.98088388518933689</v>
      </c>
      <c r="G35" s="22">
        <f>[8]resumen_pais_primarios!E63/1000000</f>
        <v>0.84814100000000003</v>
      </c>
      <c r="H35" s="25">
        <f>[8]resumen_pais_primarios!F63/1000000</f>
        <v>0.87131099999999995</v>
      </c>
      <c r="I35" s="22">
        <f t="shared" si="3"/>
        <v>2.731857085083722</v>
      </c>
      <c r="J35" s="22">
        <f t="shared" si="5"/>
        <v>1.0410160461990492</v>
      </c>
      <c r="K35" s="16"/>
    </row>
    <row r="36" spans="1:11">
      <c r="A36" s="14" t="s">
        <v>41</v>
      </c>
      <c r="B36" s="7" t="str">
        <f>CONCATENATE(A36,[8]resumen_pais_primarios!B64)</f>
        <v xml:space="preserve">   Francia </v>
      </c>
      <c r="C36" s="22">
        <f>[8]resumen_pais_primarios!C64/1000000</f>
        <v>3.0283579999999999</v>
      </c>
      <c r="D36" s="25">
        <f>[8]resumen_pais_primarios!D64/1000000</f>
        <v>8.9039219999999997</v>
      </c>
      <c r="E36" s="22">
        <f t="shared" si="0"/>
        <v>194.01814448621994</v>
      </c>
      <c r="F36" s="22">
        <f t="shared" si="1"/>
        <v>1.1707033089046086</v>
      </c>
      <c r="G36" s="22">
        <f>[8]resumen_pais_primarios!E64/1000000</f>
        <v>0.15237600000000001</v>
      </c>
      <c r="H36" s="25">
        <f>[8]resumen_pais_primarios!F64/1000000</f>
        <v>0.356493</v>
      </c>
      <c r="I36" s="22">
        <f t="shared" si="3"/>
        <v>133.95613482438176</v>
      </c>
      <c r="J36" s="22">
        <f t="shared" si="5"/>
        <v>0.42592706089747256</v>
      </c>
      <c r="K36" s="16"/>
    </row>
    <row r="37" spans="1:11">
      <c r="A37" s="14" t="s">
        <v>41</v>
      </c>
      <c r="B37" s="7" t="str">
        <f>CONCATENATE(A37,[8]resumen_pais_primarios!B65)</f>
        <v xml:space="preserve">   Italia </v>
      </c>
      <c r="C37" s="22">
        <f>[8]resumen_pais_primarios!C65/1000000</f>
        <v>3.057747</v>
      </c>
      <c r="D37" s="25">
        <f>[8]resumen_pais_primarios!D65/1000000</f>
        <v>2.664193</v>
      </c>
      <c r="E37" s="22">
        <f t="shared" si="0"/>
        <v>-12.870718211807585</v>
      </c>
      <c r="F37" s="22">
        <f t="shared" si="1"/>
        <v>0.3502927766730769</v>
      </c>
      <c r="G37" s="22">
        <f>[8]resumen_pais_primarios!E65/1000000</f>
        <v>0.45830399999999999</v>
      </c>
      <c r="H37" s="25">
        <f>[8]resumen_pais_primarios!F65/1000000</f>
        <v>0.34010200000000002</v>
      </c>
      <c r="I37" s="22">
        <f t="shared" si="3"/>
        <v>-25.791177908113383</v>
      </c>
      <c r="J37" s="22">
        <f t="shared" si="5"/>
        <v>0.40634358953851046</v>
      </c>
      <c r="K37" s="16"/>
    </row>
    <row r="38" spans="1:11">
      <c r="A38" s="14" t="s">
        <v>41</v>
      </c>
      <c r="B38" s="7" t="str">
        <f>CONCATENATE(A38,[8]resumen_pais_primarios!B66)</f>
        <v xml:space="preserve">   Países Bajos </v>
      </c>
      <c r="C38" s="22">
        <f>[8]resumen_pais_primarios!C66/1000000</f>
        <v>10.348691000000001</v>
      </c>
      <c r="D38" s="25">
        <f>[8]resumen_pais_primarios!D66/1000000</f>
        <v>10.67562</v>
      </c>
      <c r="E38" s="22">
        <f t="shared" si="0"/>
        <v>3.1591338460100982</v>
      </c>
      <c r="F38" s="22">
        <f t="shared" si="1"/>
        <v>1.4036492748485689</v>
      </c>
      <c r="G38" s="22">
        <f>[8]resumen_pais_primarios!E66/1000000</f>
        <v>0.79608500000000004</v>
      </c>
      <c r="H38" s="25">
        <f>[8]resumen_pais_primarios!F66/1000000</f>
        <v>0.99635799999999997</v>
      </c>
      <c r="I38" s="22">
        <f t="shared" si="3"/>
        <v>25.157238234610624</v>
      </c>
      <c r="J38" s="22">
        <f t="shared" si="5"/>
        <v>1.1904184220775273</v>
      </c>
      <c r="K38" s="16"/>
    </row>
    <row r="39" spans="1:11">
      <c r="A39" s="14" t="s">
        <v>41</v>
      </c>
      <c r="B39" s="9" t="str">
        <f>CONCATENATE(A39,[8]resumen_pais_primarios!B67)</f>
        <v xml:space="preserve">   Reino Unido </v>
      </c>
      <c r="C39" s="22">
        <f>[8]resumen_pais_primarios!C67/1000000</f>
        <v>2.4662380000000002</v>
      </c>
      <c r="D39" s="25">
        <f>[8]resumen_pais_primarios!D67/1000000</f>
        <v>3.054576</v>
      </c>
      <c r="E39" s="22">
        <f t="shared" si="0"/>
        <v>23.855686271965638</v>
      </c>
      <c r="F39" s="22">
        <f t="shared" si="1"/>
        <v>0.40162101942274475</v>
      </c>
      <c r="G39" s="22">
        <f>[8]resumen_pais_primarios!E67/1000000</f>
        <v>0.10040499999999999</v>
      </c>
      <c r="H39" s="25">
        <f>[8]resumen_pais_primarios!F67/1000000</f>
        <v>0.11086500000000001</v>
      </c>
      <c r="I39" s="22">
        <f t="shared" si="3"/>
        <v>10.417807878093722</v>
      </c>
      <c r="J39" s="22">
        <f t="shared" si="5"/>
        <v>0.13245815094938274</v>
      </c>
      <c r="K39" s="16"/>
    </row>
    <row r="40" spans="1:11">
      <c r="A40" s="14" t="s">
        <v>41</v>
      </c>
      <c r="B40" s="9" t="str">
        <f>CONCATENATE(A40,[8]resumen_pais_primarios!B68)</f>
        <v xml:space="preserve">   República Checa</v>
      </c>
      <c r="C40" s="22">
        <f>[8]resumen_pais_primarios!C68/1000000</f>
        <v>0.422294</v>
      </c>
      <c r="D40" s="25">
        <f>[8]resumen_pais_primarios!D68/1000000</f>
        <v>0.435363</v>
      </c>
      <c r="E40" s="22">
        <f t="shared" si="0"/>
        <v>3.0947633639123451</v>
      </c>
      <c r="F40" s="22">
        <f t="shared" si="1"/>
        <v>5.7242292180304043E-2</v>
      </c>
      <c r="G40" s="22">
        <f>[8]resumen_pais_primarios!E68/1000000</f>
        <v>7.2636999999999993E-2</v>
      </c>
      <c r="H40" s="25">
        <f>[8]resumen_pais_primarios!F68/1000000</f>
        <v>0</v>
      </c>
      <c r="I40" s="22" t="str">
        <f t="shared" si="3"/>
        <v/>
      </c>
      <c r="J40" s="22">
        <f t="shared" si="5"/>
        <v>0</v>
      </c>
      <c r="K40" s="16"/>
    </row>
    <row r="41" spans="1:11">
      <c r="A41" s="14" t="s">
        <v>41</v>
      </c>
      <c r="B41" s="9" t="str">
        <f>CONCATENATE(A41,[8]resumen_pais_primarios!B69)</f>
        <v xml:space="preserve">   Resto </v>
      </c>
      <c r="C41" s="22">
        <f>[8]resumen_pais_primarios!C69/1000000</f>
        <v>0.89650799999999997</v>
      </c>
      <c r="D41" s="25">
        <f>[8]resumen_pais_primarios!D69/1000000</f>
        <v>1.0592779999999999</v>
      </c>
      <c r="E41" s="22">
        <f t="shared" ref="E41" si="14">IF(OR(OR(D41=0,C41=0),D41=""),"",(D41/C41-1)*100)</f>
        <v>18.156000838810126</v>
      </c>
      <c r="F41" s="22">
        <f t="shared" ref="F41" si="15">(D41/D$13)*100</f>
        <v>0.13927573260972592</v>
      </c>
      <c r="G41" s="22">
        <f>[8]resumen_pais_primarios!E69/1000000</f>
        <v>0.14171</v>
      </c>
      <c r="H41" s="25">
        <f>[8]resumen_pais_primarios!F69/1000000</f>
        <v>0.16475699999999999</v>
      </c>
      <c r="I41" s="22">
        <f t="shared" ref="I41" si="16">IF(OR(OR(H41=0,G41=0),H41=""),"",(H41/G41-1)*100)</f>
        <v>16.263495871850942</v>
      </c>
      <c r="J41" s="22">
        <f t="shared" ref="J41" si="17">(H41/H$13)*100</f>
        <v>0.19684668358785412</v>
      </c>
      <c r="K41" s="16"/>
    </row>
    <row r="42" spans="1:11">
      <c r="A42" s="14"/>
      <c r="B42" s="9" t="str">
        <f>+[8]resumen_pais_primarios!B83</f>
        <v>Corea del Sur</v>
      </c>
      <c r="C42" s="22">
        <f>+[8]resumen_pais_primarios!C83/1000000</f>
        <v>2.9485999999999998E-2</v>
      </c>
      <c r="D42" s="25">
        <f>+[8]resumen_pais_primarios!D83/1000000</f>
        <v>9.6851999999999994E-2</v>
      </c>
      <c r="E42" s="22">
        <f t="shared" ref="E42:E43" si="18">IF(OR(OR(D42=0,C42=0),D42=""),"",(D42/C42-1)*100)</f>
        <v>228.46774740554841</v>
      </c>
      <c r="F42" s="22">
        <f t="shared" ref="F42:F43" si="19">(D42/D$13)*100</f>
        <v>1.2734271130635371E-2</v>
      </c>
      <c r="G42" s="22">
        <f>+[8]resumen_pais_primarios!E83/1000000</f>
        <v>3.2360000000000002E-3</v>
      </c>
      <c r="H42" s="25">
        <f>+[8]resumen_pais_primarios!F83/1000000</f>
        <v>5.1699999999999999E-4</v>
      </c>
      <c r="I42" s="22">
        <f t="shared" ref="I42:I43" si="20">IF(OR(OR(H42=0,G42=0),H42=""),"",(H42/G42-1)*100)</f>
        <v>-84.023485784919643</v>
      </c>
      <c r="J42" s="22">
        <f t="shared" ref="J42:J43" si="21">(H42/H$13)*100</f>
        <v>6.1769597294755664E-4</v>
      </c>
      <c r="K42" s="16"/>
    </row>
    <row r="43" spans="1:11">
      <c r="A43" s="14"/>
      <c r="B43" s="9" t="str">
        <f>+[8]resumen_pais_primarios!B84</f>
        <v xml:space="preserve">China </v>
      </c>
      <c r="C43" s="22">
        <f>+[8]resumen_pais_primarios!C84/1000000</f>
        <v>14.006478</v>
      </c>
      <c r="D43" s="25">
        <f>+[8]resumen_pais_primarios!D84/1000000</f>
        <v>14.339930000000001</v>
      </c>
      <c r="E43" s="22">
        <f t="shared" si="18"/>
        <v>2.3806984168325718</v>
      </c>
      <c r="F43" s="22">
        <f t="shared" si="19"/>
        <v>1.8854391919044737</v>
      </c>
      <c r="G43" s="22">
        <f>+[8]resumen_pais_primarios!E84/1000000</f>
        <v>1.10168</v>
      </c>
      <c r="H43" s="25">
        <f>+[8]resumen_pais_primarios!F84/1000000</f>
        <v>0.96633500000000006</v>
      </c>
      <c r="I43" s="22">
        <f t="shared" si="20"/>
        <v>-12.285327862900298</v>
      </c>
      <c r="J43" s="22">
        <f t="shared" si="21"/>
        <v>1.1545478491649461</v>
      </c>
      <c r="K43" s="16"/>
    </row>
    <row r="44" spans="1:11">
      <c r="A44" s="14"/>
      <c r="B44" s="9" t="s">
        <v>3</v>
      </c>
      <c r="C44" s="22">
        <f>+C13-C14-C28-C29-C30-C42-C43</f>
        <v>49.245320849998272</v>
      </c>
      <c r="D44" s="25">
        <f>+D13-D14-D28-D29-D30-D42-D43</f>
        <v>83.162086429998908</v>
      </c>
      <c r="E44" s="22">
        <f t="shared" si="0"/>
        <v>68.873072597722398</v>
      </c>
      <c r="F44" s="22">
        <f t="shared" si="1"/>
        <v>10.934297241037241</v>
      </c>
      <c r="G44" s="22">
        <f t="shared" ref="G44:H44" si="22">+G13-G14-G28-G29-G30-G42-G43</f>
        <v>4.2150684699999541</v>
      </c>
      <c r="H44" s="25">
        <f t="shared" si="22"/>
        <v>7.3565914899999596</v>
      </c>
      <c r="I44" s="22">
        <f t="shared" si="3"/>
        <v>74.530770789591472</v>
      </c>
      <c r="J44" s="22">
        <f t="shared" si="5"/>
        <v>8.789433148923095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f>+'Resumen importaciones totales'!C23</f>
        <v>15522.017220110105</v>
      </c>
      <c r="D13" s="25">
        <f>+'Resumen importaciones totales'!D23</f>
        <v>22184.330939319705</v>
      </c>
      <c r="E13" s="25">
        <f>IF(OR(OR(D13=0,C13=0),D13=""),"",(D13/C13-1)*100)</f>
        <v>42.921700348186718</v>
      </c>
      <c r="F13" s="23">
        <f>(D13/D$13)*100</f>
        <v>100</v>
      </c>
      <c r="G13" s="25">
        <f>+'Resumen importaciones totales'!G23</f>
        <v>1690.0644989299967</v>
      </c>
      <c r="H13" s="25">
        <f>+'Resumen importaciones totales'!H23</f>
        <v>2539.7678541600117</v>
      </c>
      <c r="I13" s="25">
        <f>IF(OR(OR(H13=0,G13=0),H13=""),"",(H13/G13-1)*100)</f>
        <v>50.276386242535366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+C15+C19</f>
        <v>3193.9741049999998</v>
      </c>
      <c r="D14" s="25">
        <f>+D15+D19</f>
        <v>4964.368746000001</v>
      </c>
      <c r="E14" s="22">
        <f t="shared" ref="E14:E45" si="0">IF(OR(OR(D14=0,C14=0),D14=""),"",(D14/C14-1)*100)</f>
        <v>55.429210845151843</v>
      </c>
      <c r="F14" s="22">
        <f t="shared" ref="F14:F45" si="1">(D14/D$13)*100</f>
        <v>22.377815943960293</v>
      </c>
      <c r="G14" s="22">
        <f>+G15+G19</f>
        <v>312.03165399999995</v>
      </c>
      <c r="H14" s="25">
        <f t="shared" ref="H14" si="2">+H15+H19</f>
        <v>646.34751800000004</v>
      </c>
      <c r="I14" s="22">
        <f t="shared" ref="I14:I45" si="3">IF(OR(OR(H14=0,G14=0),H14=""),"",(H14/G14-1)*100)</f>
        <v>107.14165044293877</v>
      </c>
      <c r="J14" s="22">
        <f>(H14/H$13)*100</f>
        <v>25.449078621154896</v>
      </c>
      <c r="K14" s="16"/>
    </row>
    <row r="15" spans="1:14">
      <c r="A15" s="14"/>
      <c r="B15" s="10" t="s">
        <v>35</v>
      </c>
      <c r="C15" s="22">
        <f>+SUM(C16:C18)</f>
        <v>285.432095</v>
      </c>
      <c r="D15" s="25">
        <f>+SUM(D16:D18)</f>
        <v>440.90769</v>
      </c>
      <c r="E15" s="22">
        <f t="shared" si="0"/>
        <v>54.470256752310917</v>
      </c>
      <c r="F15" s="22">
        <f>(D15/D$13)*100</f>
        <v>1.9874734613633593</v>
      </c>
      <c r="G15" s="22">
        <f>+SUM(G16:G18)</f>
        <v>26.014659000000002</v>
      </c>
      <c r="H15" s="25">
        <f>+SUM(H16:H18)</f>
        <v>47.906235000000002</v>
      </c>
      <c r="I15" s="22">
        <f t="shared" si="3"/>
        <v>84.150924292338416</v>
      </c>
      <c r="J15" s="22">
        <f t="shared" ref="J15:J45" si="4">(H15/H$13)*100</f>
        <v>1.8862446393095338</v>
      </c>
      <c r="K15" s="16"/>
    </row>
    <row r="16" spans="1:14">
      <c r="A16" s="14" t="s">
        <v>41</v>
      </c>
      <c r="B16" s="9" t="str">
        <f>CONCATENATE(A16,[9]resumen_pais_manufacturas!B7)</f>
        <v xml:space="preserve">   Bolivia</v>
      </c>
      <c r="C16" s="22">
        <f>[9]resumen_pais_manufacturas!C7/1000000</f>
        <v>4.2418740000000001</v>
      </c>
      <c r="D16" s="25">
        <f>[9]resumen_pais_manufacturas!D7/1000000</f>
        <v>1.9440139999999999</v>
      </c>
      <c r="E16" s="22">
        <f t="shared" si="0"/>
        <v>-54.170868818828666</v>
      </c>
      <c r="F16" s="22">
        <f t="shared" si="1"/>
        <v>8.7630048673427077E-3</v>
      </c>
      <c r="G16" s="22">
        <f>[9]resumen_pais_manufacturas!E7/1000000</f>
        <v>0.13930200000000001</v>
      </c>
      <c r="H16" s="25">
        <f>[9]resumen_pais_manufacturas!F7/1000000</f>
        <v>0.441444</v>
      </c>
      <c r="I16" s="22">
        <f t="shared" si="3"/>
        <v>216.89710126200629</v>
      </c>
      <c r="J16" s="22">
        <f t="shared" si="4"/>
        <v>1.7381273618253611E-2</v>
      </c>
      <c r="K16" s="16"/>
    </row>
    <row r="17" spans="1:11">
      <c r="A17" s="14" t="s">
        <v>41</v>
      </c>
      <c r="B17" s="9" t="str">
        <f>CONCATENATE(A17,[9]resumen_pais_manufacturas!B8)</f>
        <v xml:space="preserve">   Ecuador</v>
      </c>
      <c r="C17" s="22">
        <f>[9]resumen_pais_manufacturas!C8/1000000</f>
        <v>136.61455100000001</v>
      </c>
      <c r="D17" s="25">
        <f>[9]resumen_pais_manufacturas!D8/1000000</f>
        <v>229.703655</v>
      </c>
      <c r="E17" s="22">
        <f t="shared" si="0"/>
        <v>68.139962631067007</v>
      </c>
      <c r="F17" s="22">
        <f t="shared" si="1"/>
        <v>1.0354319705575217</v>
      </c>
      <c r="G17" s="22">
        <f>[9]resumen_pais_manufacturas!E8/1000000</f>
        <v>10.177517</v>
      </c>
      <c r="H17" s="25">
        <f>[9]resumen_pais_manufacturas!F8/1000000</f>
        <v>30.652881000000001</v>
      </c>
      <c r="I17" s="22">
        <f t="shared" si="3"/>
        <v>201.18231195290562</v>
      </c>
      <c r="J17" s="22">
        <f t="shared" si="4"/>
        <v>1.2069166459364435</v>
      </c>
      <c r="K17" s="16"/>
    </row>
    <row r="18" spans="1:11">
      <c r="A18" s="14" t="s">
        <v>41</v>
      </c>
      <c r="B18" s="9" t="str">
        <f>CONCATENATE(A18,[9]resumen_pais_manufacturas!B9)</f>
        <v xml:space="preserve">   Perú </v>
      </c>
      <c r="C18" s="22">
        <f>[9]resumen_pais_manufacturas!C9/1000000</f>
        <v>144.57567</v>
      </c>
      <c r="D18" s="25">
        <f>[9]resumen_pais_manufacturas!D9/1000000</f>
        <v>209.26002099999999</v>
      </c>
      <c r="E18" s="22">
        <f t="shared" si="0"/>
        <v>44.740827415843889</v>
      </c>
      <c r="F18" s="22">
        <f t="shared" si="1"/>
        <v>0.94327848593849484</v>
      </c>
      <c r="G18" s="22">
        <f>[9]resumen_pais_manufacturas!E9/1000000</f>
        <v>15.697839999999999</v>
      </c>
      <c r="H18" s="25">
        <f>[9]resumen_pais_manufacturas!F9/1000000</f>
        <v>16.811910000000001</v>
      </c>
      <c r="I18" s="22">
        <f t="shared" si="3"/>
        <v>7.0969636586944551</v>
      </c>
      <c r="J18" s="22">
        <f t="shared" si="4"/>
        <v>0.66194671975483665</v>
      </c>
      <c r="K18" s="16"/>
    </row>
    <row r="19" spans="1:11">
      <c r="A19" s="14"/>
      <c r="B19" s="10" t="s">
        <v>36</v>
      </c>
      <c r="C19" s="22">
        <f>SUM(C20:C27)</f>
        <v>2908.5420099999997</v>
      </c>
      <c r="D19" s="25">
        <f>SUM(D20:D27)</f>
        <v>4523.461056000001</v>
      </c>
      <c r="E19" s="22">
        <f t="shared" si="0"/>
        <v>55.52331857156161</v>
      </c>
      <c r="F19" s="22">
        <f t="shared" si="1"/>
        <v>20.390342482596932</v>
      </c>
      <c r="G19" s="22">
        <f>SUM(G20:G27)</f>
        <v>286.01699499999995</v>
      </c>
      <c r="H19" s="25">
        <f>SUM(H20:H27)</f>
        <v>598.441283</v>
      </c>
      <c r="I19" s="22">
        <f t="shared" si="3"/>
        <v>109.23277059113224</v>
      </c>
      <c r="J19" s="22">
        <f t="shared" si="4"/>
        <v>23.562833981845362</v>
      </c>
      <c r="K19" s="16"/>
    </row>
    <row r="20" spans="1:11">
      <c r="A20" s="14" t="s">
        <v>41</v>
      </c>
      <c r="B20" s="9" t="str">
        <f>CONCATENATE(A20,[9]resumen_pais_manufacturas!B23)</f>
        <v xml:space="preserve">   Argentina</v>
      </c>
      <c r="C20" s="22">
        <f>[9]resumen_pais_manufacturas!C23/1000000</f>
        <v>203.954036</v>
      </c>
      <c r="D20" s="25">
        <f>[9]resumen_pais_manufacturas!D23/1000000</f>
        <v>177.828746</v>
      </c>
      <c r="E20" s="22">
        <f t="shared" si="0"/>
        <v>-12.809400839706854</v>
      </c>
      <c r="F20" s="22">
        <f t="shared" si="1"/>
        <v>0.8015961648174601</v>
      </c>
      <c r="G20" s="22">
        <f>[9]resumen_pais_manufacturas!E23/1000000</f>
        <v>26.000157999999999</v>
      </c>
      <c r="H20" s="25">
        <f>[9]resumen_pais_manufacturas!F23/1000000</f>
        <v>15.40315</v>
      </c>
      <c r="I20" s="22">
        <f t="shared" si="3"/>
        <v>-40.757475396880281</v>
      </c>
      <c r="J20" s="22">
        <f t="shared" si="4"/>
        <v>0.60647865806988688</v>
      </c>
      <c r="K20" s="16"/>
    </row>
    <row r="21" spans="1:11">
      <c r="A21" s="14" t="s">
        <v>41</v>
      </c>
      <c r="B21" s="9" t="str">
        <f>CONCATENATE(A21,[9]resumen_pais_manufacturas!B24)</f>
        <v xml:space="preserve">   Brasil </v>
      </c>
      <c r="C21" s="22">
        <f>[9]resumen_pais_manufacturas!C24/1000000</f>
        <v>749.82772399999999</v>
      </c>
      <c r="D21" s="25">
        <f>[9]resumen_pais_manufacturas!D24/1000000</f>
        <v>821.30143299999997</v>
      </c>
      <c r="E21" s="22">
        <f t="shared" si="0"/>
        <v>9.5320173837690767</v>
      </c>
      <c r="F21" s="22">
        <f t="shared" si="1"/>
        <v>3.702169045559621</v>
      </c>
      <c r="G21" s="22">
        <f>[9]resumen_pais_manufacturas!E24/1000000</f>
        <v>70.670266999999996</v>
      </c>
      <c r="H21" s="25">
        <f>[9]resumen_pais_manufacturas!F24/1000000</f>
        <v>79.780872000000002</v>
      </c>
      <c r="I21" s="22">
        <f t="shared" si="3"/>
        <v>12.891708757800524</v>
      </c>
      <c r="J21" s="22">
        <f t="shared" si="4"/>
        <v>3.1412663117742419</v>
      </c>
      <c r="K21" s="16"/>
    </row>
    <row r="22" spans="1:11">
      <c r="A22" s="14" t="s">
        <v>41</v>
      </c>
      <c r="B22" s="9" t="str">
        <f>CONCATENATE(A22,[9]resumen_pais_manufacturas!B25)</f>
        <v xml:space="preserve">   Cuba </v>
      </c>
      <c r="C22" s="22">
        <f>[9]resumen_pais_manufacturas!C25/1000000</f>
        <v>3.0897109999999999</v>
      </c>
      <c r="D22" s="25">
        <f>[9]resumen_pais_manufacturas!D25/1000000</f>
        <v>2.6548219999999998</v>
      </c>
      <c r="E22" s="22">
        <f t="shared" si="0"/>
        <v>-14.075394106439088</v>
      </c>
      <c r="F22" s="22">
        <f t="shared" si="1"/>
        <v>1.1967104201887692E-2</v>
      </c>
      <c r="G22" s="22">
        <f>[9]resumen_pais_manufacturas!E25/1000000</f>
        <v>5.5981999999999997E-2</v>
      </c>
      <c r="H22" s="25">
        <f>[9]resumen_pais_manufacturas!F25/1000000</f>
        <v>1.7402420000000001</v>
      </c>
      <c r="I22" s="22">
        <f t="shared" si="3"/>
        <v>3008.5741845593229</v>
      </c>
      <c r="J22" s="22">
        <f t="shared" si="4"/>
        <v>6.851972699589734E-2</v>
      </c>
      <c r="K22" s="16"/>
    </row>
    <row r="23" spans="1:11">
      <c r="A23" s="14" t="s">
        <v>41</v>
      </c>
      <c r="B23" s="9" t="str">
        <f>CONCATENATE(A23,[9]resumen_pais_manufacturas!B26)</f>
        <v xml:space="preserve">   Chile </v>
      </c>
      <c r="C23" s="22">
        <f>[9]resumen_pais_manufacturas!C26/1000000</f>
        <v>355.515829</v>
      </c>
      <c r="D23" s="25">
        <f>[9]resumen_pais_manufacturas!D26/1000000</f>
        <v>364.09200099999998</v>
      </c>
      <c r="E23" s="22">
        <f t="shared" si="0"/>
        <v>2.4123179055411281</v>
      </c>
      <c r="F23" s="22">
        <f t="shared" si="1"/>
        <v>1.6412124485335733</v>
      </c>
      <c r="G23" s="22">
        <f>[9]resumen_pais_manufacturas!E26/1000000</f>
        <v>26.462665999999999</v>
      </c>
      <c r="H23" s="25">
        <f>[9]resumen_pais_manufacturas!F26/1000000</f>
        <v>64.108255999999997</v>
      </c>
      <c r="I23" s="22">
        <f t="shared" si="3"/>
        <v>142.25924931373126</v>
      </c>
      <c r="J23" s="22">
        <f t="shared" si="4"/>
        <v>2.5241777863671242</v>
      </c>
      <c r="K23" s="16"/>
    </row>
    <row r="24" spans="1:11">
      <c r="A24" s="14" t="s">
        <v>41</v>
      </c>
      <c r="B24" s="9" t="str">
        <f>CONCATENATE(A24,[9]resumen_pais_manufacturas!B27)</f>
        <v xml:space="preserve">   México </v>
      </c>
      <c r="C24" s="22">
        <f>[9]resumen_pais_manufacturas!C27/1000000</f>
        <v>1454.59701</v>
      </c>
      <c r="D24" s="25">
        <f>[9]resumen_pais_manufacturas!D27/1000000</f>
        <v>2906.5672039999999</v>
      </c>
      <c r="E24" s="22">
        <f t="shared" si="0"/>
        <v>99.819412800800421</v>
      </c>
      <c r="F24" s="22">
        <f t="shared" si="1"/>
        <v>13.101892556283385</v>
      </c>
      <c r="G24" s="22">
        <f>[9]resumen_pais_manufacturas!E27/1000000</f>
        <v>147.735232</v>
      </c>
      <c r="H24" s="25">
        <f>[9]resumen_pais_manufacturas!F27/1000000</f>
        <v>406.23301300000003</v>
      </c>
      <c r="I24" s="22">
        <f t="shared" si="3"/>
        <v>174.97368603313262</v>
      </c>
      <c r="J24" s="22">
        <f t="shared" si="4"/>
        <v>15.99488757740637</v>
      </c>
      <c r="K24" s="16"/>
    </row>
    <row r="25" spans="1:11">
      <c r="A25" s="14" t="s">
        <v>41</v>
      </c>
      <c r="B25" s="9" t="str">
        <f>CONCATENATE(A25,[9]resumen_pais_manufacturas!B28)</f>
        <v xml:space="preserve">   Paraguay </v>
      </c>
      <c r="C25" s="22">
        <f>[9]resumen_pais_manufacturas!C28/1000000</f>
        <v>1.9426140000000001</v>
      </c>
      <c r="D25" s="25">
        <f>[9]resumen_pais_manufacturas!D28/1000000</f>
        <v>2.3963510000000001</v>
      </c>
      <c r="E25" s="22">
        <f t="shared" si="0"/>
        <v>23.357033358145273</v>
      </c>
      <c r="F25" s="22">
        <f t="shared" si="1"/>
        <v>1.0801998070415935E-2</v>
      </c>
      <c r="G25" s="22">
        <f>[9]resumen_pais_manufacturas!E28/1000000</f>
        <v>0.258743</v>
      </c>
      <c r="H25" s="25">
        <f>[9]resumen_pais_manufacturas!F28/1000000</f>
        <v>0.103716</v>
      </c>
      <c r="I25" s="22">
        <f t="shared" si="3"/>
        <v>-59.915437325840706</v>
      </c>
      <c r="J25" s="22">
        <f t="shared" si="4"/>
        <v>4.083680318660559E-3</v>
      </c>
      <c r="K25" s="16"/>
    </row>
    <row r="26" spans="1:11">
      <c r="A26" s="14" t="s">
        <v>41</v>
      </c>
      <c r="B26" s="9" t="str">
        <f>CONCATENATE(A26,[9]resumen_pais_manufacturas!B29)</f>
        <v xml:space="preserve">   Uruguay </v>
      </c>
      <c r="C26" s="22">
        <f>[9]resumen_pais_manufacturas!C29/1000000</f>
        <v>66.385077999999993</v>
      </c>
      <c r="D26" s="25">
        <f>[9]resumen_pais_manufacturas!D29/1000000</f>
        <v>73.427980000000005</v>
      </c>
      <c r="E26" s="22">
        <f t="shared" si="0"/>
        <v>10.609164306472628</v>
      </c>
      <c r="F26" s="22">
        <f t="shared" si="1"/>
        <v>0.33099028409216347</v>
      </c>
      <c r="G26" s="22">
        <f>[9]resumen_pais_manufacturas!E29/1000000</f>
        <v>7.58385</v>
      </c>
      <c r="H26" s="25">
        <f>[9]resumen_pais_manufacturas!F29/1000000</f>
        <v>8.9445300000000003</v>
      </c>
      <c r="I26" s="22">
        <f t="shared" si="3"/>
        <v>17.941810557961979</v>
      </c>
      <c r="J26" s="22">
        <f t="shared" si="4"/>
        <v>0.35217903814906987</v>
      </c>
      <c r="K26" s="16"/>
    </row>
    <row r="27" spans="1:11">
      <c r="A27" s="14" t="s">
        <v>41</v>
      </c>
      <c r="B27" s="9" t="str">
        <f>CONCATENATE(A27,[9]resumen_pais_manufacturas!B30)</f>
        <v xml:space="preserve">   Venezuela</v>
      </c>
      <c r="C27" s="22">
        <f>[9]resumen_pais_manufacturas!C30/1000000</f>
        <v>73.230007999999998</v>
      </c>
      <c r="D27" s="25">
        <f>[9]resumen_pais_manufacturas!D30/1000000</f>
        <v>175.192519</v>
      </c>
      <c r="E27" s="22">
        <f t="shared" ref="E27" si="5">IF(OR(OR(D27=0,C27=0),D27=""),"",(D27/C27-1)*100)</f>
        <v>139.23596867557359</v>
      </c>
      <c r="F27" s="22">
        <f t="shared" ref="F27" si="6">(D27/D$13)*100</f>
        <v>0.78971288103842352</v>
      </c>
      <c r="G27" s="22">
        <f>[9]resumen_pais_manufacturas!E30/1000000</f>
        <v>7.2500970000000002</v>
      </c>
      <c r="H27" s="25">
        <f>[9]resumen_pais_manufacturas!F30/1000000</f>
        <v>22.127503999999998</v>
      </c>
      <c r="I27" s="22">
        <f t="shared" ref="I27" si="7">IF(OR(OR(H27=0,G27=0),H27=""),"",(H27/G27-1)*100)</f>
        <v>205.20286832024453</v>
      </c>
      <c r="J27" s="22">
        <f t="shared" ref="J27" si="8">(H27/H$13)*100</f>
        <v>0.87124120276411332</v>
      </c>
      <c r="K27" s="16"/>
    </row>
    <row r="28" spans="1:11">
      <c r="A28" s="14" t="s">
        <v>41</v>
      </c>
      <c r="B28" s="9" t="str">
        <f>+[9]resumen_pais_manufacturas!B44</f>
        <v xml:space="preserve">Canadá </v>
      </c>
      <c r="C28" s="22">
        <f>+[9]resumen_pais_manufacturas!C44/1000000</f>
        <v>117.858824</v>
      </c>
      <c r="D28" s="25">
        <f>+[9]resumen_pais_manufacturas!D44/1000000</f>
        <v>131.978613</v>
      </c>
      <c r="E28" s="22">
        <f t="shared" si="0"/>
        <v>11.980256141025137</v>
      </c>
      <c r="F28" s="22">
        <f t="shared" si="1"/>
        <v>0.59491815805037385</v>
      </c>
      <c r="G28" s="22">
        <f>+[9]resumen_pais_manufacturas!E44/1000000</f>
        <v>11.189565</v>
      </c>
      <c r="H28" s="25">
        <f>+[9]resumen_pais_manufacturas!F44/1000000</f>
        <v>19.534337000000001</v>
      </c>
      <c r="I28" s="22">
        <f t="shared" si="3"/>
        <v>74.576375399758632</v>
      </c>
      <c r="J28" s="22">
        <f t="shared" si="4"/>
        <v>0.76913868202575053</v>
      </c>
      <c r="K28" s="16"/>
    </row>
    <row r="29" spans="1:11">
      <c r="A29" s="14" t="s">
        <v>41</v>
      </c>
      <c r="B29" s="9" t="str">
        <f>+[9]resumen_pais_manufacturas!B45</f>
        <v>Estados Unidos</v>
      </c>
      <c r="C29" s="22">
        <f>+[9]resumen_pais_manufacturas!C45/1000000</f>
        <v>4138.4071050000002</v>
      </c>
      <c r="D29" s="25">
        <f>+[9]resumen_pais_manufacturas!D45/1000000</f>
        <v>6391.0550899999998</v>
      </c>
      <c r="E29" s="22">
        <f t="shared" si="0"/>
        <v>54.432730464781073</v>
      </c>
      <c r="F29" s="22">
        <f t="shared" si="1"/>
        <v>28.808870132172597</v>
      </c>
      <c r="G29" s="22">
        <f>+[9]resumen_pais_manufacturas!E45/1000000</f>
        <v>420.93047799999999</v>
      </c>
      <c r="H29" s="25">
        <f>+[9]resumen_pais_manufacturas!F45/1000000</f>
        <v>691.48096399999997</v>
      </c>
      <c r="I29" s="22">
        <f t="shared" si="3"/>
        <v>64.274387372824066</v>
      </c>
      <c r="J29" s="22">
        <f t="shared" si="4"/>
        <v>27.226148361055479</v>
      </c>
      <c r="K29" s="16"/>
    </row>
    <row r="30" spans="1:11">
      <c r="A30" s="14"/>
      <c r="B30" s="10" t="s">
        <v>33</v>
      </c>
      <c r="C30" s="22">
        <f>SUM(C31:C40)</f>
        <v>2758.6238519999997</v>
      </c>
      <c r="D30" s="25">
        <f>SUM(D31:D40)</f>
        <v>3132.6941950000005</v>
      </c>
      <c r="E30" s="22">
        <f t="shared" si="0"/>
        <v>13.560034389204612</v>
      </c>
      <c r="F30" s="22">
        <f t="shared" si="1"/>
        <v>14.121202048278073</v>
      </c>
      <c r="G30" s="22">
        <f>SUM(G31:G40)</f>
        <v>299.306915</v>
      </c>
      <c r="H30" s="25">
        <f>SUM(H31:H40)</f>
        <v>335.10581300000001</v>
      </c>
      <c r="I30" s="22">
        <f t="shared" si="3"/>
        <v>11.960598371073395</v>
      </c>
      <c r="J30" s="22">
        <f t="shared" si="4"/>
        <v>13.194348154738378</v>
      </c>
      <c r="K30" s="16"/>
    </row>
    <row r="31" spans="1:11">
      <c r="A31" s="14" t="s">
        <v>41</v>
      </c>
      <c r="B31" s="9" t="str">
        <f>CONCATENATE(A31,[9]resumen_pais_manufacturas!B59)</f>
        <v xml:space="preserve">   Alemania </v>
      </c>
      <c r="C31" s="22">
        <f>[9]resumen_pais_manufacturas!C59/1000000</f>
        <v>652.54360299999996</v>
      </c>
      <c r="D31" s="25">
        <f>[9]resumen_pais_manufacturas!D59/1000000</f>
        <v>766.75252</v>
      </c>
      <c r="E31" s="22">
        <f t="shared" si="0"/>
        <v>17.502112728549733</v>
      </c>
      <c r="F31" s="22">
        <f t="shared" si="1"/>
        <v>3.4562796691830857</v>
      </c>
      <c r="G31" s="22">
        <f>[9]resumen_pais_manufacturas!E59/1000000</f>
        <v>59.462710000000001</v>
      </c>
      <c r="H31" s="25">
        <f>[9]resumen_pais_manufacturas!F59/1000000</f>
        <v>88.245962000000006</v>
      </c>
      <c r="I31" s="22">
        <f t="shared" si="3"/>
        <v>48.405550302029624</v>
      </c>
      <c r="J31" s="22">
        <f t="shared" si="4"/>
        <v>3.4745680340609701</v>
      </c>
      <c r="K31" s="16"/>
    </row>
    <row r="32" spans="1:11">
      <c r="A32" s="14" t="s">
        <v>41</v>
      </c>
      <c r="B32" s="9" t="str">
        <f>CONCATENATE(A32,[9]resumen_pais_manufacturas!B60)</f>
        <v xml:space="preserve">   Bélgica </v>
      </c>
      <c r="C32" s="22">
        <f>[9]resumen_pais_manufacturas!C60/1000000</f>
        <v>452.34310799999997</v>
      </c>
      <c r="D32" s="25">
        <f>[9]resumen_pais_manufacturas!D60/1000000</f>
        <v>527.34115099999997</v>
      </c>
      <c r="E32" s="22">
        <f t="shared" si="0"/>
        <v>16.579901776684093</v>
      </c>
      <c r="F32" s="22">
        <f t="shared" si="1"/>
        <v>2.377088371258183</v>
      </c>
      <c r="G32" s="22">
        <f>[9]resumen_pais_manufacturas!E60/1000000</f>
        <v>55.112206</v>
      </c>
      <c r="H32" s="25">
        <f>[9]resumen_pais_manufacturas!F60/1000000</f>
        <v>47.430816999999998</v>
      </c>
      <c r="I32" s="22">
        <f t="shared" si="3"/>
        <v>-13.937727333941242</v>
      </c>
      <c r="J32" s="22">
        <f t="shared" si="4"/>
        <v>1.8675256843774406</v>
      </c>
      <c r="K32" s="16"/>
    </row>
    <row r="33" spans="1:11">
      <c r="A33" s="14" t="s">
        <v>41</v>
      </c>
      <c r="B33" s="9" t="str">
        <f>CONCATENATE(A33,[9]resumen_pais_manufacturas!B61)</f>
        <v xml:space="preserve">   Dinamarca </v>
      </c>
      <c r="C33" s="22">
        <f>[9]resumen_pais_manufacturas!C61/1000000</f>
        <v>33.044643000000001</v>
      </c>
      <c r="D33" s="25">
        <f>[9]resumen_pais_manufacturas!D61/1000000</f>
        <v>33.271934999999999</v>
      </c>
      <c r="E33" s="22">
        <f t="shared" si="0"/>
        <v>0.68783312320850332</v>
      </c>
      <c r="F33" s="22">
        <f t="shared" si="1"/>
        <v>0.14997943860019022</v>
      </c>
      <c r="G33" s="22">
        <f>[9]resumen_pais_manufacturas!E61/1000000</f>
        <v>1.765611</v>
      </c>
      <c r="H33" s="25">
        <f>[9]resumen_pais_manufacturas!F61/1000000</f>
        <v>2.7612000000000001</v>
      </c>
      <c r="I33" s="22">
        <f t="shared" si="3"/>
        <v>56.387788703174138</v>
      </c>
      <c r="J33" s="22">
        <f t="shared" si="4"/>
        <v>0.10871859786229256</v>
      </c>
      <c r="K33" s="16"/>
    </row>
    <row r="34" spans="1:11">
      <c r="A34" s="14" t="s">
        <v>41</v>
      </c>
      <c r="B34" s="9" t="str">
        <f>CONCATENATE(A34,[9]resumen_pais_manufacturas!B62)</f>
        <v xml:space="preserve">   España </v>
      </c>
      <c r="C34" s="22">
        <f>[9]resumen_pais_manufacturas!C62/1000000</f>
        <v>220.51618099999999</v>
      </c>
      <c r="D34" s="25">
        <f>[9]resumen_pais_manufacturas!D62/1000000</f>
        <v>288.25520599999999</v>
      </c>
      <c r="E34" s="22">
        <f t="shared" si="0"/>
        <v>30.718392043983389</v>
      </c>
      <c r="F34" s="22">
        <f t="shared" si="1"/>
        <v>1.299363982571563</v>
      </c>
      <c r="G34" s="22">
        <f>[9]resumen_pais_manufacturas!E62/1000000</f>
        <v>27.456264999999998</v>
      </c>
      <c r="H34" s="25">
        <f>[9]resumen_pais_manufacturas!F62/1000000</f>
        <v>30.822934</v>
      </c>
      <c r="I34" s="22">
        <f t="shared" si="3"/>
        <v>12.261933660678181</v>
      </c>
      <c r="J34" s="22">
        <f t="shared" si="4"/>
        <v>1.2136122578885937</v>
      </c>
      <c r="K34" s="16"/>
    </row>
    <row r="35" spans="1:11">
      <c r="A35" s="14" t="s">
        <v>41</v>
      </c>
      <c r="B35" s="9" t="str">
        <f>CONCATENATE(A35,[9]resumen_pais_manufacturas!B63)</f>
        <v xml:space="preserve">   Finlandia </v>
      </c>
      <c r="C35" s="22">
        <f>[9]resumen_pais_manufacturas!C63/1000000</f>
        <v>55.279097999999998</v>
      </c>
      <c r="D35" s="25">
        <f>[9]resumen_pais_manufacturas!D63/1000000</f>
        <v>80.206508999999997</v>
      </c>
      <c r="E35" s="22">
        <f t="shared" si="0"/>
        <v>45.093736876820969</v>
      </c>
      <c r="F35" s="22">
        <f t="shared" si="1"/>
        <v>0.36154576497883589</v>
      </c>
      <c r="G35" s="22">
        <f>[9]resumen_pais_manufacturas!E63/1000000</f>
        <v>6.6854630000000004</v>
      </c>
      <c r="H35" s="25">
        <f>[9]resumen_pais_manufacturas!F63/1000000</f>
        <v>13.217244000000001</v>
      </c>
      <c r="I35" s="22">
        <f t="shared" si="3"/>
        <v>97.701251207283633</v>
      </c>
      <c r="J35" s="22">
        <f t="shared" si="4"/>
        <v>0.52041150053737484</v>
      </c>
      <c r="K35" s="16"/>
    </row>
    <row r="36" spans="1:11">
      <c r="A36" s="14" t="s">
        <v>41</v>
      </c>
      <c r="B36" s="7" t="str">
        <f>CONCATENATE(A36,[9]resumen_pais_manufacturas!B64)</f>
        <v xml:space="preserve">   Francia </v>
      </c>
      <c r="C36" s="22">
        <f>[9]resumen_pais_manufacturas!C64/1000000</f>
        <v>623.91226400000005</v>
      </c>
      <c r="D36" s="25">
        <f>[9]resumen_pais_manufacturas!D64/1000000</f>
        <v>574.57900800000004</v>
      </c>
      <c r="E36" s="22">
        <f t="shared" si="0"/>
        <v>-7.9070822688620872</v>
      </c>
      <c r="F36" s="22">
        <f t="shared" si="1"/>
        <v>2.5900218021973838</v>
      </c>
      <c r="G36" s="22">
        <f>[9]resumen_pais_manufacturas!E64/1000000</f>
        <v>79.582234</v>
      </c>
      <c r="H36" s="25">
        <f>[9]resumen_pais_manufacturas!F64/1000000</f>
        <v>51.575220000000002</v>
      </c>
      <c r="I36" s="22">
        <f t="shared" si="3"/>
        <v>-35.192545612630077</v>
      </c>
      <c r="J36" s="22">
        <f t="shared" si="4"/>
        <v>2.0307060708529874</v>
      </c>
      <c r="K36" s="16"/>
    </row>
    <row r="37" spans="1:11">
      <c r="A37" s="14" t="s">
        <v>41</v>
      </c>
      <c r="B37" s="7" t="str">
        <f>CONCATENATE(A37,[9]resumen_pais_manufacturas!B65)</f>
        <v xml:space="preserve">   Italia </v>
      </c>
      <c r="C37" s="22">
        <f>[9]resumen_pais_manufacturas!C65/1000000</f>
        <v>243.546142</v>
      </c>
      <c r="D37" s="25">
        <f>[9]resumen_pais_manufacturas!D65/1000000</f>
        <v>332.32462800000002</v>
      </c>
      <c r="E37" s="22">
        <f t="shared" si="0"/>
        <v>36.452429618039297</v>
      </c>
      <c r="F37" s="22">
        <f t="shared" si="1"/>
        <v>1.4980151031329274</v>
      </c>
      <c r="G37" s="22">
        <f>[9]resumen_pais_manufacturas!E65/1000000</f>
        <v>26.446876</v>
      </c>
      <c r="H37" s="25">
        <f>[9]resumen_pais_manufacturas!F65/1000000</f>
        <v>32.317607000000002</v>
      </c>
      <c r="I37" s="22">
        <f t="shared" si="3"/>
        <v>22.198202161949119</v>
      </c>
      <c r="J37" s="22">
        <f t="shared" si="4"/>
        <v>1.2724630303145774</v>
      </c>
      <c r="K37" s="16"/>
    </row>
    <row r="38" spans="1:11">
      <c r="A38" s="14" t="s">
        <v>41</v>
      </c>
      <c r="B38" s="7" t="str">
        <f>CONCATENATE(A38,[9]resumen_pais_manufacturas!B66)</f>
        <v xml:space="preserve">   Países Bajos </v>
      </c>
      <c r="C38" s="22">
        <f>[9]resumen_pais_manufacturas!C66/1000000</f>
        <v>196.54739699999999</v>
      </c>
      <c r="D38" s="25">
        <f>[9]resumen_pais_manufacturas!D66/1000000</f>
        <v>242.27888100000001</v>
      </c>
      <c r="E38" s="22">
        <f t="shared" si="0"/>
        <v>23.267407606522529</v>
      </c>
      <c r="F38" s="22">
        <f t="shared" si="1"/>
        <v>1.0921171418813573</v>
      </c>
      <c r="G38" s="22">
        <f>[9]resumen_pais_manufacturas!E66/1000000</f>
        <v>21.719063999999999</v>
      </c>
      <c r="H38" s="25">
        <f>[9]resumen_pais_manufacturas!F66/1000000</f>
        <v>43.779876000000002</v>
      </c>
      <c r="I38" s="22">
        <f t="shared" si="3"/>
        <v>101.57349322235989</v>
      </c>
      <c r="J38" s="22">
        <f t="shared" si="4"/>
        <v>1.7237747114678521</v>
      </c>
      <c r="K38" s="16"/>
    </row>
    <row r="39" spans="1:11">
      <c r="A39" s="14" t="s">
        <v>41</v>
      </c>
      <c r="B39" s="9" t="str">
        <f>CONCATENATE(A39,[9]resumen_pais_manufacturas!B67)</f>
        <v xml:space="preserve">   Reino Unido </v>
      </c>
      <c r="C39" s="22">
        <f>[9]resumen_pais_manufacturas!C67/1000000</f>
        <v>220.13123300000001</v>
      </c>
      <c r="D39" s="25">
        <f>[9]resumen_pais_manufacturas!D67/1000000</f>
        <v>226.17379099999999</v>
      </c>
      <c r="E39" s="22">
        <f t="shared" si="0"/>
        <v>2.7449798548123239</v>
      </c>
      <c r="F39" s="22">
        <f t="shared" si="1"/>
        <v>1.0195204517037184</v>
      </c>
      <c r="G39" s="22">
        <f>[9]resumen_pais_manufacturas!E67/1000000</f>
        <v>14.187193000000001</v>
      </c>
      <c r="H39" s="25">
        <f>[9]resumen_pais_manufacturas!F67/1000000</f>
        <v>19.439857</v>
      </c>
      <c r="I39" s="22">
        <f t="shared" si="3"/>
        <v>37.023983532189895</v>
      </c>
      <c r="J39" s="22">
        <f t="shared" si="4"/>
        <v>0.76541865699097245</v>
      </c>
      <c r="K39" s="16"/>
    </row>
    <row r="40" spans="1:11">
      <c r="A40" s="14" t="s">
        <v>41</v>
      </c>
      <c r="B40" s="9" t="str">
        <f>CONCATENATE(A40,[9]resumen_pais_manufacturas!B68)</f>
        <v xml:space="preserve">   Suecia </v>
      </c>
      <c r="C40" s="22">
        <f>[9]resumen_pais_manufacturas!C68/1000000</f>
        <v>60.760182999999998</v>
      </c>
      <c r="D40" s="25">
        <f>[9]resumen_pais_manufacturas!D68/1000000</f>
        <v>61.510565999999997</v>
      </c>
      <c r="E40" s="22">
        <f t="shared" si="0"/>
        <v>1.2349913429325898</v>
      </c>
      <c r="F40" s="22">
        <f t="shared" si="1"/>
        <v>0.27727032277082614</v>
      </c>
      <c r="G40" s="22">
        <f>[9]resumen_pais_manufacturas!E68/1000000</f>
        <v>6.8892930000000003</v>
      </c>
      <c r="H40" s="25">
        <f>[9]resumen_pais_manufacturas!F68/1000000</f>
        <v>5.5150959999999998</v>
      </c>
      <c r="I40" s="22">
        <f t="shared" si="3"/>
        <v>-19.946850859732635</v>
      </c>
      <c r="J40" s="22">
        <f t="shared" si="4"/>
        <v>0.21714961038531733</v>
      </c>
      <c r="K40" s="16"/>
    </row>
    <row r="41" spans="1:11">
      <c r="A41" s="14" t="s">
        <v>41</v>
      </c>
      <c r="B41" s="9" t="str">
        <f>CONCATENATE(A41,[9]resumen_pais_manufacturas!B69)</f>
        <v xml:space="preserve">   Resto </v>
      </c>
      <c r="C41" s="22">
        <f>[9]resumen_pais_manufacturas!C69/1000000</f>
        <v>95.641945000000007</v>
      </c>
      <c r="D41" s="25">
        <f>[9]resumen_pais_manufacturas!D69/1000000</f>
        <v>150.23109400000001</v>
      </c>
      <c r="E41" s="22">
        <f t="shared" ref="E41:E42" si="9">IF(OR(OR(D41=0,C41=0),D41=""),"",(D41/C41-1)*100)</f>
        <v>57.076577645927216</v>
      </c>
      <c r="F41" s="22">
        <f t="shared" ref="F41:F42" si="10">(D41/D$13)*100</f>
        <v>0.67719461276936277</v>
      </c>
      <c r="G41" s="22">
        <f>[9]resumen_pais_manufacturas!E69/1000000</f>
        <v>11.072566</v>
      </c>
      <c r="H41" s="25">
        <f>[9]resumen_pais_manufacturas!F69/1000000</f>
        <v>14.668383</v>
      </c>
      <c r="I41" s="22">
        <f t="shared" ref="I41" si="11">IF(OR(OR(H41=0,G41=0),H41=""),"",(H41/G41-1)*100)</f>
        <v>32.475010760829967</v>
      </c>
      <c r="J41" s="22">
        <f t="shared" ref="J41" si="12">(H41/H$13)*100</f>
        <v>0.57754817929417956</v>
      </c>
      <c r="K41" s="16"/>
    </row>
    <row r="42" spans="1:11">
      <c r="A42" s="14"/>
      <c r="B42" s="9" t="str">
        <f>+[9]resumen_pais_manufacturas!B83</f>
        <v>Corea del Sur</v>
      </c>
      <c r="C42" s="22">
        <f>+[9]resumen_pais_manufacturas!C83/1000000</f>
        <v>587.79964800000005</v>
      </c>
      <c r="D42" s="25">
        <f>+[9]resumen_pais_manufacturas!D83/1000000</f>
        <v>717.42147699999998</v>
      </c>
      <c r="E42" s="22">
        <f t="shared" si="9"/>
        <v>22.052042637494051</v>
      </c>
      <c r="F42" s="22">
        <f t="shared" si="10"/>
        <v>3.2339108128270651</v>
      </c>
      <c r="G42" s="22">
        <f>+[9]resumen_pais_manufacturas!E83/1000000</f>
        <v>57.267184</v>
      </c>
      <c r="H42" s="25">
        <f>+[9]resumen_pais_manufacturas!F83/1000000</f>
        <v>66.021924999999996</v>
      </c>
      <c r="I42" s="22">
        <f t="shared" si="3"/>
        <v>15.287535353580495</v>
      </c>
      <c r="J42" s="22">
        <f t="shared" si="4"/>
        <v>2.5995259721025059</v>
      </c>
      <c r="K42" s="16"/>
    </row>
    <row r="43" spans="1:11">
      <c r="A43" s="14"/>
      <c r="B43" s="9" t="str">
        <f>+[9]resumen_pais_manufacturas!B84</f>
        <v xml:space="preserve">China </v>
      </c>
      <c r="C43" s="22">
        <f>+[9]resumen_pais_manufacturas!C84/1000000</f>
        <v>1648.678684</v>
      </c>
      <c r="D43" s="25">
        <f>+[9]resumen_pais_manufacturas!D84/1000000</f>
        <v>2488.2144589999998</v>
      </c>
      <c r="E43" s="22">
        <f t="shared" ref="E43:E44" si="13">IF(OR(OR(D43=0,C43=0),D43=""),"",(D43/C43-1)*100)</f>
        <v>50.921734061796123</v>
      </c>
      <c r="F43" s="22">
        <f t="shared" ref="F43:F44" si="14">(D43/D$13)*100</f>
        <v>11.216089706766258</v>
      </c>
      <c r="G43" s="22">
        <f>+[9]resumen_pais_manufacturas!E84/1000000</f>
        <v>199.62531000000001</v>
      </c>
      <c r="H43" s="25">
        <f>+[9]resumen_pais_manufacturas!F84/1000000</f>
        <v>297.75511</v>
      </c>
      <c r="I43" s="22">
        <f t="shared" ref="I43:I44" si="15">IF(OR(OR(H43=0,G43=0),H43=""),"",(H43/G43-1)*100)</f>
        <v>49.156993168852182</v>
      </c>
      <c r="J43" s="22">
        <f t="shared" ref="J43:J44" si="16">(H43/H$13)*100</f>
        <v>11.723713626514808</v>
      </c>
      <c r="K43" s="16"/>
    </row>
    <row r="44" spans="1:11">
      <c r="A44" s="14"/>
      <c r="B44" s="9" t="str">
        <f>+[9]resumen_pais_manufacturas!B85</f>
        <v xml:space="preserve">Japón </v>
      </c>
      <c r="C44" s="22">
        <f>+[9]resumen_pais_manufacturas!C85/1000000</f>
        <v>488.139027</v>
      </c>
      <c r="D44" s="25">
        <f>+[9]resumen_pais_manufacturas!D85/1000000</f>
        <v>634.53235600000005</v>
      </c>
      <c r="E44" s="22">
        <f t="shared" si="13"/>
        <v>29.990089073537661</v>
      </c>
      <c r="F44" s="22">
        <f t="shared" si="14"/>
        <v>2.8602726750498899</v>
      </c>
      <c r="G44" s="22">
        <f>+[9]resumen_pais_manufacturas!E85/1000000</f>
        <v>59.263441999999998</v>
      </c>
      <c r="H44" s="25">
        <f>+[9]resumen_pais_manufacturas!F85/1000000</f>
        <v>84.557653999999999</v>
      </c>
      <c r="I44" s="22">
        <f t="shared" si="15"/>
        <v>42.680970167071976</v>
      </c>
      <c r="J44" s="22">
        <f t="shared" si="16"/>
        <v>3.3293457849503385</v>
      </c>
      <c r="K44" s="16"/>
    </row>
    <row r="45" spans="1:11">
      <c r="A45" s="14"/>
      <c r="B45" s="9" t="s">
        <v>3</v>
      </c>
      <c r="C45" s="22">
        <f>+C13-C14-C30-C28-C29-C42-C43-C44</f>
        <v>2588.5359751101055</v>
      </c>
      <c r="D45" s="25">
        <f>+D13-D14-D30-D28-D29-D42-D43-D44</f>
        <v>3724.0660033197059</v>
      </c>
      <c r="E45" s="22">
        <f t="shared" si="0"/>
        <v>43.867654887867637</v>
      </c>
      <c r="F45" s="22">
        <f t="shared" si="1"/>
        <v>16.786920522895457</v>
      </c>
      <c r="G45" s="22">
        <f t="shared" ref="G45:H45" si="17">+G13-G14-G30-G28-G29-G42-G43-G44</f>
        <v>330.44995092999676</v>
      </c>
      <c r="H45" s="25">
        <f t="shared" si="17"/>
        <v>398.96453316001146</v>
      </c>
      <c r="I45" s="22">
        <f t="shared" si="3"/>
        <v>20.733724437601442</v>
      </c>
      <c r="J45" s="22">
        <f t="shared" si="4"/>
        <v>15.708700797457833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f>+'Resumen importaciones totales'!C24</f>
        <v>1644.8988826499753</v>
      </c>
      <c r="D13" s="25">
        <f>+'Resumen importaciones totales'!D24</f>
        <v>3286.8379814399818</v>
      </c>
      <c r="E13" s="25">
        <f>IF(OR(OR(D13=0,C13=0),D13=""),"",(D13/C13-1)*100)</f>
        <v>99.820062868837226</v>
      </c>
      <c r="F13" s="23">
        <f>(D13/D$13)*100</f>
        <v>100</v>
      </c>
      <c r="G13" s="25">
        <f>+'Resumen importaciones totales'!G24</f>
        <v>147.21041062000003</v>
      </c>
      <c r="H13" s="25">
        <f>+'Resumen importaciones totales'!H24</f>
        <v>529.76970511000059</v>
      </c>
      <c r="I13" s="25">
        <f>IF(OR(OR(H13=0,G13=0),H13=""),"",(H13/G13-1)*100)</f>
        <v>259.87244575895909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+C15+C19</f>
        <v>654.25451700000008</v>
      </c>
      <c r="D14" s="25">
        <f>+D15+D19</f>
        <v>907.61011199999996</v>
      </c>
      <c r="E14" s="22">
        <f t="shared" ref="E14:E45" si="0">IF(OR(OR(D14=0,C14=0),D14=""),"",(D14/C14-1)*100)</f>
        <v>38.724317282780007</v>
      </c>
      <c r="F14" s="22">
        <f t="shared" ref="F14:F45" si="1">(D14/D$13)*100</f>
        <v>27.613472800456414</v>
      </c>
      <c r="G14" s="22">
        <f>+G15+G19</f>
        <v>64.102641000000006</v>
      </c>
      <c r="H14" s="25">
        <f t="shared" ref="H14" si="2">+H15+H19</f>
        <v>107.542732</v>
      </c>
      <c r="I14" s="22">
        <f t="shared" ref="I14:I45" si="3">IF(OR(OR(H14=0,G14=0),H14=""),"",(H14/G14-1)*100)</f>
        <v>67.766460667353769</v>
      </c>
      <c r="J14" s="22">
        <f>(H14/H$13)*100</f>
        <v>20.299902195741826</v>
      </c>
      <c r="K14" s="16"/>
    </row>
    <row r="15" spans="1:14">
      <c r="A15" s="14"/>
      <c r="B15" s="10" t="s">
        <v>35</v>
      </c>
      <c r="C15" s="22">
        <f>+SUM(C16:C18)</f>
        <v>83.902262000000007</v>
      </c>
      <c r="D15" s="25">
        <f>+SUM(D16:D18)</f>
        <v>125.632132</v>
      </c>
      <c r="E15" s="22">
        <f t="shared" si="0"/>
        <v>49.736287205224563</v>
      </c>
      <c r="F15" s="22">
        <f>(D15/D$13)*100</f>
        <v>3.8222794281134558</v>
      </c>
      <c r="G15" s="22">
        <f t="shared" ref="G15:H15" si="4">+SUM(G16:G18)</f>
        <v>7.348433</v>
      </c>
      <c r="H15" s="25">
        <f t="shared" si="4"/>
        <v>12.604528</v>
      </c>
      <c r="I15" s="22">
        <f t="shared" si="3"/>
        <v>71.526745906236073</v>
      </c>
      <c r="J15" s="22">
        <f t="shared" ref="J15:J45" si="5">(H15/H$13)*100</f>
        <v>2.3792466572588959</v>
      </c>
      <c r="K15" s="16"/>
    </row>
    <row r="16" spans="1:14">
      <c r="A16" s="14" t="s">
        <v>41</v>
      </c>
      <c r="B16" s="9" t="str">
        <f>CONCATENATE(A16,[10]resumen_pais_rec_nat!B7)</f>
        <v xml:space="preserve">   Bolivia</v>
      </c>
      <c r="C16" s="22">
        <f>[10]resumen_pais_rec_nat!C7/1000000</f>
        <v>3.4536820000000001</v>
      </c>
      <c r="D16" s="25">
        <f>[10]resumen_pais_rec_nat!D7/1000000</f>
        <v>1.598339</v>
      </c>
      <c r="E16" s="22">
        <f t="shared" si="0"/>
        <v>-53.720724722195044</v>
      </c>
      <c r="F16" s="22">
        <f t="shared" si="1"/>
        <v>4.8628469338174031E-2</v>
      </c>
      <c r="G16" s="22">
        <f>[10]resumen_pais_rec_nat!E7/1000000</f>
        <v>0.122264</v>
      </c>
      <c r="H16" s="25">
        <f>[10]resumen_pais_rec_nat!F7/1000000</f>
        <v>0.36187900000000001</v>
      </c>
      <c r="I16" s="22">
        <f t="shared" si="3"/>
        <v>195.98164627363735</v>
      </c>
      <c r="J16" s="22">
        <f t="shared" si="5"/>
        <v>6.8308738025112253E-2</v>
      </c>
      <c r="K16" s="16"/>
    </row>
    <row r="17" spans="1:11">
      <c r="A17" s="14" t="s">
        <v>41</v>
      </c>
      <c r="B17" s="9" t="str">
        <f>CONCATENATE(A17,[10]resumen_pais_rec_nat!B8)</f>
        <v xml:space="preserve">   Ecuador</v>
      </c>
      <c r="C17" s="22">
        <f>[10]resumen_pais_rec_nat!C8/1000000</f>
        <v>21.724592000000001</v>
      </c>
      <c r="D17" s="25">
        <f>[10]resumen_pais_rec_nat!D8/1000000</f>
        <v>34.470582999999998</v>
      </c>
      <c r="E17" s="22">
        <f t="shared" si="0"/>
        <v>58.670795750732594</v>
      </c>
      <c r="F17" s="22">
        <f t="shared" si="1"/>
        <v>1.048746034780158</v>
      </c>
      <c r="G17" s="22">
        <f>[10]resumen_pais_rec_nat!E8/1000000</f>
        <v>1.2597499999999999</v>
      </c>
      <c r="H17" s="25">
        <f>[10]resumen_pais_rec_nat!F8/1000000</f>
        <v>5.2141260000000003</v>
      </c>
      <c r="I17" s="22">
        <f t="shared" si="3"/>
        <v>313.90164715221277</v>
      </c>
      <c r="J17" s="22">
        <f t="shared" si="5"/>
        <v>0.98422502262890765</v>
      </c>
      <c r="K17" s="16"/>
    </row>
    <row r="18" spans="1:11">
      <c r="A18" s="14" t="s">
        <v>41</v>
      </c>
      <c r="B18" s="9" t="str">
        <f>CONCATENATE(A18,[10]resumen_pais_rec_nat!B9)</f>
        <v xml:space="preserve">   Perú </v>
      </c>
      <c r="C18" s="22">
        <f>[10]resumen_pais_rec_nat!C9/1000000</f>
        <v>58.723987999999999</v>
      </c>
      <c r="D18" s="25">
        <f>[10]resumen_pais_rec_nat!D9/1000000</f>
        <v>89.563209999999998</v>
      </c>
      <c r="E18" s="22">
        <f t="shared" si="0"/>
        <v>52.51554441432009</v>
      </c>
      <c r="F18" s="22">
        <f t="shared" si="1"/>
        <v>2.7249049239951235</v>
      </c>
      <c r="G18" s="22">
        <f>[10]resumen_pais_rec_nat!E9/1000000</f>
        <v>5.9664190000000001</v>
      </c>
      <c r="H18" s="25">
        <f>[10]resumen_pais_rec_nat!F9/1000000</f>
        <v>7.0285229999999999</v>
      </c>
      <c r="I18" s="22">
        <f t="shared" si="3"/>
        <v>17.801364604128533</v>
      </c>
      <c r="J18" s="22">
        <f t="shared" si="5"/>
        <v>1.3267128966048762</v>
      </c>
      <c r="K18" s="16"/>
    </row>
    <row r="19" spans="1:11">
      <c r="A19" s="14"/>
      <c r="B19" s="10" t="s">
        <v>36</v>
      </c>
      <c r="C19" s="22">
        <f>SUM(C20:C27)</f>
        <v>570.35225500000001</v>
      </c>
      <c r="D19" s="25">
        <f>SUM(D20:D27)</f>
        <v>781.97798</v>
      </c>
      <c r="E19" s="22">
        <f t="shared" si="0"/>
        <v>37.104389987903176</v>
      </c>
      <c r="F19" s="22">
        <f t="shared" si="1"/>
        <v>23.79119337234296</v>
      </c>
      <c r="G19" s="22">
        <f>SUM(G20:G27)</f>
        <v>56.754208000000006</v>
      </c>
      <c r="H19" s="25">
        <f>SUM(H20:H27)</f>
        <v>94.938203999999999</v>
      </c>
      <c r="I19" s="22">
        <f t="shared" si="3"/>
        <v>67.279585682880111</v>
      </c>
      <c r="J19" s="22">
        <f t="shared" si="5"/>
        <v>17.920655538482929</v>
      </c>
      <c r="K19" s="16"/>
    </row>
    <row r="20" spans="1:11">
      <c r="A20" s="14" t="s">
        <v>41</v>
      </c>
      <c r="B20" s="9" t="str">
        <f>CONCATENATE(A20,[10]resumen_pais_rec_nat!B23)</f>
        <v xml:space="preserve">   Argentina</v>
      </c>
      <c r="C20" s="22">
        <f>[10]resumen_pais_rec_nat!C23/1000000</f>
        <v>72.598436000000007</v>
      </c>
      <c r="D20" s="25">
        <f>[10]resumen_pais_rec_nat!D23/1000000</f>
        <v>51.272119000000004</v>
      </c>
      <c r="E20" s="22">
        <f t="shared" si="0"/>
        <v>-29.375725118926809</v>
      </c>
      <c r="F20" s="22">
        <f t="shared" si="1"/>
        <v>1.5599223110333356</v>
      </c>
      <c r="G20" s="22">
        <f>[10]resumen_pais_rec_nat!E23/1000000</f>
        <v>9.9361979999999992</v>
      </c>
      <c r="H20" s="25">
        <f>[10]resumen_pais_rec_nat!F23/1000000</f>
        <v>4.5569369999999996</v>
      </c>
      <c r="I20" s="22">
        <f t="shared" si="3"/>
        <v>-54.138021404162842</v>
      </c>
      <c r="J20" s="22">
        <f t="shared" si="5"/>
        <v>0.86017319526676306</v>
      </c>
      <c r="K20" s="16"/>
    </row>
    <row r="21" spans="1:11">
      <c r="A21" s="14" t="s">
        <v>41</v>
      </c>
      <c r="B21" s="9" t="str">
        <f>CONCATENATE(A21,[10]resumen_pais_rec_nat!B24)</f>
        <v xml:space="preserve">   Brasil </v>
      </c>
      <c r="C21" s="22">
        <f>[10]resumen_pais_rec_nat!C24/1000000</f>
        <v>180.92286300000001</v>
      </c>
      <c r="D21" s="25">
        <f>[10]resumen_pais_rec_nat!D24/1000000</f>
        <v>190.96941899999999</v>
      </c>
      <c r="E21" s="22">
        <f t="shared" si="0"/>
        <v>5.5529499331435916</v>
      </c>
      <c r="F21" s="22">
        <f t="shared" si="1"/>
        <v>5.8101257219966538</v>
      </c>
      <c r="G21" s="22">
        <f>[10]resumen_pais_rec_nat!E24/1000000</f>
        <v>13.399997000000001</v>
      </c>
      <c r="H21" s="25">
        <f>[10]resumen_pais_rec_nat!F24/1000000</f>
        <v>19.820751000000001</v>
      </c>
      <c r="I21" s="22">
        <f t="shared" si="3"/>
        <v>47.916085354347459</v>
      </c>
      <c r="J21" s="22">
        <f t="shared" si="5"/>
        <v>3.7413900434122502</v>
      </c>
      <c r="K21" s="16"/>
    </row>
    <row r="22" spans="1:11">
      <c r="A22" s="14" t="s">
        <v>41</v>
      </c>
      <c r="B22" s="9" t="str">
        <f>CONCATENATE(A22,[10]resumen_pais_rec_nat!B25)</f>
        <v xml:space="preserve">   Cuba </v>
      </c>
      <c r="C22" s="22">
        <f>[10]resumen_pais_rec_nat!C25/1000000</f>
        <v>0.91451000000000005</v>
      </c>
      <c r="D22" s="25">
        <f>[10]resumen_pais_rec_nat!D25/1000000</f>
        <v>0.65438700000000005</v>
      </c>
      <c r="E22" s="22">
        <f t="shared" si="0"/>
        <v>-28.44397546226941</v>
      </c>
      <c r="F22" s="22">
        <f t="shared" si="1"/>
        <v>1.9909317212931484E-2</v>
      </c>
      <c r="G22" s="22">
        <f>[10]resumen_pais_rec_nat!E25/1000000</f>
        <v>2.1229999999999999E-2</v>
      </c>
      <c r="H22" s="25">
        <f>[10]resumen_pais_rec_nat!F25/1000000</f>
        <v>1.0142E-2</v>
      </c>
      <c r="I22" s="22">
        <f t="shared" si="3"/>
        <v>-52.2279792746114</v>
      </c>
      <c r="J22" s="22">
        <f t="shared" si="5"/>
        <v>1.9144167554643638E-3</v>
      </c>
      <c r="K22" s="16"/>
    </row>
    <row r="23" spans="1:11">
      <c r="A23" s="14" t="s">
        <v>41</v>
      </c>
      <c r="B23" s="9" t="str">
        <f>CONCATENATE(A23,[10]resumen_pais_rec_nat!B26)</f>
        <v xml:space="preserve">   Chile </v>
      </c>
      <c r="C23" s="22">
        <f>[10]resumen_pais_rec_nat!C26/1000000</f>
        <v>144.453361</v>
      </c>
      <c r="D23" s="25">
        <f>[10]resumen_pais_rec_nat!D26/1000000</f>
        <v>135.996298</v>
      </c>
      <c r="E23" s="22">
        <f t="shared" si="0"/>
        <v>-5.8545283691945453</v>
      </c>
      <c r="F23" s="22">
        <f t="shared" si="1"/>
        <v>4.1376027284563399</v>
      </c>
      <c r="G23" s="22">
        <f>[10]resumen_pais_rec_nat!E26/1000000</f>
        <v>16.734828</v>
      </c>
      <c r="H23" s="25">
        <f>[10]resumen_pais_rec_nat!F26/1000000</f>
        <v>13.003406</v>
      </c>
      <c r="I23" s="22">
        <f t="shared" si="3"/>
        <v>-22.297343002270477</v>
      </c>
      <c r="J23" s="22">
        <f t="shared" si="5"/>
        <v>2.4545393733490277</v>
      </c>
      <c r="K23" s="16"/>
    </row>
    <row r="24" spans="1:11">
      <c r="A24" s="14" t="s">
        <v>41</v>
      </c>
      <c r="B24" s="9" t="str">
        <f>CONCATENATE(A24,[10]resumen_pais_rec_nat!B27)</f>
        <v xml:space="preserve">   México </v>
      </c>
      <c r="C24" s="22">
        <f>[10]resumen_pais_rec_nat!C27/1000000</f>
        <v>126.30958</v>
      </c>
      <c r="D24" s="25">
        <f>[10]resumen_pais_rec_nat!D27/1000000</f>
        <v>327.08290499999998</v>
      </c>
      <c r="E24" s="22">
        <f t="shared" si="0"/>
        <v>158.95336284072829</v>
      </c>
      <c r="F24" s="22">
        <f t="shared" si="1"/>
        <v>9.9512938224202685</v>
      </c>
      <c r="G24" s="22">
        <f>[10]resumen_pais_rec_nat!E27/1000000</f>
        <v>11.790093000000001</v>
      </c>
      <c r="H24" s="25">
        <f>[10]resumen_pais_rec_nat!F27/1000000</f>
        <v>42.957070000000002</v>
      </c>
      <c r="I24" s="22">
        <f t="shared" si="3"/>
        <v>264.34886476298362</v>
      </c>
      <c r="J24" s="22">
        <f t="shared" si="5"/>
        <v>8.1086308986053588</v>
      </c>
      <c r="K24" s="16"/>
    </row>
    <row r="25" spans="1:11">
      <c r="A25" s="14" t="s">
        <v>41</v>
      </c>
      <c r="B25" s="9" t="str">
        <f>CONCATENATE(A25,[10]resumen_pais_rec_nat!B28)</f>
        <v xml:space="preserve">   Paraguay </v>
      </c>
      <c r="C25" s="22">
        <f>[10]resumen_pais_rec_nat!C28/1000000</f>
        <v>5.8881000000000003E-2</v>
      </c>
      <c r="D25" s="25">
        <f>[10]resumen_pais_rec_nat!D28/1000000</f>
        <v>3.3901000000000001E-2</v>
      </c>
      <c r="E25" s="22">
        <f t="shared" si="0"/>
        <v>-42.424551213464447</v>
      </c>
      <c r="F25" s="22">
        <f t="shared" si="1"/>
        <v>1.0314168264888976E-3</v>
      </c>
      <c r="G25" s="22">
        <f>[10]resumen_pais_rec_nat!E28/1000000</f>
        <v>0</v>
      </c>
      <c r="H25" s="25">
        <f>[10]resumen_pais_rec_nat!F28/1000000</f>
        <v>6.8440000000000003E-3</v>
      </c>
      <c r="I25" s="22" t="str">
        <f t="shared" si="3"/>
        <v/>
      </c>
      <c r="J25" s="22">
        <f t="shared" si="5"/>
        <v>1.2918821015971312E-3</v>
      </c>
      <c r="K25" s="16"/>
    </row>
    <row r="26" spans="1:11">
      <c r="A26" s="14" t="s">
        <v>41</v>
      </c>
      <c r="B26" s="9" t="str">
        <f>CONCATENATE(A26,[10]resumen_pais_rec_nat!B29)</f>
        <v xml:space="preserve">   Uruguay </v>
      </c>
      <c r="C26" s="22">
        <f>[10]resumen_pais_rec_nat!C29/1000000</f>
        <v>22.172571999999999</v>
      </c>
      <c r="D26" s="25">
        <f>[10]resumen_pais_rec_nat!D29/1000000</f>
        <v>22.420493</v>
      </c>
      <c r="E26" s="22">
        <f t="shared" si="0"/>
        <v>1.1181427215570805</v>
      </c>
      <c r="F26" s="22">
        <f t="shared" si="1"/>
        <v>0.68212954598320241</v>
      </c>
      <c r="G26" s="22">
        <f>[10]resumen_pais_rec_nat!E29/1000000</f>
        <v>2.0563690000000001</v>
      </c>
      <c r="H26" s="25">
        <f>[10]resumen_pais_rec_nat!F29/1000000</f>
        <v>2.757714</v>
      </c>
      <c r="I26" s="22">
        <f t="shared" si="3"/>
        <v>34.105989732387521</v>
      </c>
      <c r="J26" s="22">
        <f t="shared" si="5"/>
        <v>0.52054958473463342</v>
      </c>
      <c r="K26" s="16"/>
    </row>
    <row r="27" spans="1:11">
      <c r="A27" s="14" t="s">
        <v>41</v>
      </c>
      <c r="B27" s="9" t="str">
        <f>CONCATENATE(A27,[10]resumen_pais_rec_nat!B30)</f>
        <v xml:space="preserve">   Venezuela</v>
      </c>
      <c r="C27" s="22">
        <f>[10]resumen_pais_rec_nat!C30/1000000</f>
        <v>22.922052000000001</v>
      </c>
      <c r="D27" s="25">
        <f>[10]resumen_pais_rec_nat!D30/1000000</f>
        <v>53.548457999999997</v>
      </c>
      <c r="E27" s="22">
        <f t="shared" si="0"/>
        <v>133.61110078626467</v>
      </c>
      <c r="F27" s="22">
        <f>(D27/D$13)*100</f>
        <v>1.6291785084137347</v>
      </c>
      <c r="G27" s="22">
        <f>[10]resumen_pais_rec_nat!E30/1000000</f>
        <v>2.815493</v>
      </c>
      <c r="H27" s="25">
        <f>[10]resumen_pais_rec_nat!F30/1000000</f>
        <v>11.825340000000001</v>
      </c>
      <c r="I27" s="22">
        <f t="shared" si="3"/>
        <v>320.00956848409857</v>
      </c>
      <c r="J27" s="22">
        <f t="shared" si="5"/>
        <v>2.2321661442578344</v>
      </c>
      <c r="K27" s="16"/>
    </row>
    <row r="28" spans="1:11">
      <c r="A28" s="14" t="s">
        <v>41</v>
      </c>
      <c r="B28" s="9" t="str">
        <f>+[10]resumen_pais_rec_nat!B44</f>
        <v xml:space="preserve">Canadá </v>
      </c>
      <c r="C28" s="22">
        <f>+[10]resumen_pais_rec_nat!C44/1000000</f>
        <v>38.663291999999998</v>
      </c>
      <c r="D28" s="25">
        <f>+[10]resumen_pais_rec_nat!D44/1000000</f>
        <v>47.325701000000002</v>
      </c>
      <c r="E28" s="22">
        <f t="shared" si="0"/>
        <v>22.404737289313093</v>
      </c>
      <c r="F28" s="22">
        <f>(D28/D$13)*100</f>
        <v>1.4398549994626249</v>
      </c>
      <c r="G28" s="22">
        <f>+[10]resumen_pais_rec_nat!E44/1000000</f>
        <v>2.731176</v>
      </c>
      <c r="H28" s="25">
        <f>+[10]resumen_pais_rec_nat!F44/1000000</f>
        <v>3.7527330000000001</v>
      </c>
      <c r="I28" s="22">
        <f t="shared" si="3"/>
        <v>37.403558027750684</v>
      </c>
      <c r="J28" s="22">
        <f t="shared" si="5"/>
        <v>0.70837063044607051</v>
      </c>
      <c r="K28" s="16"/>
    </row>
    <row r="29" spans="1:11">
      <c r="A29" s="14" t="s">
        <v>41</v>
      </c>
      <c r="B29" s="9" t="str">
        <f>+[10]resumen_pais_rec_nat!B45</f>
        <v>Estados Unidos</v>
      </c>
      <c r="C29" s="22">
        <f>+[10]resumen_pais_rec_nat!C45/1000000</f>
        <v>309.74784599999998</v>
      </c>
      <c r="D29" s="25">
        <f>+[10]resumen_pais_rec_nat!D45/1000000</f>
        <v>1264.7073929999999</v>
      </c>
      <c r="E29" s="22">
        <f t="shared" si="0"/>
        <v>308.30223981605991</v>
      </c>
      <c r="F29" s="22">
        <f t="shared" si="1"/>
        <v>38.477935333031674</v>
      </c>
      <c r="G29" s="22">
        <f>+[10]resumen_pais_rec_nat!E45/1000000</f>
        <v>23.502908000000001</v>
      </c>
      <c r="H29" s="25">
        <f>+[10]resumen_pais_rec_nat!F45/1000000</f>
        <v>225.280674</v>
      </c>
      <c r="I29" s="22">
        <f t="shared" si="3"/>
        <v>858.52255388992717</v>
      </c>
      <c r="J29" s="22">
        <f t="shared" si="5"/>
        <v>42.524265133889273</v>
      </c>
      <c r="K29" s="16"/>
    </row>
    <row r="30" spans="1:11">
      <c r="A30" s="14"/>
      <c r="B30" s="10" t="s">
        <v>33</v>
      </c>
      <c r="C30" s="22">
        <f>SUM(C31:C41)</f>
        <v>292.40185700000001</v>
      </c>
      <c r="D30" s="25">
        <f>SUM(D31:D41)</f>
        <v>402.06968499999999</v>
      </c>
      <c r="E30" s="22">
        <f t="shared" si="0"/>
        <v>37.505858931668826</v>
      </c>
      <c r="F30" s="22">
        <f t="shared" si="1"/>
        <v>12.232719935402811</v>
      </c>
      <c r="G30" s="22">
        <f>SUM(G31:G41)</f>
        <v>27.141523000000003</v>
      </c>
      <c r="H30" s="25">
        <f>SUM(H31:H41)</f>
        <v>58.460877999999994</v>
      </c>
      <c r="I30" s="22">
        <f t="shared" si="3"/>
        <v>115.39276922669366</v>
      </c>
      <c r="J30" s="22">
        <f t="shared" si="5"/>
        <v>11.035149317921315</v>
      </c>
      <c r="K30" s="16"/>
    </row>
    <row r="31" spans="1:11">
      <c r="A31" s="14" t="s">
        <v>41</v>
      </c>
      <c r="B31" s="9" t="str">
        <f>CONCATENATE(A31,[10]resumen_pais_rec_nat!B59)</f>
        <v xml:space="preserve">   Alemania </v>
      </c>
      <c r="C31" s="22">
        <f>[10]resumen_pais_rec_nat!C59/1000000</f>
        <v>75.294083000000001</v>
      </c>
      <c r="D31" s="25">
        <f>[10]resumen_pais_rec_nat!D59/1000000</f>
        <v>84.319948999999994</v>
      </c>
      <c r="E31" s="22">
        <f t="shared" si="0"/>
        <v>11.987483797365584</v>
      </c>
      <c r="F31" s="22">
        <f t="shared" si="1"/>
        <v>2.5653819712482133</v>
      </c>
      <c r="G31" s="22">
        <f>[10]resumen_pais_rec_nat!E59/1000000</f>
        <v>6.2119280000000003</v>
      </c>
      <c r="H31" s="25">
        <f>[10]resumen_pais_rec_nat!F59/1000000</f>
        <v>8.2710629999999998</v>
      </c>
      <c r="I31" s="22">
        <f t="shared" si="3"/>
        <v>33.148082205717763</v>
      </c>
      <c r="J31" s="22">
        <f t="shared" si="5"/>
        <v>1.5612563195327693</v>
      </c>
      <c r="K31" s="16"/>
    </row>
    <row r="32" spans="1:11">
      <c r="A32" s="14" t="s">
        <v>41</v>
      </c>
      <c r="B32" s="9" t="str">
        <f>CONCATENATE(A32,[10]resumen_pais_rec_nat!B60)</f>
        <v xml:space="preserve">   Bélgica </v>
      </c>
      <c r="C32" s="22">
        <f>[10]resumen_pais_rec_nat!C60/1000000</f>
        <v>52.881315999999998</v>
      </c>
      <c r="D32" s="25">
        <f>[10]resumen_pais_rec_nat!D60/1000000</f>
        <v>51.315584999999999</v>
      </c>
      <c r="E32" s="22">
        <f t="shared" si="0"/>
        <v>-2.9608397037622858</v>
      </c>
      <c r="F32" s="22">
        <f t="shared" si="1"/>
        <v>1.5612447370319835</v>
      </c>
      <c r="G32" s="22">
        <f>[10]resumen_pais_rec_nat!E60/1000000</f>
        <v>5.6687609999999999</v>
      </c>
      <c r="H32" s="25">
        <f>[10]resumen_pais_rec_nat!F60/1000000</f>
        <v>3.3335159999999999</v>
      </c>
      <c r="I32" s="22">
        <f t="shared" si="3"/>
        <v>-41.19498070213227</v>
      </c>
      <c r="J32" s="22">
        <f t="shared" si="5"/>
        <v>0.62923869897540363</v>
      </c>
      <c r="K32" s="16"/>
    </row>
    <row r="33" spans="1:11">
      <c r="A33" s="14" t="s">
        <v>41</v>
      </c>
      <c r="B33" s="9" t="str">
        <f>CONCATENATE(A33,[10]resumen_pais_rec_nat!B61)</f>
        <v xml:space="preserve">   España </v>
      </c>
      <c r="C33" s="22">
        <f>[10]resumen_pais_rec_nat!C61/1000000</f>
        <v>33.219766</v>
      </c>
      <c r="D33" s="25">
        <f>[10]resumen_pais_rec_nat!D61/1000000</f>
        <v>48.484760000000001</v>
      </c>
      <c r="E33" s="22">
        <f t="shared" si="0"/>
        <v>45.951539815181121</v>
      </c>
      <c r="F33" s="22">
        <f t="shared" si="1"/>
        <v>1.4751186481896061</v>
      </c>
      <c r="G33" s="22">
        <f>[10]resumen_pais_rec_nat!E61/1000000</f>
        <v>2.6157550000000001</v>
      </c>
      <c r="H33" s="25">
        <f>[10]resumen_pais_rec_nat!F61/1000000</f>
        <v>4.5986099999999999</v>
      </c>
      <c r="I33" s="22">
        <f t="shared" si="3"/>
        <v>75.804308889785148</v>
      </c>
      <c r="J33" s="22">
        <f t="shared" si="5"/>
        <v>0.86803944348708106</v>
      </c>
      <c r="K33" s="16"/>
    </row>
    <row r="34" spans="1:11">
      <c r="A34" s="14" t="s">
        <v>41</v>
      </c>
      <c r="B34" s="9" t="str">
        <f>CONCATENATE(A34,[10]resumen_pais_rec_nat!B62)</f>
        <v xml:space="preserve">   Finlandia </v>
      </c>
      <c r="C34" s="22">
        <f>[10]resumen_pais_rec_nat!C62/1000000</f>
        <v>10.666947</v>
      </c>
      <c r="D34" s="25">
        <f>[10]resumen_pais_rec_nat!D62/1000000</f>
        <v>15.191943999999999</v>
      </c>
      <c r="E34" s="22">
        <f t="shared" si="0"/>
        <v>42.420732005136983</v>
      </c>
      <c r="F34" s="22">
        <f t="shared" si="1"/>
        <v>0.46220544139338215</v>
      </c>
      <c r="G34" s="22">
        <f>[10]resumen_pais_rec_nat!E62/1000000</f>
        <v>1.82813</v>
      </c>
      <c r="H34" s="25">
        <f>[10]resumen_pais_rec_nat!F62/1000000</f>
        <v>1.780189</v>
      </c>
      <c r="I34" s="22">
        <f t="shared" si="3"/>
        <v>-2.6224065028198185</v>
      </c>
      <c r="J34" s="22">
        <f t="shared" si="5"/>
        <v>0.33603072860317001</v>
      </c>
      <c r="K34" s="16"/>
    </row>
    <row r="35" spans="1:11">
      <c r="A35" s="14" t="s">
        <v>41</v>
      </c>
      <c r="B35" s="9" t="str">
        <f>CONCATENATE(A35,[10]resumen_pais_rec_nat!B63)</f>
        <v xml:space="preserve">   Francia </v>
      </c>
      <c r="C35" s="22">
        <f>[10]resumen_pais_rec_nat!C63/1000000</f>
        <v>16.188480999999999</v>
      </c>
      <c r="D35" s="25">
        <f>[10]resumen_pais_rec_nat!D63/1000000</f>
        <v>49.933345000000003</v>
      </c>
      <c r="E35" s="22">
        <f t="shared" si="0"/>
        <v>208.44984776521036</v>
      </c>
      <c r="F35" s="22">
        <f t="shared" si="1"/>
        <v>1.5191909452781707</v>
      </c>
      <c r="G35" s="22">
        <f>[10]resumen_pais_rec_nat!E63/1000000</f>
        <v>1.215557</v>
      </c>
      <c r="H35" s="25">
        <f>[10]resumen_pais_rec_nat!F63/1000000</f>
        <v>29.115017999999999</v>
      </c>
      <c r="I35" s="22">
        <f t="shared" si="3"/>
        <v>2295.1997314811233</v>
      </c>
      <c r="J35" s="22">
        <f t="shared" si="5"/>
        <v>5.4957876449266951</v>
      </c>
      <c r="K35" s="16"/>
    </row>
    <row r="36" spans="1:11">
      <c r="A36" s="14" t="s">
        <v>41</v>
      </c>
      <c r="B36" s="9" t="str">
        <f>CONCATENATE(A36,[10]resumen_pais_rec_nat!B64)</f>
        <v xml:space="preserve">   Irlanda </v>
      </c>
      <c r="C36" s="22">
        <f>[10]resumen_pais_rec_nat!C64/1000000</f>
        <v>8.2448589999999999</v>
      </c>
      <c r="D36" s="25">
        <f>[10]resumen_pais_rec_nat!D64/1000000</f>
        <v>10.470917</v>
      </c>
      <c r="E36" s="22">
        <f t="shared" si="0"/>
        <v>26.999345895424053</v>
      </c>
      <c r="F36" s="22">
        <f t="shared" si="1"/>
        <v>0.31857113308069518</v>
      </c>
      <c r="G36" s="22">
        <f>[10]resumen_pais_rec_nat!E64/1000000</f>
        <v>0.291265</v>
      </c>
      <c r="H36" s="25">
        <f>[10]resumen_pais_rec_nat!F64/1000000</f>
        <v>0.99967799999999996</v>
      </c>
      <c r="I36" s="22">
        <f t="shared" si="3"/>
        <v>243.21940500918407</v>
      </c>
      <c r="J36" s="22">
        <f t="shared" si="5"/>
        <v>0.18870048444775231</v>
      </c>
      <c r="K36" s="16"/>
    </row>
    <row r="37" spans="1:11">
      <c r="A37" s="14" t="s">
        <v>41</v>
      </c>
      <c r="B37" s="7" t="str">
        <f>CONCATENATE(A37,[10]resumen_pais_rec_nat!B65)</f>
        <v xml:space="preserve">   Italia </v>
      </c>
      <c r="C37" s="22">
        <f>[10]resumen_pais_rec_nat!C65/1000000</f>
        <v>33.893154000000003</v>
      </c>
      <c r="D37" s="25">
        <f>[10]resumen_pais_rec_nat!D65/1000000</f>
        <v>49.594808</v>
      </c>
      <c r="E37" s="22">
        <f t="shared" si="0"/>
        <v>46.326918999630415</v>
      </c>
      <c r="F37" s="22">
        <f t="shared" si="1"/>
        <v>1.5088911677439067</v>
      </c>
      <c r="G37" s="22">
        <f>[10]resumen_pais_rec_nat!E65/1000000</f>
        <v>4.2497030000000002</v>
      </c>
      <c r="H37" s="25">
        <f>[10]resumen_pais_rec_nat!F65/1000000</f>
        <v>2.8721369999999999</v>
      </c>
      <c r="I37" s="22">
        <f t="shared" si="3"/>
        <v>-32.415582924265543</v>
      </c>
      <c r="J37" s="22">
        <f t="shared" si="5"/>
        <v>0.54214821502555222</v>
      </c>
      <c r="K37" s="16"/>
    </row>
    <row r="38" spans="1:11">
      <c r="A38" s="14" t="s">
        <v>41</v>
      </c>
      <c r="B38" s="7" t="str">
        <f>CONCATENATE(A38,[10]resumen_pais_rec_nat!B66)</f>
        <v xml:space="preserve">   Países Bajos </v>
      </c>
      <c r="C38" s="22">
        <f>[10]resumen_pais_rec_nat!C66/1000000</f>
        <v>12.064862</v>
      </c>
      <c r="D38" s="25">
        <f>[10]resumen_pais_rec_nat!D66/1000000</f>
        <v>18.400385</v>
      </c>
      <c r="E38" s="22">
        <f t="shared" si="0"/>
        <v>52.512187872517721</v>
      </c>
      <c r="F38" s="22">
        <f t="shared" si="1"/>
        <v>0.55982026202394952</v>
      </c>
      <c r="G38" s="22">
        <f>[10]resumen_pais_rec_nat!E66/1000000</f>
        <v>1.536929</v>
      </c>
      <c r="H38" s="25">
        <f>[10]resumen_pais_rec_nat!F66/1000000</f>
        <v>1.5281499999999999</v>
      </c>
      <c r="I38" s="22">
        <f t="shared" si="3"/>
        <v>-0.57120400486945222</v>
      </c>
      <c r="J38" s="22">
        <f t="shared" si="5"/>
        <v>0.28845552798884511</v>
      </c>
      <c r="K38" s="16"/>
    </row>
    <row r="39" spans="1:11">
      <c r="A39" s="14" t="s">
        <v>41</v>
      </c>
      <c r="B39" s="7" t="str">
        <f>CONCATENATE(A39,[10]resumen_pais_rec_nat!B67)</f>
        <v xml:space="preserve">   Reino Unido </v>
      </c>
      <c r="C39" s="22">
        <f>[10]resumen_pais_rec_nat!C67/1000000</f>
        <v>28.719978999999999</v>
      </c>
      <c r="D39" s="25">
        <f>[10]resumen_pais_rec_nat!D67/1000000</f>
        <v>52.973897000000001</v>
      </c>
      <c r="E39" s="22">
        <f t="shared" si="0"/>
        <v>84.449636958300005</v>
      </c>
      <c r="F39" s="22">
        <f t="shared" si="1"/>
        <v>1.6116978475705652</v>
      </c>
      <c r="G39" s="22">
        <f>[10]resumen_pais_rec_nat!E67/1000000</f>
        <v>1.809795</v>
      </c>
      <c r="H39" s="25">
        <f>[10]resumen_pais_rec_nat!F67/1000000</f>
        <v>4.0729129999999998</v>
      </c>
      <c r="I39" s="22">
        <f t="shared" si="3"/>
        <v>125.04830657615918</v>
      </c>
      <c r="J39" s="22">
        <f t="shared" si="5"/>
        <v>0.76880821245795961</v>
      </c>
      <c r="K39" s="16"/>
    </row>
    <row r="40" spans="1:11">
      <c r="A40" s="14" t="s">
        <v>41</v>
      </c>
      <c r="B40" s="9" t="str">
        <f>CONCATENATE(A40,[10]resumen_pais_rec_nat!B68)</f>
        <v xml:space="preserve">   Suecia </v>
      </c>
      <c r="C40" s="22">
        <f>[10]resumen_pais_rec_nat!C68/1000000</f>
        <v>9.0660939999999997</v>
      </c>
      <c r="D40" s="25">
        <f>[10]resumen_pais_rec_nat!D68/1000000</f>
        <v>7.92753</v>
      </c>
      <c r="E40" s="22">
        <f t="shared" si="0"/>
        <v>-12.558484392506852</v>
      </c>
      <c r="F40" s="22">
        <f t="shared" si="1"/>
        <v>0.24119016649938146</v>
      </c>
      <c r="G40" s="22">
        <f>[10]resumen_pais_rec_nat!E68/1000000</f>
        <v>0.78635900000000003</v>
      </c>
      <c r="H40" s="25">
        <f>[10]resumen_pais_rec_nat!F68/1000000</f>
        <v>0.96466499999999999</v>
      </c>
      <c r="I40" s="22">
        <f t="shared" si="3"/>
        <v>22.674885135160917</v>
      </c>
      <c r="J40" s="22">
        <f t="shared" si="5"/>
        <v>0.1820913862561655</v>
      </c>
      <c r="K40" s="16"/>
    </row>
    <row r="41" spans="1:11">
      <c r="A41" s="14" t="s">
        <v>41</v>
      </c>
      <c r="B41" s="9" t="str">
        <f>CONCATENATE(A41,[10]resumen_pais_rec_nat!B69)</f>
        <v xml:space="preserve">   Resto </v>
      </c>
      <c r="C41" s="22">
        <f>[10]resumen_pais_rec_nat!C69/1000000</f>
        <v>12.162316000000001</v>
      </c>
      <c r="D41" s="25">
        <f>[10]resumen_pais_rec_nat!D69/1000000</f>
        <v>13.456564999999999</v>
      </c>
      <c r="E41" s="22">
        <f t="shared" si="0"/>
        <v>10.641468286138922</v>
      </c>
      <c r="F41" s="22">
        <f t="shared" si="1"/>
        <v>0.40940761534295661</v>
      </c>
      <c r="G41" s="22">
        <f>[10]resumen_pais_rec_nat!E69/1000000</f>
        <v>0.92734099999999997</v>
      </c>
      <c r="H41" s="25">
        <f>[10]resumen_pais_rec_nat!F69/1000000</f>
        <v>0.92493899999999996</v>
      </c>
      <c r="I41" s="22">
        <f t="shared" si="3"/>
        <v>-0.25902014469326717</v>
      </c>
      <c r="J41" s="22">
        <f t="shared" si="5"/>
        <v>0.1745926562199224</v>
      </c>
      <c r="K41" s="16"/>
    </row>
    <row r="42" spans="1:11">
      <c r="A42" s="14"/>
      <c r="B42" s="9" t="str">
        <f>+[10]resumen_pais_rec_nat!B83</f>
        <v>Corea del Sur</v>
      </c>
      <c r="C42" s="22">
        <f>+[10]resumen_pais_rec_nat!C83/1000000</f>
        <v>11.588832999999999</v>
      </c>
      <c r="D42" s="25">
        <f>+[10]resumen_pais_rec_nat!D83/1000000</f>
        <v>21.639030999999999</v>
      </c>
      <c r="E42" s="22">
        <f t="shared" si="0"/>
        <v>86.723123890041393</v>
      </c>
      <c r="F42" s="22">
        <f t="shared" si="1"/>
        <v>0.65835405098123578</v>
      </c>
      <c r="G42" s="22">
        <f>+[10]resumen_pais_rec_nat!G83/1000000</f>
        <v>0</v>
      </c>
      <c r="H42" s="25">
        <f>+[10]resumen_pais_rec_nat!H83/1000000</f>
        <v>0</v>
      </c>
      <c r="I42" s="22" t="str">
        <f t="shared" ref="I42:I44" si="6">IF(OR(OR(H42=0,G42=0),H42=""),"",(H42/G42-1)*100)</f>
        <v/>
      </c>
      <c r="J42" s="22">
        <f t="shared" ref="J42:J44" si="7">(H42/H$13)*100</f>
        <v>0</v>
      </c>
      <c r="K42" s="16"/>
    </row>
    <row r="43" spans="1:11">
      <c r="A43" s="14"/>
      <c r="B43" s="9" t="str">
        <f>+[10]resumen_pais_rec_nat!B84</f>
        <v xml:space="preserve">China </v>
      </c>
      <c r="C43" s="22">
        <f>+[10]resumen_pais_rec_nat!C84/1000000</f>
        <v>138.67879300000001</v>
      </c>
      <c r="D43" s="25">
        <f>+[10]resumen_pais_rec_nat!D84/1000000</f>
        <v>201.63483500000001</v>
      </c>
      <c r="E43" s="22">
        <f t="shared" ref="E43:E44" si="8">IF(OR(OR(D43=0,C43=0),D43=""),"",(D43/C43-1)*100)</f>
        <v>45.397021879185218</v>
      </c>
      <c r="F43" s="22">
        <f t="shared" ref="F43:F44" si="9">(D43/D$13)*100</f>
        <v>6.1346143661046133</v>
      </c>
      <c r="G43" s="22">
        <f>+[10]resumen_pais_rec_nat!G84/1000000</f>
        <v>0</v>
      </c>
      <c r="H43" s="25">
        <f>+[10]resumen_pais_rec_nat!H84/1000000</f>
        <v>0</v>
      </c>
      <c r="I43" s="22" t="str">
        <f t="shared" si="6"/>
        <v/>
      </c>
      <c r="J43" s="22">
        <f t="shared" si="7"/>
        <v>0</v>
      </c>
      <c r="K43" s="16"/>
    </row>
    <row r="44" spans="1:11">
      <c r="A44" s="14"/>
      <c r="B44" s="9" t="str">
        <f>+[10]resumen_pais_rec_nat!B85</f>
        <v xml:space="preserve">Japón </v>
      </c>
      <c r="C44" s="22">
        <f>+[10]resumen_pais_rec_nat!C85/1000000</f>
        <v>23.037196000000002</v>
      </c>
      <c r="D44" s="25">
        <f>+[10]resumen_pais_rec_nat!D85/1000000</f>
        <v>36.097456999999999</v>
      </c>
      <c r="E44" s="22">
        <f t="shared" si="8"/>
        <v>56.692060092730024</v>
      </c>
      <c r="F44" s="22">
        <f t="shared" si="9"/>
        <v>1.0982426637343865</v>
      </c>
      <c r="G44" s="22">
        <f>+[10]resumen_pais_rec_nat!G85/1000000</f>
        <v>0</v>
      </c>
      <c r="H44" s="25">
        <f>+[10]resumen_pais_rec_nat!H85/1000000</f>
        <v>0</v>
      </c>
      <c r="I44" s="22" t="str">
        <f t="shared" si="6"/>
        <v/>
      </c>
      <c r="J44" s="22">
        <f t="shared" si="7"/>
        <v>0</v>
      </c>
      <c r="K44" s="16"/>
    </row>
    <row r="45" spans="1:11">
      <c r="A45" s="14"/>
      <c r="B45" s="9" t="s">
        <v>3</v>
      </c>
      <c r="C45" s="22">
        <f>+C13-C14-C30-C28-C29-C42-C43-C44</f>
        <v>176.52654864997524</v>
      </c>
      <c r="D45" s="25">
        <f>+D13-D14-D30-D28-D29-D42-D43-D44</f>
        <v>405.75376743998208</v>
      </c>
      <c r="E45" s="22">
        <f t="shared" si="0"/>
        <v>129.85424602875395</v>
      </c>
      <c r="F45" s="22">
        <f t="shared" si="1"/>
        <v>12.344805850826242</v>
      </c>
      <c r="G45" s="22">
        <f>+G13-G14-G30-G28-G29-G42-G43-G44</f>
        <v>29.732162620000022</v>
      </c>
      <c r="H45" s="25">
        <f>+H13-H14-H30-H28-H29-H42-H43-H44</f>
        <v>134.73268811000062</v>
      </c>
      <c r="I45" s="22">
        <f t="shared" si="3"/>
        <v>353.1546858262156</v>
      </c>
      <c r="J45" s="22">
        <f t="shared" si="5"/>
        <v>25.432312722001519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f>+'Resumen importaciones totales'!C25</f>
        <v>2221.1914241400232</v>
      </c>
      <c r="D13" s="25">
        <f>+'Resumen importaciones totales'!D25</f>
        <v>3079.5935751900984</v>
      </c>
      <c r="E13" s="25">
        <f>IF(OR(OR(D13=0,C13=0),D13=""),"",(D13/C13-1)*100)</f>
        <v>38.646023108180415</v>
      </c>
      <c r="F13" s="23">
        <f>(D13/D$13)*100</f>
        <v>100</v>
      </c>
      <c r="G13" s="25">
        <f>+'Resumen importaciones totales'!G25</f>
        <v>255.13199222999981</v>
      </c>
      <c r="H13" s="25">
        <f>+'Resumen importaciones totales'!H25</f>
        <v>334.43166215000105</v>
      </c>
      <c r="I13" s="25">
        <f>IF(OR(OR(H13=0,G13=0),H13=""),"",(H13/G13-1)*100)</f>
        <v>31.081821306248859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+C15+C19</f>
        <v>418.99873400000001</v>
      </c>
      <c r="D14" s="25">
        <f>+D15+D19</f>
        <v>559.43738899999994</v>
      </c>
      <c r="E14" s="22">
        <f t="shared" ref="E14:E45" si="0">IF(OR(OR(D14=0,C14=0),D14=""),"",(D14/C14-1)*100)</f>
        <v>33.517680031940131</v>
      </c>
      <c r="F14" s="22">
        <f t="shared" ref="F14:F45" si="1">(D14/D$13)*100</f>
        <v>18.165948698781357</v>
      </c>
      <c r="G14" s="22">
        <f>+G15+G19</f>
        <v>43.39205299999999</v>
      </c>
      <c r="H14" s="25">
        <f t="shared" ref="H14" si="2">+H15+H19</f>
        <v>45.988121</v>
      </c>
      <c r="I14" s="22">
        <f t="shared" ref="I14:I45" si="3">IF(OR(OR(H14=0,G14=0),H14=""),"",(H14/G14-1)*100)</f>
        <v>5.9828190198790709</v>
      </c>
      <c r="J14" s="22">
        <f>(H14/H$13)*100</f>
        <v>13.751126524429724</v>
      </c>
      <c r="K14" s="16"/>
    </row>
    <row r="15" spans="1:14">
      <c r="A15" s="14"/>
      <c r="B15" s="10" t="s">
        <v>35</v>
      </c>
      <c r="C15" s="22">
        <f>+SUM(C16:C18)</f>
        <v>67.147285999999994</v>
      </c>
      <c r="D15" s="25">
        <f>+SUM(D16:D18)</f>
        <v>93.211106999999998</v>
      </c>
      <c r="E15" s="22">
        <f t="shared" si="0"/>
        <v>38.815896445911456</v>
      </c>
      <c r="F15" s="22">
        <f>(D15/D$13)*100</f>
        <v>3.026734038898176</v>
      </c>
      <c r="G15" s="22">
        <f>+SUM(G16:G18)</f>
        <v>8.0998780000000004</v>
      </c>
      <c r="H15" s="25">
        <f>+SUM(H16:H18)</f>
        <v>11.817508999999999</v>
      </c>
      <c r="I15" s="22">
        <f t="shared" si="3"/>
        <v>45.897370306071259</v>
      </c>
      <c r="J15" s="22">
        <f t="shared" ref="J15:J45" si="4">(H15/H$13)*100</f>
        <v>3.5336095045628633</v>
      </c>
      <c r="K15" s="16"/>
    </row>
    <row r="16" spans="1:14">
      <c r="A16" s="14" t="s">
        <v>41</v>
      </c>
      <c r="B16" s="9" t="str">
        <f>CONCATENATE(A16,[11]resumen_pais_baja_tek!B7)</f>
        <v xml:space="preserve">   Bolivia</v>
      </c>
      <c r="C16" s="22">
        <f>[11]resumen_pais_baja_tek!C7/1000000</f>
        <v>0.361925</v>
      </c>
      <c r="D16" s="25">
        <f>[11]resumen_pais_baja_tek!D7/1000000</f>
        <v>0.20885799999999999</v>
      </c>
      <c r="E16" s="22">
        <f t="shared" si="0"/>
        <v>-42.292463908268289</v>
      </c>
      <c r="F16" s="22">
        <f t="shared" si="1"/>
        <v>6.7819988222669126E-3</v>
      </c>
      <c r="G16" s="22">
        <f>[11]resumen_pais_baja_tek!E7/1000000</f>
        <v>1.7038000000000001E-2</v>
      </c>
      <c r="H16" s="25">
        <f>[11]resumen_pais_baja_tek!F7/1000000</f>
        <v>7.9564999999999997E-2</v>
      </c>
      <c r="I16" s="22">
        <f t="shared" si="3"/>
        <v>366.9855616856438</v>
      </c>
      <c r="J16" s="22">
        <f t="shared" si="4"/>
        <v>2.3791108619468298E-2</v>
      </c>
      <c r="K16" s="16"/>
    </row>
    <row r="17" spans="1:11">
      <c r="A17" s="14" t="s">
        <v>41</v>
      </c>
      <c r="B17" s="9" t="str">
        <f>CONCATENATE(A17,[11]resumen_pais_baja_tek!B8)</f>
        <v xml:space="preserve">   Ecuador</v>
      </c>
      <c r="C17" s="22">
        <f>[11]resumen_pais_baja_tek!C8/1000000</f>
        <v>23.434805999999998</v>
      </c>
      <c r="D17" s="25">
        <f>[11]resumen_pais_baja_tek!D8/1000000</f>
        <v>32.089466000000002</v>
      </c>
      <c r="E17" s="22">
        <f t="shared" si="0"/>
        <v>36.930794306554127</v>
      </c>
      <c r="F17" s="22">
        <f t="shared" si="1"/>
        <v>1.0420032779169299</v>
      </c>
      <c r="G17" s="22">
        <f>[11]resumen_pais_baja_tek!E8/1000000</f>
        <v>2.959768</v>
      </c>
      <c r="H17" s="25">
        <f>[11]resumen_pais_baja_tek!F8/1000000</f>
        <v>5.3505839999999996</v>
      </c>
      <c r="I17" s="22">
        <f t="shared" si="3"/>
        <v>80.777141992210176</v>
      </c>
      <c r="J17" s="22">
        <f t="shared" si="4"/>
        <v>1.5999035395159826</v>
      </c>
      <c r="K17" s="16"/>
    </row>
    <row r="18" spans="1:11">
      <c r="A18" s="14" t="s">
        <v>41</v>
      </c>
      <c r="B18" s="9" t="str">
        <f>CONCATENATE(A18,[11]resumen_pais_baja_tek!B9)</f>
        <v xml:space="preserve">   Perú </v>
      </c>
      <c r="C18" s="22">
        <f>[11]resumen_pais_baja_tek!C9/1000000</f>
        <v>43.350555</v>
      </c>
      <c r="D18" s="25">
        <f>[11]resumen_pais_baja_tek!D9/1000000</f>
        <v>60.912782999999997</v>
      </c>
      <c r="E18" s="22">
        <f t="shared" si="0"/>
        <v>40.512118010945876</v>
      </c>
      <c r="F18" s="22">
        <f t="shared" si="1"/>
        <v>1.9779487621589791</v>
      </c>
      <c r="G18" s="22">
        <f>[11]resumen_pais_baja_tek!E9/1000000</f>
        <v>5.1230719999999996</v>
      </c>
      <c r="H18" s="25">
        <f>[11]resumen_pais_baja_tek!F9/1000000</f>
        <v>6.3873600000000001</v>
      </c>
      <c r="I18" s="22">
        <f t="shared" si="3"/>
        <v>24.678318009194488</v>
      </c>
      <c r="J18" s="22">
        <f t="shared" si="4"/>
        <v>1.909914856427412</v>
      </c>
      <c r="K18" s="16"/>
    </row>
    <row r="19" spans="1:11">
      <c r="A19" s="14"/>
      <c r="B19" s="10" t="s">
        <v>36</v>
      </c>
      <c r="C19" s="22">
        <f>SUM(C20:C27)</f>
        <v>351.851448</v>
      </c>
      <c r="D19" s="25">
        <f>SUM(D20:D27)</f>
        <v>466.22628199999997</v>
      </c>
      <c r="E19" s="22">
        <f t="shared" si="0"/>
        <v>32.506569079118862</v>
      </c>
      <c r="F19" s="22">
        <f t="shared" si="1"/>
        <v>15.139214659883182</v>
      </c>
      <c r="G19" s="22">
        <f>SUM(G20:G27)</f>
        <v>35.292174999999993</v>
      </c>
      <c r="H19" s="25">
        <f>SUM(H20:H27)</f>
        <v>34.170611999999998</v>
      </c>
      <c r="I19" s="22">
        <f t="shared" si="3"/>
        <v>-3.1779367522687285</v>
      </c>
      <c r="J19" s="22">
        <f t="shared" si="4"/>
        <v>10.217517019866861</v>
      </c>
      <c r="K19" s="16"/>
    </row>
    <row r="20" spans="1:11">
      <c r="A20" s="14" t="s">
        <v>41</v>
      </c>
      <c r="B20" s="9" t="str">
        <f>CONCATENATE(A20,[11]resumen_pais_baja_tek!B23)</f>
        <v xml:space="preserve">   Argentina</v>
      </c>
      <c r="C20" s="22">
        <f>[11]resumen_pais_baja_tek!C23/1000000</f>
        <v>22.903905999999999</v>
      </c>
      <c r="D20" s="25">
        <f>[11]resumen_pais_baja_tek!D23/1000000</f>
        <v>14.401393000000001</v>
      </c>
      <c r="E20" s="22">
        <f t="shared" si="0"/>
        <v>-37.122545822533496</v>
      </c>
      <c r="F20" s="22">
        <f t="shared" si="1"/>
        <v>0.46763940268030418</v>
      </c>
      <c r="G20" s="22">
        <f>[11]resumen_pais_baja_tek!E23/1000000</f>
        <v>2.4849269999999999</v>
      </c>
      <c r="H20" s="25">
        <f>[11]resumen_pais_baja_tek!F23/1000000</f>
        <v>1.621291</v>
      </c>
      <c r="I20" s="22">
        <f t="shared" si="3"/>
        <v>-34.754984754079288</v>
      </c>
      <c r="J20" s="22">
        <f t="shared" si="4"/>
        <v>0.48478992377007957</v>
      </c>
      <c r="K20" s="16"/>
    </row>
    <row r="21" spans="1:11">
      <c r="A21" s="14" t="s">
        <v>41</v>
      </c>
      <c r="B21" s="9" t="str">
        <f>CONCATENATE(A21,[11]resumen_pais_baja_tek!B24)</f>
        <v xml:space="preserve">   Brasil </v>
      </c>
      <c r="C21" s="22">
        <f>[11]resumen_pais_baja_tek!C24/1000000</f>
        <v>103.77948499999999</v>
      </c>
      <c r="D21" s="25">
        <f>[11]resumen_pais_baja_tek!D24/1000000</f>
        <v>144.258195</v>
      </c>
      <c r="E21" s="22">
        <f t="shared" si="0"/>
        <v>39.004539288280341</v>
      </c>
      <c r="F21" s="22">
        <f t="shared" si="1"/>
        <v>4.6843257552612334</v>
      </c>
      <c r="G21" s="22">
        <f>[11]resumen_pais_baja_tek!E24/1000000</f>
        <v>11.090961999999999</v>
      </c>
      <c r="H21" s="25">
        <f>[11]resumen_pais_baja_tek!F24/1000000</f>
        <v>11.344469</v>
      </c>
      <c r="I21" s="22">
        <f t="shared" si="3"/>
        <v>2.2857079485079979</v>
      </c>
      <c r="J21" s="22">
        <f t="shared" si="4"/>
        <v>3.3921635670105061</v>
      </c>
      <c r="K21" s="16"/>
    </row>
    <row r="22" spans="1:11">
      <c r="A22" s="14" t="s">
        <v>41</v>
      </c>
      <c r="B22" s="9" t="str">
        <f>CONCATENATE(A22,[11]resumen_pais_baja_tek!B25)</f>
        <v xml:space="preserve">   Cuba </v>
      </c>
      <c r="C22" s="22">
        <f>[11]resumen_pais_baja_tek!C25/1000000</f>
        <v>0.18382799999999999</v>
      </c>
      <c r="D22" s="25">
        <f>[11]resumen_pais_baja_tek!D25/1000000</f>
        <v>2.6600000000000001E-4</v>
      </c>
      <c r="E22" s="22">
        <f t="shared" si="0"/>
        <v>-99.85529951911569</v>
      </c>
      <c r="F22" s="22">
        <f t="shared" si="1"/>
        <v>8.6375034076884718E-6</v>
      </c>
      <c r="G22" s="22">
        <f>[11]resumen_pais_baja_tek!E25/1000000</f>
        <v>0</v>
      </c>
      <c r="H22" s="25">
        <f>[11]resumen_pais_baja_tek!F25/1000000</f>
        <v>0</v>
      </c>
      <c r="I22" s="22" t="str">
        <f t="shared" si="3"/>
        <v/>
      </c>
      <c r="J22" s="22">
        <f t="shared" si="4"/>
        <v>0</v>
      </c>
      <c r="K22" s="16"/>
    </row>
    <row r="23" spans="1:11">
      <c r="A23" s="14" t="s">
        <v>41</v>
      </c>
      <c r="B23" s="9" t="str">
        <f>CONCATENATE(A23,[11]resumen_pais_baja_tek!B26)</f>
        <v xml:space="preserve">   Chile </v>
      </c>
      <c r="C23" s="22">
        <f>[11]resumen_pais_baja_tek!C26/1000000</f>
        <v>21.496441000000001</v>
      </c>
      <c r="D23" s="25">
        <f>[11]resumen_pais_baja_tek!D26/1000000</f>
        <v>36.634369999999997</v>
      </c>
      <c r="E23" s="22">
        <f t="shared" si="0"/>
        <v>70.420629163683387</v>
      </c>
      <c r="F23" s="22">
        <f t="shared" si="1"/>
        <v>1.1895845703515802</v>
      </c>
      <c r="G23" s="22">
        <f>[11]resumen_pais_baja_tek!E26/1000000</f>
        <v>2.9115259999999998</v>
      </c>
      <c r="H23" s="25">
        <f>[11]resumen_pais_baja_tek!F26/1000000</f>
        <v>4.0748680000000004</v>
      </c>
      <c r="I23" s="22">
        <f t="shared" si="3"/>
        <v>39.95643521644665</v>
      </c>
      <c r="J23" s="22">
        <f t="shared" si="4"/>
        <v>1.2184456381322888</v>
      </c>
      <c r="K23" s="16"/>
    </row>
    <row r="24" spans="1:11">
      <c r="A24" s="14" t="s">
        <v>41</v>
      </c>
      <c r="B24" s="9" t="str">
        <f>CONCATENATE(A24,[11]resumen_pais_baja_tek!B27)</f>
        <v xml:space="preserve">   México </v>
      </c>
      <c r="C24" s="22">
        <f>[11]resumen_pais_baja_tek!C27/1000000</f>
        <v>187.105898</v>
      </c>
      <c r="D24" s="25">
        <f>[11]resumen_pais_baja_tek!D27/1000000</f>
        <v>219.00598400000001</v>
      </c>
      <c r="E24" s="22">
        <f t="shared" si="0"/>
        <v>17.049214557629821</v>
      </c>
      <c r="F24" s="22">
        <f t="shared" si="1"/>
        <v>7.1115223049028842</v>
      </c>
      <c r="G24" s="22">
        <f>[11]resumen_pais_baja_tek!E27/1000000</f>
        <v>17.359580999999999</v>
      </c>
      <c r="H24" s="25">
        <f>[11]resumen_pais_baja_tek!F27/1000000</f>
        <v>12.898958</v>
      </c>
      <c r="I24" s="22">
        <f t="shared" si="3"/>
        <v>-25.695453133344625</v>
      </c>
      <c r="J24" s="22">
        <f t="shared" si="4"/>
        <v>3.8569787074210971</v>
      </c>
      <c r="K24" s="16"/>
    </row>
    <row r="25" spans="1:11">
      <c r="A25" s="14" t="s">
        <v>41</v>
      </c>
      <c r="B25" s="9" t="str">
        <f>CONCATENATE(A25,[11]resumen_pais_baja_tek!B28)</f>
        <v xml:space="preserve">   Paraguay </v>
      </c>
      <c r="C25" s="22">
        <f>[11]resumen_pais_baja_tek!C28/1000000</f>
        <v>0.117089</v>
      </c>
      <c r="D25" s="25">
        <f>[11]resumen_pais_baja_tek!D28/1000000</f>
        <v>0.47972500000000001</v>
      </c>
      <c r="E25" s="22">
        <f t="shared" si="0"/>
        <v>309.70970799989755</v>
      </c>
      <c r="F25" s="22">
        <f t="shared" si="1"/>
        <v>1.5577542564862228E-2</v>
      </c>
      <c r="G25" s="22">
        <f>[11]resumen_pais_baja_tek!E28/1000000</f>
        <v>3.9209000000000001E-2</v>
      </c>
      <c r="H25" s="25">
        <f>[11]resumen_pais_baja_tek!F28/1000000</f>
        <v>5.1018000000000001E-2</v>
      </c>
      <c r="I25" s="22">
        <f t="shared" si="3"/>
        <v>30.118085133515258</v>
      </c>
      <c r="J25" s="22">
        <f t="shared" si="4"/>
        <v>1.5255134538402987E-2</v>
      </c>
      <c r="K25" s="16"/>
    </row>
    <row r="26" spans="1:11">
      <c r="A26" s="14" t="s">
        <v>41</v>
      </c>
      <c r="B26" s="9" t="str">
        <f>CONCATENATE(A26,[11]resumen_pais_baja_tek!B29)</f>
        <v xml:space="preserve">   Uruguay </v>
      </c>
      <c r="C26" s="22">
        <f>[11]resumen_pais_baja_tek!C29/1000000</f>
        <v>1.188877</v>
      </c>
      <c r="D26" s="25">
        <f>[11]resumen_pais_baja_tek!D29/1000000</f>
        <v>2.2420019999999998</v>
      </c>
      <c r="E26" s="22">
        <f t="shared" si="0"/>
        <v>88.581493291568421</v>
      </c>
      <c r="F26" s="22">
        <f t="shared" si="1"/>
        <v>7.2801879379866041E-2</v>
      </c>
      <c r="G26" s="22">
        <f>[11]resumen_pais_baja_tek!E29/1000000</f>
        <v>0.12998799999999999</v>
      </c>
      <c r="H26" s="25">
        <f>[11]resumen_pais_baja_tek!F29/1000000</f>
        <v>0.36158400000000002</v>
      </c>
      <c r="I26" s="22">
        <f t="shared" si="3"/>
        <v>178.16721543527098</v>
      </c>
      <c r="J26" s="22">
        <f t="shared" si="4"/>
        <v>0.10811894952632219</v>
      </c>
      <c r="K26" s="16"/>
    </row>
    <row r="27" spans="1:11">
      <c r="A27" s="14" t="s">
        <v>41</v>
      </c>
      <c r="B27" s="9" t="str">
        <f>CONCATENATE(A27,[11]resumen_pais_baja_tek!B30)</f>
        <v xml:space="preserve">   Venezuela</v>
      </c>
      <c r="C27" s="22">
        <f>[11]resumen_pais_baja_tek!C30/1000000</f>
        <v>15.075924000000001</v>
      </c>
      <c r="D27" s="25">
        <f>[11]resumen_pais_baja_tek!D30/1000000</f>
        <v>49.204346999999999</v>
      </c>
      <c r="E27" s="22">
        <f t="shared" si="0"/>
        <v>226.37699022627066</v>
      </c>
      <c r="F27" s="22">
        <f>(D27/D$13)*100</f>
        <v>1.5977545672390452</v>
      </c>
      <c r="G27" s="22">
        <f>[11]resumen_pais_baja_tek!E30/1000000</f>
        <v>1.2759819999999999</v>
      </c>
      <c r="H27" s="25">
        <f>[11]resumen_pais_baja_tek!F30/1000000</f>
        <v>3.8184239999999998</v>
      </c>
      <c r="I27" s="22">
        <f t="shared" si="3"/>
        <v>199.2537512284656</v>
      </c>
      <c r="J27" s="22">
        <f t="shared" si="4"/>
        <v>1.1417650994681658</v>
      </c>
      <c r="K27" s="16"/>
    </row>
    <row r="28" spans="1:11">
      <c r="A28" s="14" t="s">
        <v>41</v>
      </c>
      <c r="B28" s="9" t="str">
        <f>+[11]resumen_pais_baja_tek!B44</f>
        <v xml:space="preserve">Canadá </v>
      </c>
      <c r="C28" s="22">
        <f>+[11]resumen_pais_baja_tek!C44/1000000</f>
        <v>14.071445000000001</v>
      </c>
      <c r="D28" s="25">
        <f>+[11]resumen_pais_baja_tek!D44/1000000</f>
        <v>11.050857000000001</v>
      </c>
      <c r="E28" s="22">
        <f t="shared" si="0"/>
        <v>-21.4660825522894</v>
      </c>
      <c r="F28" s="22">
        <f>(D28/D$13)*100</f>
        <v>0.35884140975706019</v>
      </c>
      <c r="G28" s="22">
        <f>+[11]resumen_pais_baja_tek!E44/1000000</f>
        <v>0.92079299999999997</v>
      </c>
      <c r="H28" s="25">
        <f>+[11]resumen_pais_baja_tek!F44/1000000</f>
        <v>0.921983</v>
      </c>
      <c r="I28" s="22">
        <f t="shared" si="3"/>
        <v>0.1292364299033677</v>
      </c>
      <c r="J28" s="22">
        <f t="shared" si="4"/>
        <v>0.27568651666314636</v>
      </c>
      <c r="K28" s="16"/>
    </row>
    <row r="29" spans="1:11">
      <c r="A29" s="14" t="s">
        <v>41</v>
      </c>
      <c r="B29" s="9" t="str">
        <f>+[11]resumen_pais_baja_tek!B45</f>
        <v>Estados Unidos</v>
      </c>
      <c r="C29" s="22">
        <f>+[11]resumen_pais_baja_tek!C45/1000000</f>
        <v>448.325604</v>
      </c>
      <c r="D29" s="25">
        <f>+[11]resumen_pais_baja_tek!D45/1000000</f>
        <v>542.81960000000004</v>
      </c>
      <c r="E29" s="22">
        <f t="shared" si="0"/>
        <v>21.077091104526801</v>
      </c>
      <c r="F29" s="22">
        <f t="shared" si="1"/>
        <v>17.626338890075541</v>
      </c>
      <c r="G29" s="22">
        <f>+[11]resumen_pais_baja_tek!E45/1000000</f>
        <v>55.470821000000001</v>
      </c>
      <c r="H29" s="25">
        <f>+[11]resumen_pais_baja_tek!F45/1000000</f>
        <v>58.555180999999997</v>
      </c>
      <c r="I29" s="22">
        <f t="shared" si="3"/>
        <v>5.5603287357149478</v>
      </c>
      <c r="J29" s="22">
        <f t="shared" si="4"/>
        <v>17.508862834206326</v>
      </c>
      <c r="K29" s="16"/>
    </row>
    <row r="30" spans="1:11">
      <c r="A30" s="14"/>
      <c r="B30" s="10" t="s">
        <v>33</v>
      </c>
      <c r="C30" s="22">
        <f>SUM(C31:C41)</f>
        <v>287.68429500000008</v>
      </c>
      <c r="D30" s="25">
        <f>SUM(D31:D41)</f>
        <v>380.09051399999998</v>
      </c>
      <c r="E30" s="22">
        <f t="shared" si="0"/>
        <v>32.12070335643449</v>
      </c>
      <c r="F30" s="22">
        <f t="shared" si="1"/>
        <v>12.342229736485198</v>
      </c>
      <c r="G30" s="22">
        <f>SUM(G31:G41)</f>
        <v>35.907890000000002</v>
      </c>
      <c r="H30" s="25">
        <f>SUM(H31:H41)</f>
        <v>43.365825000000008</v>
      </c>
      <c r="I30" s="22">
        <f t="shared" si="3"/>
        <v>20.769627510833978</v>
      </c>
      <c r="J30" s="22">
        <f t="shared" si="4"/>
        <v>12.967021340386529</v>
      </c>
      <c r="K30" s="16"/>
    </row>
    <row r="31" spans="1:11">
      <c r="A31" s="14" t="s">
        <v>41</v>
      </c>
      <c r="B31" s="9" t="str">
        <f>CONCATENATE(A31,[11]resumen_pais_baja_tek!B59)</f>
        <v xml:space="preserve">   Alemania </v>
      </c>
      <c r="C31" s="22">
        <f>[11]resumen_pais_baja_tek!C59/1000000</f>
        <v>55.319647000000003</v>
      </c>
      <c r="D31" s="25">
        <f>[11]resumen_pais_baja_tek!D59/1000000</f>
        <v>77.058626000000004</v>
      </c>
      <c r="E31" s="22">
        <f t="shared" si="0"/>
        <v>39.297031306074672</v>
      </c>
      <c r="F31" s="22">
        <f t="shared" si="1"/>
        <v>2.5022336265668854</v>
      </c>
      <c r="G31" s="22">
        <f>[11]resumen_pais_baja_tek!E59/1000000</f>
        <v>5.0912569999999997</v>
      </c>
      <c r="H31" s="25">
        <f>[11]resumen_pais_baja_tek!F59/1000000</f>
        <v>13.716514</v>
      </c>
      <c r="I31" s="22">
        <f t="shared" si="3"/>
        <v>169.41311350026135</v>
      </c>
      <c r="J31" s="22">
        <f t="shared" si="4"/>
        <v>4.1014400107391138</v>
      </c>
      <c r="K31" s="16"/>
    </row>
    <row r="32" spans="1:11">
      <c r="A32" s="14" t="s">
        <v>41</v>
      </c>
      <c r="B32" s="9" t="str">
        <f>CONCATENATE(A32,[11]resumen_pais_baja_tek!B60)</f>
        <v xml:space="preserve">   Austria </v>
      </c>
      <c r="C32" s="22">
        <f>[11]resumen_pais_baja_tek!C60/1000000</f>
        <v>4.4826839999999999</v>
      </c>
      <c r="D32" s="25">
        <f>[11]resumen_pais_baja_tek!D60/1000000</f>
        <v>6.2305900000000003</v>
      </c>
      <c r="E32" s="22">
        <f t="shared" si="0"/>
        <v>38.99239830423025</v>
      </c>
      <c r="F32" s="22">
        <f t="shared" si="1"/>
        <v>0.2023185802891343</v>
      </c>
      <c r="G32" s="22">
        <f>[11]resumen_pais_baja_tek!E60/1000000</f>
        <v>0.73742700000000005</v>
      </c>
      <c r="H32" s="25">
        <f>[11]resumen_pais_baja_tek!F60/1000000</f>
        <v>0.66440100000000002</v>
      </c>
      <c r="I32" s="22">
        <f t="shared" si="3"/>
        <v>-9.902810718891498</v>
      </c>
      <c r="J32" s="22">
        <f t="shared" si="4"/>
        <v>0.19866569921301275</v>
      </c>
      <c r="K32" s="16"/>
    </row>
    <row r="33" spans="1:11">
      <c r="A33" s="14" t="s">
        <v>41</v>
      </c>
      <c r="B33" s="9" t="str">
        <f>CONCATENATE(A33,[11]resumen_pais_baja_tek!B61)</f>
        <v xml:space="preserve">   Bélgica </v>
      </c>
      <c r="C33" s="22">
        <f>[11]resumen_pais_baja_tek!C61/1000000</f>
        <v>27.922758000000002</v>
      </c>
      <c r="D33" s="25">
        <f>[11]resumen_pais_baja_tek!D61/1000000</f>
        <v>27.267099000000002</v>
      </c>
      <c r="E33" s="22">
        <f t="shared" si="0"/>
        <v>-2.348116901632713</v>
      </c>
      <c r="F33" s="22">
        <f t="shared" si="1"/>
        <v>0.88541225763262754</v>
      </c>
      <c r="G33" s="22">
        <f>[11]resumen_pais_baja_tek!E61/1000000</f>
        <v>3.0717789999999998</v>
      </c>
      <c r="H33" s="25">
        <f>[11]resumen_pais_baja_tek!F61/1000000</f>
        <v>1.9281090000000001</v>
      </c>
      <c r="I33" s="22">
        <f t="shared" si="3"/>
        <v>-37.231519585230579</v>
      </c>
      <c r="J33" s="22">
        <f t="shared" si="4"/>
        <v>0.57653303147331625</v>
      </c>
      <c r="K33" s="16"/>
    </row>
    <row r="34" spans="1:11">
      <c r="A34" s="14" t="s">
        <v>41</v>
      </c>
      <c r="B34" s="9" t="str">
        <f>CONCATENATE(A34,[11]resumen_pais_baja_tek!B62)</f>
        <v xml:space="preserve">   España </v>
      </c>
      <c r="C34" s="22">
        <f>[11]resumen_pais_baja_tek!C62/1000000</f>
        <v>85.870037999999994</v>
      </c>
      <c r="D34" s="25">
        <f>[11]resumen_pais_baja_tek!D62/1000000</f>
        <v>98.374232000000006</v>
      </c>
      <c r="E34" s="22">
        <f t="shared" si="0"/>
        <v>14.561766002712151</v>
      </c>
      <c r="F34" s="22">
        <f t="shared" si="1"/>
        <v>3.1943900907095353</v>
      </c>
      <c r="G34" s="22">
        <f>[11]resumen_pais_baja_tek!E62/1000000</f>
        <v>11.422715999999999</v>
      </c>
      <c r="H34" s="25">
        <f>[11]resumen_pais_baja_tek!F62/1000000</f>
        <v>7.9140829999999998</v>
      </c>
      <c r="I34" s="22">
        <f t="shared" si="3"/>
        <v>-30.716276234128557</v>
      </c>
      <c r="J34" s="22">
        <f t="shared" si="4"/>
        <v>2.3664275532770378</v>
      </c>
      <c r="K34" s="16"/>
    </row>
    <row r="35" spans="1:11">
      <c r="A35" s="14" t="s">
        <v>41</v>
      </c>
      <c r="B35" s="9" t="str">
        <f>CONCATENATE(A35,[11]resumen_pais_baja_tek!B63)</f>
        <v xml:space="preserve">   Finlandia </v>
      </c>
      <c r="C35" s="22">
        <f>[11]resumen_pais_baja_tek!C63/1000000</f>
        <v>4.9430019999999999</v>
      </c>
      <c r="D35" s="25">
        <f>[11]resumen_pais_baja_tek!D63/1000000</f>
        <v>9.2456429999999994</v>
      </c>
      <c r="E35" s="22">
        <f t="shared" si="0"/>
        <v>87.045099314141481</v>
      </c>
      <c r="F35" s="22">
        <f t="shared" si="1"/>
        <v>0.30022283052169574</v>
      </c>
      <c r="G35" s="22">
        <f>[11]resumen_pais_baja_tek!E63/1000000</f>
        <v>0.77331099999999997</v>
      </c>
      <c r="H35" s="25">
        <f>[11]resumen_pais_baja_tek!F63/1000000</f>
        <v>1.7042269999999999</v>
      </c>
      <c r="I35" s="22">
        <f t="shared" si="3"/>
        <v>120.38054547264943</v>
      </c>
      <c r="J35" s="22">
        <f t="shared" si="4"/>
        <v>0.50958901111331112</v>
      </c>
      <c r="K35" s="16"/>
    </row>
    <row r="36" spans="1:11">
      <c r="A36" s="14" t="s">
        <v>41</v>
      </c>
      <c r="B36" s="9" t="str">
        <f>CONCATENATE(A36,[11]resumen_pais_baja_tek!B64)</f>
        <v xml:space="preserve">   Francia </v>
      </c>
      <c r="C36" s="22">
        <f>[11]resumen_pais_baja_tek!C64/1000000</f>
        <v>16.156133000000001</v>
      </c>
      <c r="D36" s="25">
        <f>[11]resumen_pais_baja_tek!D64/1000000</f>
        <v>19.800694</v>
      </c>
      <c r="E36" s="22">
        <f t="shared" si="0"/>
        <v>22.558374581343198</v>
      </c>
      <c r="F36" s="22">
        <f t="shared" si="1"/>
        <v>0.64296451841953639</v>
      </c>
      <c r="G36" s="22">
        <f>[11]resumen_pais_baja_tek!E64/1000000</f>
        <v>2.4512429999999998</v>
      </c>
      <c r="H36" s="25">
        <f>[11]resumen_pais_baja_tek!F64/1000000</f>
        <v>2.2931710000000001</v>
      </c>
      <c r="I36" s="22">
        <f t="shared" si="3"/>
        <v>-6.4486466662015847</v>
      </c>
      <c r="J36" s="22">
        <f t="shared" si="4"/>
        <v>0.68569195430169971</v>
      </c>
      <c r="K36" s="16"/>
    </row>
    <row r="37" spans="1:11">
      <c r="A37" s="14" t="s">
        <v>41</v>
      </c>
      <c r="B37" s="7" t="str">
        <f>CONCATENATE(A37,[11]resumen_pais_baja_tek!B65)</f>
        <v xml:space="preserve">   Italia </v>
      </c>
      <c r="C37" s="22">
        <f>[11]resumen_pais_baja_tek!C65/1000000</f>
        <v>42.398653000000003</v>
      </c>
      <c r="D37" s="25">
        <f>[11]resumen_pais_baja_tek!D65/1000000</f>
        <v>63.937539999999998</v>
      </c>
      <c r="E37" s="22">
        <f t="shared" si="0"/>
        <v>50.800875678762701</v>
      </c>
      <c r="F37" s="22">
        <f t="shared" si="1"/>
        <v>2.0761681189068346</v>
      </c>
      <c r="G37" s="22">
        <f>[11]resumen_pais_baja_tek!E65/1000000</f>
        <v>5.3317319999999997</v>
      </c>
      <c r="H37" s="25">
        <f>[11]resumen_pais_baja_tek!F65/1000000</f>
        <v>6.8481740000000002</v>
      </c>
      <c r="I37" s="22">
        <f t="shared" si="3"/>
        <v>28.441827158604372</v>
      </c>
      <c r="J37" s="22">
        <f t="shared" si="4"/>
        <v>2.0477050396407805</v>
      </c>
      <c r="K37" s="16"/>
    </row>
    <row r="38" spans="1:11">
      <c r="A38" s="14" t="s">
        <v>41</v>
      </c>
      <c r="B38" s="7" t="str">
        <f>CONCATENATE(A38,[11]resumen_pais_baja_tek!B66)</f>
        <v xml:space="preserve">   Países Bajos </v>
      </c>
      <c r="C38" s="22">
        <f>[11]resumen_pais_baja_tek!C66/1000000</f>
        <v>23.253253999999998</v>
      </c>
      <c r="D38" s="25">
        <f>[11]resumen_pais_baja_tek!D66/1000000</f>
        <v>40.911282</v>
      </c>
      <c r="E38" s="22">
        <f t="shared" si="0"/>
        <v>75.937879489898492</v>
      </c>
      <c r="F38" s="22">
        <f t="shared" si="1"/>
        <v>1.3284636755184365</v>
      </c>
      <c r="G38" s="22">
        <f>[11]resumen_pais_baja_tek!E66/1000000</f>
        <v>3.0303650000000002</v>
      </c>
      <c r="H38" s="25">
        <f>[11]resumen_pais_baja_tek!F66/1000000</f>
        <v>3.6147939999999998</v>
      </c>
      <c r="I38" s="22">
        <f t="shared" si="3"/>
        <v>19.285762606154687</v>
      </c>
      <c r="J38" s="22">
        <f t="shared" si="4"/>
        <v>1.0808767258342522</v>
      </c>
      <c r="K38" s="16"/>
    </row>
    <row r="39" spans="1:11">
      <c r="A39" s="14" t="s">
        <v>41</v>
      </c>
      <c r="B39" s="7" t="str">
        <f>CONCATENATE(A39,[11]resumen_pais_baja_tek!B67)</f>
        <v xml:space="preserve">   Reino Unido </v>
      </c>
      <c r="C39" s="22">
        <f>[11]resumen_pais_baja_tek!C67/1000000</f>
        <v>9.6880769999999998</v>
      </c>
      <c r="D39" s="25">
        <f>[11]resumen_pais_baja_tek!D67/1000000</f>
        <v>13.683099</v>
      </c>
      <c r="E39" s="22">
        <f t="shared" si="0"/>
        <v>41.236480676196116</v>
      </c>
      <c r="F39" s="22">
        <f t="shared" si="1"/>
        <v>0.44431509112871703</v>
      </c>
      <c r="G39" s="22">
        <f>[11]resumen_pais_baja_tek!E67/1000000</f>
        <v>1.0633889999999999</v>
      </c>
      <c r="H39" s="25">
        <f>[11]resumen_pais_baja_tek!F67/1000000</f>
        <v>1.796362</v>
      </c>
      <c r="I39" s="22">
        <f t="shared" si="3"/>
        <v>68.928021636484885</v>
      </c>
      <c r="J39" s="22">
        <f t="shared" si="4"/>
        <v>0.53713873514592236</v>
      </c>
      <c r="K39" s="16"/>
    </row>
    <row r="40" spans="1:11">
      <c r="A40" s="14" t="s">
        <v>41</v>
      </c>
      <c r="B40" s="9" t="str">
        <f>CONCATENATE(A40,[11]resumen_pais_baja_tek!B68)</f>
        <v xml:space="preserve">   Suecia </v>
      </c>
      <c r="C40" s="22">
        <f>[11]resumen_pais_baja_tek!C68/1000000</f>
        <v>4.6933210000000001</v>
      </c>
      <c r="D40" s="25">
        <f>[11]resumen_pais_baja_tek!D68/1000000</f>
        <v>8.098376</v>
      </c>
      <c r="E40" s="22">
        <f t="shared" si="0"/>
        <v>72.551078436782817</v>
      </c>
      <c r="F40" s="22">
        <f t="shared" si="1"/>
        <v>0.26296898607797947</v>
      </c>
      <c r="G40" s="22">
        <f>[11]resumen_pais_baja_tek!E68/1000000</f>
        <v>0.57035999999999998</v>
      </c>
      <c r="H40" s="25">
        <f>[11]resumen_pais_baja_tek!F68/1000000</f>
        <v>0.41068300000000002</v>
      </c>
      <c r="I40" s="22">
        <f t="shared" si="3"/>
        <v>-27.995827196858116</v>
      </c>
      <c r="J40" s="22">
        <f t="shared" si="4"/>
        <v>0.1228002747586137</v>
      </c>
      <c r="K40" s="16"/>
    </row>
    <row r="41" spans="1:11">
      <c r="A41" s="14" t="s">
        <v>41</v>
      </c>
      <c r="B41" s="9" t="str">
        <f>CONCATENATE(A41,[11]resumen_pais_baja_tek!B69)</f>
        <v xml:space="preserve">   Resto </v>
      </c>
      <c r="C41" s="22">
        <f>[11]resumen_pais_baja_tek!C69/1000000</f>
        <v>12.956728</v>
      </c>
      <c r="D41" s="25">
        <f>[11]resumen_pais_baja_tek!D69/1000000</f>
        <v>15.483333</v>
      </c>
      <c r="E41" s="22">
        <f t="shared" si="0"/>
        <v>19.500332182631297</v>
      </c>
      <c r="F41" s="22">
        <f t="shared" si="1"/>
        <v>0.50277196071381725</v>
      </c>
      <c r="G41" s="22">
        <f>[11]resumen_pais_baja_tek!E69/1000000</f>
        <v>2.3643109999999998</v>
      </c>
      <c r="H41" s="25">
        <f>[11]resumen_pais_baja_tek!F69/1000000</f>
        <v>2.4753069999999999</v>
      </c>
      <c r="I41" s="22">
        <f t="shared" si="3"/>
        <v>4.6946446554619881</v>
      </c>
      <c r="J41" s="22">
        <f t="shared" si="4"/>
        <v>0.74015330488946418</v>
      </c>
      <c r="K41" s="16"/>
    </row>
    <row r="42" spans="1:11">
      <c r="A42" s="14"/>
      <c r="B42" s="9" t="str">
        <f>+[11]resumen_pais_baja_tek!B83</f>
        <v>Corea del Sur</v>
      </c>
      <c r="C42" s="22">
        <f>+[11]resumen_pais_baja_tek!C83/1000000</f>
        <v>35.78875</v>
      </c>
      <c r="D42" s="25">
        <f>+[11]resumen_pais_baja_tek!D83/1000000</f>
        <v>53.361418999999998</v>
      </c>
      <c r="E42" s="22">
        <f t="shared" si="0"/>
        <v>49.101097411896191</v>
      </c>
      <c r="F42" s="22">
        <f t="shared" si="1"/>
        <v>1.7327422498180165</v>
      </c>
      <c r="G42" s="22">
        <f>+[11]resumen_pais_baja_tek!E83/1000000</f>
        <v>3.2026140000000001</v>
      </c>
      <c r="H42" s="25">
        <f>+[11]resumen_pais_baja_tek!F83/1000000</f>
        <v>5.3631539999999998</v>
      </c>
      <c r="I42" s="22">
        <f t="shared" si="3"/>
        <v>67.461767168943851</v>
      </c>
      <c r="J42" s="22">
        <f t="shared" si="4"/>
        <v>1.6036621549291257</v>
      </c>
      <c r="K42" s="16"/>
    </row>
    <row r="43" spans="1:11">
      <c r="A43" s="14"/>
      <c r="B43" s="9" t="str">
        <f>+[11]resumen_pais_baja_tek!B84</f>
        <v xml:space="preserve">China </v>
      </c>
      <c r="C43" s="22">
        <f>+[11]resumen_pais_baja_tek!C84/1000000</f>
        <v>516.57924100000002</v>
      </c>
      <c r="D43" s="25">
        <f>+[11]resumen_pais_baja_tek!D84/1000000</f>
        <v>887.51528499999995</v>
      </c>
      <c r="E43" s="22">
        <f t="shared" ref="E43:E44" si="5">IF(OR(OR(D43=0,C43=0),D43=""),"",(D43/C43-1)*100)</f>
        <v>71.806223432815003</v>
      </c>
      <c r="F43" s="22">
        <f t="shared" ref="F43:F44" si="6">(D43/D$13)*100</f>
        <v>28.819234205124456</v>
      </c>
      <c r="G43" s="22">
        <f>+[11]resumen_pais_baja_tek!E84/1000000</f>
        <v>63.998344000000003</v>
      </c>
      <c r="H43" s="25">
        <f>+[11]resumen_pais_baja_tek!F84/1000000</f>
        <v>95.760902999999999</v>
      </c>
      <c r="I43" s="22">
        <f t="shared" ref="I43:I44" si="7">IF(OR(OR(H43=0,G43=0),H43=""),"",(H43/G43-1)*100)</f>
        <v>49.630282621062818</v>
      </c>
      <c r="J43" s="22">
        <f t="shared" ref="J43:J44" si="8">(H43/H$13)*100</f>
        <v>28.633922513308207</v>
      </c>
      <c r="K43" s="16"/>
    </row>
    <row r="44" spans="1:11">
      <c r="A44" s="14"/>
      <c r="B44" s="9" t="str">
        <f>+[11]resumen_pais_baja_tek!B85</f>
        <v xml:space="preserve">Japón </v>
      </c>
      <c r="C44" s="22">
        <f>+[11]resumen_pais_baja_tek!C85/1000000</f>
        <v>41.368836000000002</v>
      </c>
      <c r="D44" s="25">
        <f>+[11]resumen_pais_baja_tek!D85/1000000</f>
        <v>25.647335000000002</v>
      </c>
      <c r="E44" s="22">
        <f t="shared" si="5"/>
        <v>-38.003247178624989</v>
      </c>
      <c r="F44" s="22">
        <f t="shared" si="6"/>
        <v>0.83281557691965347</v>
      </c>
      <c r="G44" s="22">
        <f>+[11]resumen_pais_baja_tek!E85/1000000</f>
        <v>2.9372569999999998</v>
      </c>
      <c r="H44" s="25">
        <f>+[11]resumen_pais_baja_tek!F85/1000000</f>
        <v>2.2127050000000001</v>
      </c>
      <c r="I44" s="22">
        <f t="shared" si="7"/>
        <v>-24.667640591204641</v>
      </c>
      <c r="J44" s="22">
        <f t="shared" si="8"/>
        <v>0.66163143339207697</v>
      </c>
      <c r="K44" s="16"/>
    </row>
    <row r="45" spans="1:11">
      <c r="A45" s="14"/>
      <c r="B45" s="9" t="s">
        <v>3</v>
      </c>
      <c r="C45" s="22">
        <f>+C13-C14-C30-C28-C29-C42-C43-C44</f>
        <v>458.37451914002315</v>
      </c>
      <c r="D45" s="25">
        <f>+D13-D14-D30-D28-D29-D42-D43-D44</f>
        <v>619.67117619009798</v>
      </c>
      <c r="E45" s="22">
        <f t="shared" si="0"/>
        <v>35.188835835091936</v>
      </c>
      <c r="F45" s="22">
        <f t="shared" si="1"/>
        <v>20.121849233038702</v>
      </c>
      <c r="G45" s="22">
        <f>+G13-G14-G30-G28-G29-G42-G43-G44</f>
        <v>49.302220229999818</v>
      </c>
      <c r="H45" s="25">
        <f>+H13-H14-H30-H28-H29-H42-H43-H44</f>
        <v>82.263790150001043</v>
      </c>
      <c r="I45" s="22">
        <f t="shared" si="3"/>
        <v>66.856157321581435</v>
      </c>
      <c r="J45" s="22">
        <f t="shared" si="4"/>
        <v>24.598086682684865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f>+'Resumen importaciones totales'!C26</f>
        <v>5098.3074336601976</v>
      </c>
      <c r="D13" s="25">
        <f>+'Resumen importaciones totales'!D26</f>
        <v>7716.3642874599209</v>
      </c>
      <c r="E13" s="25">
        <f>IF(OR(OR(D13=0,C13=0),D13=""),"",(D13/C13-1)*100)</f>
        <v>51.351490428268612</v>
      </c>
      <c r="F13" s="23">
        <f>(D13/D$13)*100</f>
        <v>100</v>
      </c>
      <c r="G13" s="25">
        <f>+'Resumen importaciones totales'!G26</f>
        <v>597.66459053999756</v>
      </c>
      <c r="H13" s="25">
        <f>+'Resumen importaciones totales'!H26</f>
        <v>880.65103765999356</v>
      </c>
      <c r="I13" s="25">
        <f>IF(OR(OR(H13=0,G13=0),H13=""),"",(H13/G13-1)*100)</f>
        <v>47.348705544746103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+C15+C19</f>
        <v>969.85278300000004</v>
      </c>
      <c r="D14" s="25">
        <f>+D15+D19</f>
        <v>1962.18795</v>
      </c>
      <c r="E14" s="22">
        <f t="shared" ref="E14:E45" si="0">IF(OR(OR(D14=0,C14=0),D14=""),"",(D14/C14-1)*100)</f>
        <v>102.31812336821432</v>
      </c>
      <c r="F14" s="22">
        <f t="shared" ref="F14:F45" si="1">(D14/D$13)*100</f>
        <v>25.428918035775038</v>
      </c>
      <c r="G14" s="22">
        <f>+G15+G19</f>
        <v>106.35553600000001</v>
      </c>
      <c r="H14" s="25">
        <f t="shared" ref="H14" si="2">+H15+H19</f>
        <v>241.25378899999998</v>
      </c>
      <c r="I14" s="22">
        <f t="shared" ref="I14:I45" si="3">IF(OR(OR(H14=0,G14=0),H14=""),"",(H14/G14-1)*100)</f>
        <v>126.83707691530034</v>
      </c>
      <c r="J14" s="22">
        <f>(H14/H$13)*100</f>
        <v>27.394936096486443</v>
      </c>
      <c r="K14" s="16"/>
    </row>
    <row r="15" spans="1:14">
      <c r="A15" s="14"/>
      <c r="B15" s="10" t="s">
        <v>35</v>
      </c>
      <c r="C15" s="22">
        <f>+SUM(C16:C18)</f>
        <v>84.288030000000006</v>
      </c>
      <c r="D15" s="25">
        <f>+SUM(D16:D18)</f>
        <v>178.79932500000001</v>
      </c>
      <c r="E15" s="22">
        <f t="shared" si="0"/>
        <v>112.12896421947458</v>
      </c>
      <c r="F15" s="22">
        <f>(D15/D$13)*100</f>
        <v>2.3171446854909612</v>
      </c>
      <c r="G15" s="22">
        <f t="shared" ref="G15:H15" si="4">+SUM(G16:G18)</f>
        <v>6.9103519999999996</v>
      </c>
      <c r="H15" s="25">
        <f t="shared" si="4"/>
        <v>19.856644999999997</v>
      </c>
      <c r="I15" s="22">
        <f t="shared" si="3"/>
        <v>187.34636093790877</v>
      </c>
      <c r="J15" s="22">
        <f t="shared" ref="J15:J45" si="5">(H15/H$13)*100</f>
        <v>2.2547688188458546</v>
      </c>
      <c r="K15" s="16"/>
    </row>
    <row r="16" spans="1:14">
      <c r="A16" s="14" t="s">
        <v>41</v>
      </c>
      <c r="B16" s="9" t="str">
        <f>CONCATENATE(A16,[12]resumen_pais_media_tek!B7)</f>
        <v xml:space="preserve">   Bolivia</v>
      </c>
      <c r="C16" s="22">
        <f>[12]resumen_pais_media_tek!C7/1000000</f>
        <v>0.39845999999999998</v>
      </c>
      <c r="D16" s="25">
        <f>[12]resumen_pais_media_tek!D7/1000000</f>
        <v>0.121022</v>
      </c>
      <c r="E16" s="22">
        <f t="shared" si="0"/>
        <v>-69.627566129598947</v>
      </c>
      <c r="F16" s="22">
        <f t="shared" si="1"/>
        <v>1.5683811117714625E-3</v>
      </c>
      <c r="G16" s="22">
        <f>[12]resumen_pais_media_tek!E7/1000000</f>
        <v>0</v>
      </c>
      <c r="H16" s="25">
        <f>[12]resumen_pais_media_tek!F7/1000000</f>
        <v>0</v>
      </c>
      <c r="I16" s="22" t="str">
        <f t="shared" si="3"/>
        <v/>
      </c>
      <c r="J16" s="22">
        <f t="shared" si="5"/>
        <v>0</v>
      </c>
      <c r="K16" s="16"/>
    </row>
    <row r="17" spans="1:11">
      <c r="A17" s="14" t="s">
        <v>41</v>
      </c>
      <c r="B17" s="9" t="str">
        <f>CONCATENATE(A17,[12]resumen_pais_media_tek!B8)</f>
        <v xml:space="preserve">   Ecuador</v>
      </c>
      <c r="C17" s="22">
        <f>[12]resumen_pais_media_tek!C8/1000000</f>
        <v>47.454483000000003</v>
      </c>
      <c r="D17" s="25">
        <f>[12]resumen_pais_media_tek!D8/1000000</f>
        <v>131.58411000000001</v>
      </c>
      <c r="E17" s="22">
        <f t="shared" si="0"/>
        <v>177.28488792091574</v>
      </c>
      <c r="F17" s="22">
        <f t="shared" si="1"/>
        <v>1.7052604710982997</v>
      </c>
      <c r="G17" s="22">
        <f>[12]resumen_pais_media_tek!E8/1000000</f>
        <v>2.9954230000000002</v>
      </c>
      <c r="H17" s="25">
        <f>[12]resumen_pais_media_tek!F8/1000000</f>
        <v>16.894818999999998</v>
      </c>
      <c r="I17" s="22">
        <f t="shared" si="3"/>
        <v>464.02114158834991</v>
      </c>
      <c r="J17" s="22">
        <f t="shared" si="5"/>
        <v>1.9184464989551107</v>
      </c>
      <c r="K17" s="16"/>
    </row>
    <row r="18" spans="1:11">
      <c r="A18" s="14" t="s">
        <v>41</v>
      </c>
      <c r="B18" s="9" t="str">
        <f>CONCATENATE(A18,[12]resumen_pais_media_tek!B9)</f>
        <v xml:space="preserve">   Perú </v>
      </c>
      <c r="C18" s="22">
        <f>[12]resumen_pais_media_tek!C9/1000000</f>
        <v>36.435087000000003</v>
      </c>
      <c r="D18" s="25">
        <f>[12]resumen_pais_media_tek!D9/1000000</f>
        <v>47.094192999999997</v>
      </c>
      <c r="E18" s="22">
        <f t="shared" si="0"/>
        <v>29.255058455054584</v>
      </c>
      <c r="F18" s="22">
        <f t="shared" si="1"/>
        <v>0.61031583328088956</v>
      </c>
      <c r="G18" s="22">
        <f>[12]resumen_pais_media_tek!E9/1000000</f>
        <v>3.9149289999999999</v>
      </c>
      <c r="H18" s="25">
        <f>[12]resumen_pais_media_tek!F9/1000000</f>
        <v>2.9618259999999998</v>
      </c>
      <c r="I18" s="22">
        <f t="shared" si="3"/>
        <v>-24.345345726576394</v>
      </c>
      <c r="J18" s="22">
        <f t="shared" si="5"/>
        <v>0.33632231989074396</v>
      </c>
      <c r="K18" s="16"/>
    </row>
    <row r="19" spans="1:11">
      <c r="A19" s="14"/>
      <c r="B19" s="10" t="s">
        <v>36</v>
      </c>
      <c r="C19" s="22">
        <f>SUM(C20:C27)</f>
        <v>885.564753</v>
      </c>
      <c r="D19" s="25">
        <f>SUM(D20:D27)</f>
        <v>1783.388625</v>
      </c>
      <c r="E19" s="22">
        <f t="shared" si="0"/>
        <v>101.38432779291068</v>
      </c>
      <c r="F19" s="22">
        <f t="shared" si="1"/>
        <v>23.111773350284079</v>
      </c>
      <c r="G19" s="22">
        <f t="shared" ref="G19:H19" si="6">SUM(G20:G27)</f>
        <v>99.445184000000012</v>
      </c>
      <c r="H19" s="25">
        <f t="shared" si="6"/>
        <v>221.397144</v>
      </c>
      <c r="I19" s="22">
        <f t="shared" si="3"/>
        <v>122.63234386493767</v>
      </c>
      <c r="J19" s="22">
        <f t="shared" si="5"/>
        <v>25.14016727764059</v>
      </c>
      <c r="K19" s="16"/>
    </row>
    <row r="20" spans="1:11">
      <c r="A20" s="14" t="s">
        <v>41</v>
      </c>
      <c r="B20" s="9" t="str">
        <f>CONCATENATE(A20,[12]resumen_pais_media_tek!B23)</f>
        <v xml:space="preserve">   Argentina</v>
      </c>
      <c r="C20" s="22">
        <f>[12]resumen_pais_media_tek!C23/1000000</f>
        <v>70.462934000000004</v>
      </c>
      <c r="D20" s="25">
        <f>[12]resumen_pais_media_tek!D23/1000000</f>
        <v>75.292018999999996</v>
      </c>
      <c r="E20" s="22">
        <f t="shared" si="0"/>
        <v>6.8533691770484406</v>
      </c>
      <c r="F20" s="22">
        <f t="shared" si="1"/>
        <v>0.97574474448230952</v>
      </c>
      <c r="G20" s="22">
        <f>[12]resumen_pais_media_tek!E23/1000000</f>
        <v>10.815229</v>
      </c>
      <c r="H20" s="25">
        <f>[12]resumen_pais_media_tek!F23/1000000</f>
        <v>5.9640630000000003</v>
      </c>
      <c r="I20" s="22">
        <f t="shared" si="3"/>
        <v>-44.854954065235233</v>
      </c>
      <c r="J20" s="22">
        <f t="shared" si="5"/>
        <v>0.67723340403337351</v>
      </c>
      <c r="K20" s="16"/>
    </row>
    <row r="21" spans="1:11">
      <c r="A21" s="14" t="s">
        <v>41</v>
      </c>
      <c r="B21" s="9" t="str">
        <f>CONCATENATE(A21,[12]resumen_pais_media_tek!B24)</f>
        <v xml:space="preserve">   Brasil </v>
      </c>
      <c r="C21" s="22">
        <f>[12]resumen_pais_media_tek!C24/1000000</f>
        <v>233.78601</v>
      </c>
      <c r="D21" s="25">
        <f>[12]resumen_pais_media_tek!D24/1000000</f>
        <v>298.90524699999997</v>
      </c>
      <c r="E21" s="22">
        <f t="shared" si="0"/>
        <v>27.854206075034149</v>
      </c>
      <c r="F21" s="22">
        <f t="shared" si="1"/>
        <v>3.8736539108937511</v>
      </c>
      <c r="G21" s="22">
        <f>[12]resumen_pais_media_tek!E24/1000000</f>
        <v>24.285401</v>
      </c>
      <c r="H21" s="25">
        <f>[12]resumen_pais_media_tek!F24/1000000</f>
        <v>28.656835000000001</v>
      </c>
      <c r="I21" s="22">
        <f t="shared" si="3"/>
        <v>18.000254556224959</v>
      </c>
      <c r="J21" s="22">
        <f t="shared" si="5"/>
        <v>3.2540511251931301</v>
      </c>
      <c r="K21" s="16"/>
    </row>
    <row r="22" spans="1:11">
      <c r="A22" s="14" t="s">
        <v>41</v>
      </c>
      <c r="B22" s="9" t="str">
        <f>CONCATENATE(A22,[12]resumen_pais_media_tek!B25)</f>
        <v xml:space="preserve">   Cuba </v>
      </c>
      <c r="C22" s="22">
        <f>[12]resumen_pais_media_tek!C25/1000000</f>
        <v>1.9556229999999999</v>
      </c>
      <c r="D22" s="25">
        <f>[12]resumen_pais_media_tek!D25/1000000</f>
        <v>1.9995179999999999</v>
      </c>
      <c r="E22" s="22">
        <f t="shared" si="0"/>
        <v>2.2445532702366489</v>
      </c>
      <c r="F22" s="22">
        <f t="shared" si="1"/>
        <v>2.5912695740006372E-2</v>
      </c>
      <c r="G22" s="22">
        <f>[12]resumen_pais_media_tek!E25/1000000</f>
        <v>3.4751999999999998E-2</v>
      </c>
      <c r="H22" s="25">
        <f>[12]resumen_pais_media_tek!F25/1000000</f>
        <v>1.7301</v>
      </c>
      <c r="I22" s="22">
        <f t="shared" si="3"/>
        <v>4878.4185082872928</v>
      </c>
      <c r="J22" s="22">
        <f t="shared" si="5"/>
        <v>0.19645693084029114</v>
      </c>
      <c r="K22" s="16"/>
    </row>
    <row r="23" spans="1:11">
      <c r="A23" s="14" t="s">
        <v>41</v>
      </c>
      <c r="B23" s="9" t="str">
        <f>CONCATENATE(A23,[12]resumen_pais_media_tek!B26)</f>
        <v xml:space="preserve">   Chile </v>
      </c>
      <c r="C23" s="22">
        <f>[12]resumen_pais_media_tek!C26/1000000</f>
        <v>52.641286000000001</v>
      </c>
      <c r="D23" s="25">
        <f>[12]resumen_pais_media_tek!D26/1000000</f>
        <v>69.399381000000005</v>
      </c>
      <c r="E23" s="22">
        <f t="shared" si="0"/>
        <v>31.834509134142365</v>
      </c>
      <c r="F23" s="22">
        <f t="shared" si="1"/>
        <v>0.89937927260358708</v>
      </c>
      <c r="G23" s="22">
        <f>[12]resumen_pais_media_tek!E26/1000000</f>
        <v>5.6293059999999997</v>
      </c>
      <c r="H23" s="25">
        <f>[12]resumen_pais_media_tek!F26/1000000</f>
        <v>7.2549890000000001</v>
      </c>
      <c r="I23" s="22">
        <f t="shared" si="3"/>
        <v>28.878923973932146</v>
      </c>
      <c r="J23" s="22">
        <f t="shared" si="5"/>
        <v>0.82382109254960589</v>
      </c>
      <c r="K23" s="16"/>
    </row>
    <row r="24" spans="1:11">
      <c r="A24" s="14" t="s">
        <v>41</v>
      </c>
      <c r="B24" s="9" t="str">
        <f>CONCATENATE(A24,[12]resumen_pais_media_tek!B27)</f>
        <v xml:space="preserve">   México </v>
      </c>
      <c r="C24" s="22">
        <f>[12]resumen_pais_media_tek!C27/1000000</f>
        <v>493.59679</v>
      </c>
      <c r="D24" s="25">
        <f>[12]resumen_pais_media_tek!D27/1000000</f>
        <v>1293.059013</v>
      </c>
      <c r="E24" s="22">
        <f t="shared" si="0"/>
        <v>161.9666576437825</v>
      </c>
      <c r="F24" s="22">
        <f t="shared" si="1"/>
        <v>16.75736091285097</v>
      </c>
      <c r="G24" s="22">
        <f>[12]resumen_pais_media_tek!E27/1000000</f>
        <v>55.734983</v>
      </c>
      <c r="H24" s="25">
        <f>[12]resumen_pais_media_tek!F27/1000000</f>
        <v>171.367639</v>
      </c>
      <c r="I24" s="22">
        <f t="shared" si="3"/>
        <v>207.46872031879869</v>
      </c>
      <c r="J24" s="22">
        <f t="shared" si="5"/>
        <v>19.459199123337946</v>
      </c>
      <c r="K24" s="16"/>
    </row>
    <row r="25" spans="1:11">
      <c r="A25" s="14" t="s">
        <v>41</v>
      </c>
      <c r="B25" s="9" t="str">
        <f>CONCATENATE(A25,[12]resumen_pais_media_tek!B28)</f>
        <v xml:space="preserve">   Paraguay </v>
      </c>
      <c r="C25" s="22">
        <f>[12]resumen_pais_media_tek!C28/1000000</f>
        <v>3.5492999999999997E-2</v>
      </c>
      <c r="D25" s="25">
        <f>[12]resumen_pais_media_tek!D28/1000000</f>
        <v>1.3572000000000001E-2</v>
      </c>
      <c r="E25" s="22">
        <f t="shared" si="0"/>
        <v>-61.761474093483216</v>
      </c>
      <c r="F25" s="22">
        <f t="shared" si="1"/>
        <v>1.7588594180365793E-4</v>
      </c>
      <c r="G25" s="22">
        <f>[12]resumen_pais_media_tek!E28/1000000</f>
        <v>3.4553E-2</v>
      </c>
      <c r="H25" s="25">
        <f>[12]resumen_pais_media_tek!F28/1000000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41</v>
      </c>
      <c r="B26" s="9" t="str">
        <f>CONCATENATE(A26,[12]resumen_pais_media_tek!B29)</f>
        <v xml:space="preserve">   Uruguay </v>
      </c>
      <c r="C26" s="22">
        <f>[12]resumen_pais_media_tek!C29/1000000</f>
        <v>3.72017</v>
      </c>
      <c r="D26" s="25">
        <f>[12]resumen_pais_media_tek!D29/1000000</f>
        <v>4.9440309999999998</v>
      </c>
      <c r="E26" s="22">
        <f t="shared" si="0"/>
        <v>32.897985844732894</v>
      </c>
      <c r="F26" s="22">
        <f t="shared" si="1"/>
        <v>6.4072026874556487E-2</v>
      </c>
      <c r="G26" s="22">
        <f>[12]resumen_pais_media_tek!E29/1000000</f>
        <v>0.36778</v>
      </c>
      <c r="H26" s="25">
        <f>[12]resumen_pais_media_tek!F29/1000000</f>
        <v>0.378994</v>
      </c>
      <c r="I26" s="22">
        <f t="shared" si="3"/>
        <v>3.0491054434716336</v>
      </c>
      <c r="J26" s="22">
        <f t="shared" si="5"/>
        <v>4.303566154955512E-2</v>
      </c>
      <c r="K26" s="16"/>
    </row>
    <row r="27" spans="1:11">
      <c r="A27" s="14" t="s">
        <v>41</v>
      </c>
      <c r="B27" s="9" t="str">
        <f>CONCATENATE(A27,[12]resumen_pais_media_tek!B30)</f>
        <v xml:space="preserve">   Venezuela</v>
      </c>
      <c r="C27" s="22">
        <f>[12]resumen_pais_media_tek!C30/1000000</f>
        <v>29.366447000000001</v>
      </c>
      <c r="D27" s="25">
        <f>[12]resumen_pais_media_tek!D30/1000000</f>
        <v>39.775843999999999</v>
      </c>
      <c r="E27" s="22">
        <f t="shared" ref="E27" si="7">IF(OR(OR(D27=0,C27=0),D27=""),"",(D27/C27-1)*100)</f>
        <v>35.446565939692995</v>
      </c>
      <c r="F27" s="22">
        <f t="shared" ref="F27" si="8">(D27/D$13)*100</f>
        <v>0.51547390089709522</v>
      </c>
      <c r="G27" s="22">
        <f>[12]resumen_pais_media_tek!E30/1000000</f>
        <v>2.54318</v>
      </c>
      <c r="H27" s="25">
        <f>[12]resumen_pais_media_tek!F30/1000000</f>
        <v>6.044524</v>
      </c>
      <c r="I27" s="22">
        <f t="shared" ref="I27" si="9">IF(OR(OR(H27=0,G27=0),H27=""),"",(H27/G27-1)*100)</f>
        <v>137.67582318200047</v>
      </c>
      <c r="J27" s="22">
        <f t="shared" ref="J27" si="10">(H27/H$13)*100</f>
        <v>0.68636994013668584</v>
      </c>
      <c r="K27" s="16"/>
    </row>
    <row r="28" spans="1:11">
      <c r="A28" s="14" t="s">
        <v>41</v>
      </c>
      <c r="B28" s="9" t="str">
        <f>+[12]resumen_pais_media_tek!B44</f>
        <v xml:space="preserve">Canadá </v>
      </c>
      <c r="C28" s="22">
        <f>+[12]resumen_pais_media_tek!C44/1000000</f>
        <v>42.342162999999999</v>
      </c>
      <c r="D28" s="25">
        <f>+[12]resumen_pais_media_tek!D44/1000000</f>
        <v>40.814545000000003</v>
      </c>
      <c r="E28" s="22">
        <f t="shared" si="0"/>
        <v>-3.6077939617775279</v>
      </c>
      <c r="F28" s="22">
        <f>(D28/D$13)*100</f>
        <v>0.52893491649077351</v>
      </c>
      <c r="G28" s="22">
        <f>+[12]resumen_pais_media_tek!E44/1000000</f>
        <v>4.2903279999999997</v>
      </c>
      <c r="H28" s="25">
        <f>+[12]resumen_pais_media_tek!F44/1000000</f>
        <v>6.3837289999999998</v>
      </c>
      <c r="I28" s="22">
        <f t="shared" si="3"/>
        <v>48.793495508968078</v>
      </c>
      <c r="J28" s="22">
        <f t="shared" si="5"/>
        <v>0.72488746699968842</v>
      </c>
      <c r="K28" s="16"/>
    </row>
    <row r="29" spans="1:11">
      <c r="A29" s="14" t="s">
        <v>41</v>
      </c>
      <c r="B29" s="9" t="str">
        <f>+[12]resumen_pais_media_tek!B45</f>
        <v>Estados Unidos</v>
      </c>
      <c r="C29" s="22">
        <f>+[12]resumen_pais_media_tek!C45/1000000</f>
        <v>1520.262107</v>
      </c>
      <c r="D29" s="25">
        <f>+[12]resumen_pais_media_tek!D45/1000000</f>
        <v>1979.7426780000001</v>
      </c>
      <c r="E29" s="22">
        <f t="shared" ref="E29" si="11">IF(OR(OR(D29=0,C29=0),D29=""),"",(D29/C29-1)*100)</f>
        <v>30.223773182554247</v>
      </c>
      <c r="F29" s="22">
        <f>(D29/D$13)*100</f>
        <v>25.656418026003973</v>
      </c>
      <c r="G29" s="22">
        <f>+[12]resumen_pais_media_tek!E45/1000000</f>
        <v>182.14185000000001</v>
      </c>
      <c r="H29" s="25">
        <f>+[12]resumen_pais_media_tek!F45/1000000</f>
        <v>203.34267399999999</v>
      </c>
      <c r="I29" s="22">
        <f t="shared" ref="I29" si="12">IF(OR(OR(H29=0,G29=0),H29=""),"",(H29/G29-1)*100)</f>
        <v>11.639732439304851</v>
      </c>
      <c r="J29" s="22">
        <f t="shared" ref="J29" si="13">(H29/H$13)*100</f>
        <v>23.090039675682256</v>
      </c>
      <c r="K29" s="16"/>
    </row>
    <row r="30" spans="1:11">
      <c r="A30" s="14"/>
      <c r="B30" s="10" t="s">
        <v>33</v>
      </c>
      <c r="C30" s="22">
        <f>SUM(C31:C40)</f>
        <v>802.09634000000005</v>
      </c>
      <c r="D30" s="25">
        <f>SUM(D31:D40)</f>
        <v>1108.3714109999999</v>
      </c>
      <c r="E30" s="22">
        <f t="shared" si="0"/>
        <v>38.184324715906293</v>
      </c>
      <c r="F30" s="22">
        <f t="shared" si="1"/>
        <v>14.363907271734764</v>
      </c>
      <c r="G30" s="22">
        <f>SUM(G31:G40)</f>
        <v>97.516071999999994</v>
      </c>
      <c r="H30" s="25">
        <f>SUM(H31:H40)</f>
        <v>115.316371</v>
      </c>
      <c r="I30" s="22">
        <f t="shared" si="3"/>
        <v>18.253707963134545</v>
      </c>
      <c r="J30" s="22">
        <f t="shared" si="5"/>
        <v>13.094445594069914</v>
      </c>
      <c r="K30" s="16"/>
    </row>
    <row r="31" spans="1:11">
      <c r="A31" s="14" t="s">
        <v>41</v>
      </c>
      <c r="B31" s="9" t="str">
        <f>CONCATENATE(A31,[12]resumen_pais_media_tek!B59)</f>
        <v xml:space="preserve">   Alemania </v>
      </c>
      <c r="C31" s="22">
        <f>[12]resumen_pais_media_tek!C59/1000000</f>
        <v>224.24772100000001</v>
      </c>
      <c r="D31" s="25">
        <f>[12]resumen_pais_media_tek!D59/1000000</f>
        <v>336.56940200000003</v>
      </c>
      <c r="E31" s="22">
        <f t="shared" si="0"/>
        <v>50.088215166298177</v>
      </c>
      <c r="F31" s="22">
        <f t="shared" si="1"/>
        <v>4.3617614392177977</v>
      </c>
      <c r="G31" s="22">
        <f>[12]resumen_pais_media_tek!E59/1000000</f>
        <v>24.398492999999998</v>
      </c>
      <c r="H31" s="25">
        <f>[12]resumen_pais_media_tek!F59/1000000</f>
        <v>38.957875000000001</v>
      </c>
      <c r="I31" s="22">
        <f t="shared" si="3"/>
        <v>59.673283919625696</v>
      </c>
      <c r="J31" s="22">
        <f t="shared" si="5"/>
        <v>4.4237584848041775</v>
      </c>
      <c r="K31" s="16"/>
    </row>
    <row r="32" spans="1:11">
      <c r="A32" s="14" t="s">
        <v>41</v>
      </c>
      <c r="B32" s="9" t="str">
        <f>CONCATENATE(A32,[12]resumen_pais_media_tek!B60)</f>
        <v xml:space="preserve">   Bélgica </v>
      </c>
      <c r="C32" s="22">
        <f>[12]resumen_pais_media_tek!C60/1000000</f>
        <v>213.00084200000001</v>
      </c>
      <c r="D32" s="25">
        <f>[12]resumen_pais_media_tek!D60/1000000</f>
        <v>286.30051099999997</v>
      </c>
      <c r="E32" s="22">
        <f t="shared" si="0"/>
        <v>34.412854105055587</v>
      </c>
      <c r="F32" s="22">
        <f t="shared" si="1"/>
        <v>3.7103031989466198</v>
      </c>
      <c r="G32" s="22">
        <f>[12]resumen_pais_media_tek!E60/1000000</f>
        <v>30.360247999999999</v>
      </c>
      <c r="H32" s="25">
        <f>[12]resumen_pais_media_tek!F60/1000000</f>
        <v>31.158866</v>
      </c>
      <c r="I32" s="22">
        <f t="shared" si="3"/>
        <v>2.6304725837549281</v>
      </c>
      <c r="J32" s="22">
        <f t="shared" si="5"/>
        <v>3.5381626396300216</v>
      </c>
      <c r="K32" s="16"/>
    </row>
    <row r="33" spans="1:11">
      <c r="A33" s="14" t="s">
        <v>41</v>
      </c>
      <c r="B33" s="9" t="str">
        <f>CONCATENATE(A33,[12]resumen_pais_media_tek!B61)</f>
        <v xml:space="preserve">   Dinamarca </v>
      </c>
      <c r="C33" s="22">
        <f>[12]resumen_pais_media_tek!C61/1000000</f>
        <v>9.4465509999999995</v>
      </c>
      <c r="D33" s="25">
        <f>[12]resumen_pais_media_tek!D61/1000000</f>
        <v>9.3298679999999994</v>
      </c>
      <c r="E33" s="22">
        <f t="shared" si="0"/>
        <v>-1.2351915529805524</v>
      </c>
      <c r="F33" s="22">
        <f t="shared" si="1"/>
        <v>0.12091015473650238</v>
      </c>
      <c r="G33" s="22">
        <f>[12]resumen_pais_media_tek!E61/1000000</f>
        <v>0.82610099999999997</v>
      </c>
      <c r="H33" s="25">
        <f>[12]resumen_pais_media_tek!F61/1000000</f>
        <v>0.55079500000000003</v>
      </c>
      <c r="I33" s="22">
        <f t="shared" si="3"/>
        <v>-33.325949248336464</v>
      </c>
      <c r="J33" s="22">
        <f t="shared" si="5"/>
        <v>6.2544069835372626E-2</v>
      </c>
      <c r="K33" s="16"/>
    </row>
    <row r="34" spans="1:11">
      <c r="A34" s="14" t="s">
        <v>41</v>
      </c>
      <c r="B34" s="9" t="str">
        <f>CONCATENATE(A34,[12]resumen_pais_media_tek!B62)</f>
        <v xml:space="preserve">   España </v>
      </c>
      <c r="C34" s="22">
        <f>[12]resumen_pais_media_tek!C62/1000000</f>
        <v>68.156396000000001</v>
      </c>
      <c r="D34" s="25">
        <f>[12]resumen_pais_media_tek!D62/1000000</f>
        <v>89.821380000000005</v>
      </c>
      <c r="E34" s="22">
        <f t="shared" si="0"/>
        <v>31.787161985501712</v>
      </c>
      <c r="F34" s="22">
        <f t="shared" si="1"/>
        <v>1.1640375785001653</v>
      </c>
      <c r="G34" s="22">
        <f>[12]resumen_pais_media_tek!E62/1000000</f>
        <v>10.598610000000001</v>
      </c>
      <c r="H34" s="25">
        <f>[12]resumen_pais_media_tek!F62/1000000</f>
        <v>10.092288999999999</v>
      </c>
      <c r="I34" s="22">
        <f t="shared" si="3"/>
        <v>-4.7772396568984243</v>
      </c>
      <c r="J34" s="22">
        <f t="shared" si="5"/>
        <v>1.1460031917769093</v>
      </c>
      <c r="K34" s="16"/>
    </row>
    <row r="35" spans="1:11">
      <c r="A35" s="14" t="s">
        <v>41</v>
      </c>
      <c r="B35" s="9" t="str">
        <f>CONCATENATE(A35,[12]resumen_pais_media_tek!B63)</f>
        <v xml:space="preserve">   Francia </v>
      </c>
      <c r="C35" s="22">
        <f>[12]resumen_pais_media_tek!C63/1000000</f>
        <v>85.276330999999999</v>
      </c>
      <c r="D35" s="25">
        <f>[12]resumen_pais_media_tek!D63/1000000</f>
        <v>97.503382000000002</v>
      </c>
      <c r="E35" s="22">
        <f t="shared" si="0"/>
        <v>14.338153220968209</v>
      </c>
      <c r="F35" s="22">
        <f t="shared" si="1"/>
        <v>1.2635922614288115</v>
      </c>
      <c r="G35" s="22">
        <f>[12]resumen_pais_media_tek!E63/1000000</f>
        <v>7.5093069999999997</v>
      </c>
      <c r="H35" s="25">
        <f>[12]resumen_pais_media_tek!F63/1000000</f>
        <v>8.408614</v>
      </c>
      <c r="I35" s="22">
        <f t="shared" si="3"/>
        <v>11.9758987080965</v>
      </c>
      <c r="J35" s="22">
        <f t="shared" si="5"/>
        <v>0.95481792905653085</v>
      </c>
      <c r="K35" s="16"/>
    </row>
    <row r="36" spans="1:11">
      <c r="A36" s="14" t="s">
        <v>41</v>
      </c>
      <c r="B36" s="9" t="str">
        <f>CONCATENATE(A36,[12]resumen_pais_media_tek!B64)</f>
        <v xml:space="preserve">   Italia </v>
      </c>
      <c r="C36" s="22">
        <f>[12]resumen_pais_media_tek!C64/1000000</f>
        <v>107.729201</v>
      </c>
      <c r="D36" s="25">
        <f>[12]resumen_pais_media_tek!D64/1000000</f>
        <v>159.48777000000001</v>
      </c>
      <c r="E36" s="22">
        <f t="shared" si="0"/>
        <v>48.045069043072175</v>
      </c>
      <c r="F36" s="22">
        <f t="shared" si="1"/>
        <v>2.0668771465233706</v>
      </c>
      <c r="G36" s="22">
        <f>[12]resumen_pais_media_tek!E64/1000000</f>
        <v>11.531029</v>
      </c>
      <c r="H36" s="25">
        <f>[12]resumen_pais_media_tek!F64/1000000</f>
        <v>15.014849</v>
      </c>
      <c r="I36" s="22">
        <f t="shared" si="3"/>
        <v>30.212568193176857</v>
      </c>
      <c r="J36" s="22">
        <f t="shared" si="5"/>
        <v>1.7049714765449482</v>
      </c>
      <c r="K36" s="16"/>
    </row>
    <row r="37" spans="1:11">
      <c r="A37" s="14" t="s">
        <v>41</v>
      </c>
      <c r="B37" s="7" t="str">
        <f>CONCATENATE(A37,[12]resumen_pais_media_tek!B65)</f>
        <v xml:space="preserve">   Lituania </v>
      </c>
      <c r="C37" s="22">
        <f>[12]resumen_pais_media_tek!C65/1000000</f>
        <v>7.1835760000000004</v>
      </c>
      <c r="D37" s="25">
        <f>[12]resumen_pais_media_tek!D65/1000000</f>
        <v>8.1715199999999992</v>
      </c>
      <c r="E37" s="22">
        <f t="shared" si="0"/>
        <v>13.752816146164504</v>
      </c>
      <c r="F37" s="22">
        <f t="shared" si="1"/>
        <v>0.10589857730381866</v>
      </c>
      <c r="G37" s="22">
        <f>[12]resumen_pais_media_tek!E65/1000000</f>
        <v>0.92781499999999995</v>
      </c>
      <c r="H37" s="25">
        <f>[12]resumen_pais_media_tek!F65/1000000</f>
        <v>2.1360000000000001E-2</v>
      </c>
      <c r="I37" s="22">
        <f t="shared" si="3"/>
        <v>-97.697816913932201</v>
      </c>
      <c r="J37" s="22">
        <f t="shared" si="5"/>
        <v>2.4254783207610076E-3</v>
      </c>
      <c r="K37" s="16"/>
    </row>
    <row r="38" spans="1:11">
      <c r="A38" s="14" t="s">
        <v>41</v>
      </c>
      <c r="B38" s="7" t="str">
        <f>CONCATENATE(A38,[12]resumen_pais_media_tek!B66)</f>
        <v xml:space="preserve">   Países Bajos </v>
      </c>
      <c r="C38" s="22">
        <f>[12]resumen_pais_media_tek!C66/1000000</f>
        <v>26.059898</v>
      </c>
      <c r="D38" s="25">
        <f>[12]resumen_pais_media_tek!D66/1000000</f>
        <v>34.552684999999997</v>
      </c>
      <c r="E38" s="22">
        <f t="shared" si="0"/>
        <v>32.589486727845205</v>
      </c>
      <c r="F38" s="22">
        <f t="shared" si="1"/>
        <v>0.4477845227726292</v>
      </c>
      <c r="G38" s="22">
        <f>[12]resumen_pais_media_tek!E66/1000000</f>
        <v>3.291407</v>
      </c>
      <c r="H38" s="25">
        <f>[12]resumen_pais_media_tek!F66/1000000</f>
        <v>3.2291050000000001</v>
      </c>
      <c r="I38" s="22">
        <f t="shared" si="3"/>
        <v>-1.8928683082948927</v>
      </c>
      <c r="J38" s="22">
        <f t="shared" si="5"/>
        <v>0.36667248000753622</v>
      </c>
      <c r="K38" s="16"/>
    </row>
    <row r="39" spans="1:11">
      <c r="A39" s="14" t="s">
        <v>41</v>
      </c>
      <c r="B39" s="7" t="str">
        <f>CONCATENATE(A39,[12]resumen_pais_media_tek!B67)</f>
        <v xml:space="preserve">   Reino Unido </v>
      </c>
      <c r="C39" s="22">
        <f>[12]resumen_pais_media_tek!C67/1000000</f>
        <v>41.077213999999998</v>
      </c>
      <c r="D39" s="25">
        <f>[12]resumen_pais_media_tek!D67/1000000</f>
        <v>60.102927999999999</v>
      </c>
      <c r="E39" s="22">
        <f t="shared" si="0"/>
        <v>46.316953238357407</v>
      </c>
      <c r="F39" s="22">
        <f t="shared" si="1"/>
        <v>0.77890215859397594</v>
      </c>
      <c r="G39" s="22">
        <f>[12]resumen_pais_media_tek!E67/1000000</f>
        <v>5.6579129999999997</v>
      </c>
      <c r="H39" s="25">
        <f>[12]resumen_pais_media_tek!F67/1000000</f>
        <v>6.0295540000000001</v>
      </c>
      <c r="I39" s="22">
        <f t="shared" si="3"/>
        <v>6.5685174020880144</v>
      </c>
      <c r="J39" s="22">
        <f t="shared" si="5"/>
        <v>0.68467006136974795</v>
      </c>
      <c r="K39" s="16"/>
    </row>
    <row r="40" spans="1:11">
      <c r="A40" s="14" t="s">
        <v>41</v>
      </c>
      <c r="B40" s="9" t="str">
        <f>CONCATENATE(A40,[12]resumen_pais_media_tek!B68)</f>
        <v xml:space="preserve">   Suecia </v>
      </c>
      <c r="C40" s="22">
        <f>[12]resumen_pais_media_tek!C68/1000000</f>
        <v>19.918610000000001</v>
      </c>
      <c r="D40" s="25">
        <f>[12]resumen_pais_media_tek!D68/1000000</f>
        <v>26.531965</v>
      </c>
      <c r="E40" s="22">
        <f t="shared" si="0"/>
        <v>33.201890091728274</v>
      </c>
      <c r="F40" s="22">
        <f t="shared" si="1"/>
        <v>0.34384023371107342</v>
      </c>
      <c r="G40" s="22">
        <f>[12]resumen_pais_media_tek!E68/1000000</f>
        <v>2.415149</v>
      </c>
      <c r="H40" s="25">
        <f>[12]resumen_pais_media_tek!F68/1000000</f>
        <v>1.853064</v>
      </c>
      <c r="I40" s="22">
        <f t="shared" si="3"/>
        <v>-23.273305290895095</v>
      </c>
      <c r="J40" s="22">
        <f t="shared" si="5"/>
        <v>0.21041978272390804</v>
      </c>
      <c r="K40" s="16"/>
    </row>
    <row r="41" spans="1:11">
      <c r="A41" s="14" t="s">
        <v>41</v>
      </c>
      <c r="B41" s="9" t="str">
        <f>CONCATENATE(A41,[12]resumen_pais_media_tek!B69)</f>
        <v xml:space="preserve">   Resto </v>
      </c>
      <c r="C41" s="22">
        <f>[12]resumen_pais_media_tek!C69/1000000</f>
        <v>26.503920000000001</v>
      </c>
      <c r="D41" s="25">
        <f>[12]resumen_pais_media_tek!D69/1000000</f>
        <v>54.692081000000002</v>
      </c>
      <c r="E41" s="22">
        <f t="shared" ref="E41" si="14">IF(OR(OR(D41=0,C41=0),D41=""),"",(D41/C41-1)*100)</f>
        <v>106.35468640110597</v>
      </c>
      <c r="F41" s="22">
        <f t="shared" ref="F41" si="15">(D41/D$13)*100</f>
        <v>0.70878044325721679</v>
      </c>
      <c r="G41" s="22">
        <f>[12]resumen_pais_media_tek!E69/1000000</f>
        <v>2.433907</v>
      </c>
      <c r="H41" s="25">
        <f>[12]resumen_pais_media_tek!F69/1000000</f>
        <v>7.1756320000000002</v>
      </c>
      <c r="I41" s="22">
        <f t="shared" ref="I41" si="16">IF(OR(OR(H41=0,G41=0),H41=""),"",(H41/G41-1)*100)</f>
        <v>194.81948159892715</v>
      </c>
      <c r="J41" s="22">
        <f t="shared" ref="J41" si="17">(H41/H$13)*100</f>
        <v>0.81480991824714188</v>
      </c>
      <c r="K41" s="16"/>
    </row>
    <row r="42" spans="1:11">
      <c r="A42" s="14"/>
      <c r="B42" s="9" t="str">
        <f>+[12]resumen_pais_media_tek!B83</f>
        <v>Corea del Sur</v>
      </c>
      <c r="C42" s="22">
        <f>+[12]resumen_pais_media_tek!C83/1000000</f>
        <v>410.964519</v>
      </c>
      <c r="D42" s="25">
        <f>+[12]resumen_pais_media_tek!D83/1000000</f>
        <v>589.27071699999999</v>
      </c>
      <c r="E42" s="22">
        <f t="shared" si="0"/>
        <v>43.387248717692813</v>
      </c>
      <c r="F42" s="22">
        <f t="shared" si="1"/>
        <v>7.6366368285338773</v>
      </c>
      <c r="G42" s="22">
        <f>+[12]resumen_pais_media_tek!E83/1000000</f>
        <v>46.584955000000001</v>
      </c>
      <c r="H42" s="25">
        <f>+[12]resumen_pais_media_tek!F83/1000000</f>
        <v>54.443820000000002</v>
      </c>
      <c r="I42" s="22">
        <f t="shared" si="3"/>
        <v>16.869963703946912</v>
      </c>
      <c r="J42" s="22">
        <f t="shared" si="5"/>
        <v>6.1822240219763378</v>
      </c>
      <c r="K42" s="16"/>
    </row>
    <row r="43" spans="1:11">
      <c r="A43" s="14"/>
      <c r="B43" s="9" t="str">
        <f>+[12]resumen_pais_media_tek!B84</f>
        <v xml:space="preserve">China </v>
      </c>
      <c r="C43" s="22">
        <f>+[12]resumen_pais_media_tek!C84/1000000</f>
        <v>407.01966700000003</v>
      </c>
      <c r="D43" s="25">
        <f>+[12]resumen_pais_media_tek!D84/1000000</f>
        <v>648.10073999999997</v>
      </c>
      <c r="E43" s="22">
        <f t="shared" ref="E43" si="18">IF(OR(OR(D43=0,C43=0),D43=""),"",(D43/C43-1)*100)</f>
        <v>59.230816726111655</v>
      </c>
      <c r="F43" s="22">
        <f t="shared" ref="F43" si="19">(D43/D$13)*100</f>
        <v>8.3990428115640761</v>
      </c>
      <c r="G43" s="22">
        <f>+[12]resumen_pais_media_tek!E84/1000000</f>
        <v>44.790194</v>
      </c>
      <c r="H43" s="25">
        <f>+[12]resumen_pais_media_tek!F84/1000000</f>
        <v>80.850886000000003</v>
      </c>
      <c r="I43" s="22">
        <f t="shared" ref="I43" si="20">IF(OR(OR(H43=0,G43=0),H43=""),"",(H43/G43-1)*100)</f>
        <v>80.510238468714832</v>
      </c>
      <c r="J43" s="22">
        <f t="shared" ref="J43" si="21">(H43/H$13)*100</f>
        <v>9.1808085771217076</v>
      </c>
      <c r="K43" s="16"/>
    </row>
    <row r="44" spans="1:11">
      <c r="A44" s="14"/>
      <c r="B44" s="9" t="str">
        <f>+[12]resumen_pais_media_tek!B85</f>
        <v xml:space="preserve">Japón </v>
      </c>
      <c r="C44" s="22">
        <f>+[12]resumen_pais_media_tek!C85/1000000</f>
        <v>389.271591</v>
      </c>
      <c r="D44" s="25">
        <f>+[12]resumen_pais_media_tek!D85/1000000</f>
        <v>539.75563099999999</v>
      </c>
      <c r="E44" s="22">
        <f t="shared" ref="E44" si="22">IF(OR(OR(D44=0,C44=0),D44=""),"",(D44/C44-1)*100)</f>
        <v>38.657853149114075</v>
      </c>
      <c r="F44" s="22">
        <f t="shared" ref="F44" si="23">(D44/D$13)*100</f>
        <v>6.9949475023771486</v>
      </c>
      <c r="G44" s="22">
        <f>+[12]resumen_pais_media_tek!E85/1000000</f>
        <v>50.075718999999999</v>
      </c>
      <c r="H44" s="25">
        <f>+[12]resumen_pais_media_tek!F85/1000000</f>
        <v>73.726286999999999</v>
      </c>
      <c r="I44" s="22">
        <f t="shared" ref="I44" si="24">IF(OR(OR(H44=0,G44=0),H44=""),"",(H44/G44-1)*100)</f>
        <v>47.22961241954409</v>
      </c>
      <c r="J44" s="22">
        <f t="shared" ref="J44" si="25">(H44/H$13)*100</f>
        <v>8.3717935762501909</v>
      </c>
      <c r="K44" s="16"/>
    </row>
    <row r="45" spans="1:11">
      <c r="A45" s="14"/>
      <c r="B45" s="9" t="s">
        <v>3</v>
      </c>
      <c r="C45" s="22">
        <f>+C13-C14-C28-C30-C42-C43-C44</f>
        <v>2076.7603706601972</v>
      </c>
      <c r="D45" s="25">
        <f>+D13-D14-D28-D30-D42-D43-D44</f>
        <v>2827.8632934599214</v>
      </c>
      <c r="E45" s="22">
        <f t="shared" si="0"/>
        <v>36.167048129917376</v>
      </c>
      <c r="F45" s="22">
        <f t="shared" si="1"/>
        <v>36.647612633524332</v>
      </c>
      <c r="G45" s="22">
        <f t="shared" ref="G45:H45" si="26">+G13-G14-G28-G30-G42-G43-G44</f>
        <v>248.05178653999758</v>
      </c>
      <c r="H45" s="25">
        <f t="shared" si="26"/>
        <v>308.67615565999353</v>
      </c>
      <c r="I45" s="22">
        <f t="shared" si="3"/>
        <v>24.440206605897785</v>
      </c>
      <c r="J45" s="22">
        <f t="shared" si="5"/>
        <v>35.050904667095715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f>+'Resumen importaciones totales'!C27</f>
        <v>6557.6194796599084</v>
      </c>
      <c r="D13" s="25">
        <f>+'Resumen importaciones totales'!D27</f>
        <v>8101.5350952297031</v>
      </c>
      <c r="E13" s="25">
        <f>IF(OR(OR(D13=0,C13=0),D13=""),"",(D13/C13-1)*100)</f>
        <v>23.543842706314912</v>
      </c>
      <c r="F13" s="23">
        <f>(D13/D$13)*100</f>
        <v>100</v>
      </c>
      <c r="G13" s="25">
        <f>+'Resumen importaciones totales'!G27</f>
        <v>690.05750553999928</v>
      </c>
      <c r="H13" s="25">
        <f>+'Resumen importaciones totales'!H27</f>
        <v>794.91544924001653</v>
      </c>
      <c r="I13" s="25">
        <f>IF(OR(OR(H13=0,G13=0),H13=""),"",(H13/G13-1)*100)</f>
        <v>15.195537018028871</v>
      </c>
      <c r="J13" s="23">
        <f>(H13/H$13)*100</f>
        <v>100</v>
      </c>
      <c r="K13" s="16"/>
    </row>
    <row r="14" spans="1:14">
      <c r="A14" s="14"/>
      <c r="B14" s="10" t="s">
        <v>32</v>
      </c>
      <c r="C14" s="22">
        <f>+C15+C18</f>
        <v>1144.8020290000002</v>
      </c>
      <c r="D14" s="25">
        <f>+D15+D18</f>
        <v>1523.4434610000001</v>
      </c>
      <c r="E14" s="22">
        <f t="shared" ref="E14:E44" si="0">IF(OR(OR(D14=0,C14=0),D14=""),"",(D14/C14-1)*100)</f>
        <v>33.074839352857225</v>
      </c>
      <c r="F14" s="22">
        <f t="shared" ref="F14:F41" si="1">(D14/D$13)*100</f>
        <v>18.804380195760984</v>
      </c>
      <c r="G14" s="22">
        <f>+G15+G18</f>
        <v>97.488001999999994</v>
      </c>
      <c r="H14" s="25">
        <f>+H15+H18</f>
        <v>251.12867599999996</v>
      </c>
      <c r="I14" s="22">
        <f t="shared" ref="I14:I44" si="2">IF(OR(OR(H14=0,G14=0),H14=""),"",(H14/G14-1)*100)</f>
        <v>157.5995720991389</v>
      </c>
      <c r="J14" s="22">
        <f>(H14/H$13)*100</f>
        <v>31.591872599795735</v>
      </c>
      <c r="K14" s="16"/>
    </row>
    <row r="15" spans="1:14">
      <c r="A15" s="14"/>
      <c r="B15" s="10" t="s">
        <v>35</v>
      </c>
      <c r="C15" s="22">
        <f>+SUM(C16:C17)</f>
        <v>44.028477000000002</v>
      </c>
      <c r="D15" s="25">
        <f>+SUM(D16:D17)</f>
        <v>31.575292000000001</v>
      </c>
      <c r="E15" s="22">
        <f t="shared" si="0"/>
        <v>-28.28438739772897</v>
      </c>
      <c r="F15" s="22">
        <f>(D15/D$13)*100</f>
        <v>0.38974455617173059</v>
      </c>
      <c r="G15" s="22">
        <f t="shared" ref="G15:H15" si="3">+SUM(G16:G17)</f>
        <v>2.9625750000000002</v>
      </c>
      <c r="H15" s="25">
        <f t="shared" si="3"/>
        <v>3.193352</v>
      </c>
      <c r="I15" s="22">
        <f t="shared" si="2"/>
        <v>7.7897437195682651</v>
      </c>
      <c r="J15" s="22">
        <f t="shared" ref="J15:J41" si="4">(H15/H$13)*100</f>
        <v>0.40172222128190144</v>
      </c>
      <c r="K15" s="16"/>
    </row>
    <row r="16" spans="1:14">
      <c r="A16" s="14" t="s">
        <v>41</v>
      </c>
      <c r="B16" s="9" t="str">
        <f>CONCATENATE(A16,[13]resumen_pais_alta_tek!B7)</f>
        <v xml:space="preserve">   Bolivia</v>
      </c>
      <c r="C16" s="22">
        <f>[13]resumen_pais_alta_tek!C7/1000000</f>
        <v>2.7806999999999998E-2</v>
      </c>
      <c r="D16" s="25">
        <f>[13]resumen_pais_alta_tek!D7/1000000</f>
        <v>1.5795E-2</v>
      </c>
      <c r="E16" s="22">
        <f t="shared" si="0"/>
        <v>-43.19775596072931</v>
      </c>
      <c r="F16" s="22">
        <f t="shared" si="1"/>
        <v>1.9496305100622619E-4</v>
      </c>
      <c r="G16" s="22">
        <f>[13]resumen_pais_alta_tek!E7/1000000</f>
        <v>0</v>
      </c>
      <c r="H16" s="25">
        <f>[13]resumen_pais_alta_tek!F7/1000000</f>
        <v>0</v>
      </c>
      <c r="I16" s="22" t="str">
        <f t="shared" si="2"/>
        <v/>
      </c>
      <c r="J16" s="22">
        <f t="shared" si="4"/>
        <v>0</v>
      </c>
      <c r="K16" s="16"/>
    </row>
    <row r="17" spans="1:11">
      <c r="A17" s="14" t="s">
        <v>41</v>
      </c>
      <c r="B17" s="9" t="str">
        <f>CONCATENATE(A17,[13]resumen_pais_alta_tek!B8)</f>
        <v xml:space="preserve">   Ecuador</v>
      </c>
      <c r="C17" s="22">
        <f>[13]resumen_pais_alta_tek!C8/1000000</f>
        <v>44.00067</v>
      </c>
      <c r="D17" s="25">
        <f>[13]resumen_pais_alta_tek!D8/1000000</f>
        <v>31.559497</v>
      </c>
      <c r="E17" s="22">
        <f t="shared" si="0"/>
        <v>-28.274962631250844</v>
      </c>
      <c r="F17" s="22">
        <f t="shared" si="1"/>
        <v>0.3895495931207244</v>
      </c>
      <c r="G17" s="22">
        <f>[13]resumen_pais_alta_tek!E8/1000000</f>
        <v>2.9625750000000002</v>
      </c>
      <c r="H17" s="25">
        <f>[13]resumen_pais_alta_tek!F8/1000000</f>
        <v>3.193352</v>
      </c>
      <c r="I17" s="22">
        <f t="shared" si="2"/>
        <v>7.7897437195682651</v>
      </c>
      <c r="J17" s="22">
        <f t="shared" si="4"/>
        <v>0.40172222128190144</v>
      </c>
      <c r="K17" s="16"/>
    </row>
    <row r="18" spans="1:11">
      <c r="A18" s="14"/>
      <c r="B18" s="10" t="s">
        <v>36</v>
      </c>
      <c r="C18" s="22">
        <f>SUM(C19:C26)</f>
        <v>1100.7735520000001</v>
      </c>
      <c r="D18" s="25">
        <f>SUM(D19:D26)</f>
        <v>1491.8681690000001</v>
      </c>
      <c r="E18" s="22">
        <f t="shared" si="0"/>
        <v>35.529071014598635</v>
      </c>
      <c r="F18" s="22">
        <f t="shared" si="1"/>
        <v>18.414635639589253</v>
      </c>
      <c r="G18" s="22">
        <f t="shared" ref="G18:H18" si="5">SUM(G19:G26)</f>
        <v>94.525426999999993</v>
      </c>
      <c r="H18" s="25">
        <f t="shared" si="5"/>
        <v>247.93532399999995</v>
      </c>
      <c r="I18" s="22">
        <f t="shared" si="2"/>
        <v>162.29484686697049</v>
      </c>
      <c r="J18" s="22">
        <f t="shared" si="4"/>
        <v>31.190150378513831</v>
      </c>
      <c r="K18" s="16"/>
    </row>
    <row r="19" spans="1:11">
      <c r="A19" s="14" t="s">
        <v>41</v>
      </c>
      <c r="B19" s="9" t="str">
        <f>CONCATENATE(A19,[13]resumen_pais_alta_tek!B23)</f>
        <v xml:space="preserve">   Argentina</v>
      </c>
      <c r="C19" s="22">
        <f>[13]resumen_pais_alta_tek!C23/1000000</f>
        <v>37.988759999999999</v>
      </c>
      <c r="D19" s="25">
        <f>[13]resumen_pais_alta_tek!D23/1000000</f>
        <v>36.863213999999999</v>
      </c>
      <c r="E19" s="22">
        <f t="shared" si="0"/>
        <v>-2.9628395346413039</v>
      </c>
      <c r="F19" s="22">
        <f t="shared" si="1"/>
        <v>0.45501517387372142</v>
      </c>
      <c r="G19" s="22">
        <f>[13]resumen_pais_alta_tek!E23/1000000</f>
        <v>2.7638029999999998</v>
      </c>
      <c r="H19" s="25">
        <f>[13]resumen_pais_alta_tek!F23/1000000</f>
        <v>3.2608600000000001</v>
      </c>
      <c r="I19" s="22">
        <f t="shared" si="2"/>
        <v>17.984530735367187</v>
      </c>
      <c r="J19" s="22">
        <f t="shared" si="4"/>
        <v>0.41021469681053041</v>
      </c>
      <c r="K19" s="16"/>
    </row>
    <row r="20" spans="1:11">
      <c r="A20" s="14" t="s">
        <v>41</v>
      </c>
      <c r="B20" s="9" t="str">
        <f>CONCATENATE(A20,[13]resumen_pais_alta_tek!B24)</f>
        <v xml:space="preserve">   Brasil </v>
      </c>
      <c r="C20" s="22">
        <f>[13]resumen_pais_alta_tek!C24/1000000</f>
        <v>231.33936600000001</v>
      </c>
      <c r="D20" s="25">
        <f>[13]resumen_pais_alta_tek!D24/1000000</f>
        <v>187.16857200000001</v>
      </c>
      <c r="E20" s="22">
        <f t="shared" si="0"/>
        <v>-19.093505253230447</v>
      </c>
      <c r="F20" s="22">
        <f t="shared" si="1"/>
        <v>2.3102852706298522</v>
      </c>
      <c r="G20" s="22">
        <f>[13]resumen_pais_alta_tek!E24/1000000</f>
        <v>21.893906999999999</v>
      </c>
      <c r="H20" s="25">
        <f>[13]resumen_pais_alta_tek!F24/1000000</f>
        <v>19.958818000000001</v>
      </c>
      <c r="I20" s="22">
        <f t="shared" si="2"/>
        <v>-8.8384818662105342</v>
      </c>
      <c r="J20" s="22">
        <f t="shared" si="4"/>
        <v>2.5108101772435978</v>
      </c>
      <c r="K20" s="16"/>
    </row>
    <row r="21" spans="1:11">
      <c r="A21" s="14" t="s">
        <v>41</v>
      </c>
      <c r="B21" s="9" t="str">
        <f>CONCATENATE(A21,[13]resumen_pais_alta_tek!B25)</f>
        <v xml:space="preserve">   Cuba </v>
      </c>
      <c r="C21" s="22">
        <f>[13]resumen_pais_alta_tek!C25/1000000</f>
        <v>3.5749000000000003E-2</v>
      </c>
      <c r="D21" s="25">
        <f>[13]resumen_pais_alta_tek!D25/1000000</f>
        <v>6.5200000000000002E-4</v>
      </c>
      <c r="E21" s="22">
        <f t="shared" si="0"/>
        <v>-98.176172760077208</v>
      </c>
      <c r="F21" s="22">
        <f t="shared" si="1"/>
        <v>8.0478575027578004E-6</v>
      </c>
      <c r="G21" s="22">
        <f>[13]resumen_pais_alta_tek!E25/1000000</f>
        <v>0</v>
      </c>
      <c r="H21" s="25">
        <f>[13]resumen_pais_alta_tek!F25/1000000</f>
        <v>0</v>
      </c>
      <c r="I21" s="22" t="str">
        <f t="shared" si="2"/>
        <v/>
      </c>
      <c r="J21" s="22">
        <f t="shared" si="4"/>
        <v>0</v>
      </c>
      <c r="K21" s="16"/>
    </row>
    <row r="22" spans="1:11">
      <c r="A22" s="14" t="s">
        <v>41</v>
      </c>
      <c r="B22" s="9" t="str">
        <f>CONCATENATE(A22,[13]resumen_pais_alta_tek!B26)</f>
        <v xml:space="preserve">   Chile </v>
      </c>
      <c r="C22" s="22">
        <f>[13]resumen_pais_alta_tek!C26/1000000</f>
        <v>136.92474100000001</v>
      </c>
      <c r="D22" s="25">
        <f>[13]resumen_pais_alta_tek!D26/1000000</f>
        <v>122.06195200000001</v>
      </c>
      <c r="E22" s="22">
        <f t="shared" si="0"/>
        <v>-10.854713977512652</v>
      </c>
      <c r="F22" s="22">
        <f t="shared" si="1"/>
        <v>1.5066521414178875</v>
      </c>
      <c r="G22" s="22">
        <f>[13]resumen_pais_alta_tek!E26/1000000</f>
        <v>1.187006</v>
      </c>
      <c r="H22" s="25">
        <f>[13]resumen_pais_alta_tek!F26/1000000</f>
        <v>39.774991999999997</v>
      </c>
      <c r="I22" s="22">
        <f t="shared" si="2"/>
        <v>3250.866971186329</v>
      </c>
      <c r="J22" s="22">
        <f t="shared" si="4"/>
        <v>5.0036758045182168</v>
      </c>
      <c r="K22" s="16"/>
    </row>
    <row r="23" spans="1:11">
      <c r="A23" s="14" t="s">
        <v>41</v>
      </c>
      <c r="B23" s="9" t="str">
        <f>CONCATENATE(A23,[13]resumen_pais_alta_tek!B27)</f>
        <v xml:space="preserve">   México </v>
      </c>
      <c r="C23" s="22">
        <f>[13]resumen_pais_alta_tek!C27/1000000</f>
        <v>647.58474200000001</v>
      </c>
      <c r="D23" s="25">
        <f>[13]resumen_pais_alta_tek!D27/1000000</f>
        <v>1067.419302</v>
      </c>
      <c r="E23" s="22">
        <f t="shared" si="0"/>
        <v>64.830829507097931</v>
      </c>
      <c r="F23" s="22">
        <f t="shared" si="1"/>
        <v>13.175519076977293</v>
      </c>
      <c r="G23" s="22">
        <f>[13]resumen_pais_alta_tek!E27/1000000</f>
        <v>62.850574999999999</v>
      </c>
      <c r="H23" s="25">
        <f>[13]resumen_pais_alta_tek!F27/1000000</f>
        <v>179.00934599999999</v>
      </c>
      <c r="I23" s="22">
        <f t="shared" si="2"/>
        <v>184.81735608624103</v>
      </c>
      <c r="J23" s="22">
        <f t="shared" si="4"/>
        <v>22.519293865925352</v>
      </c>
      <c r="K23" s="16"/>
    </row>
    <row r="24" spans="1:11">
      <c r="A24" s="14" t="s">
        <v>41</v>
      </c>
      <c r="B24" s="9" t="str">
        <f>CONCATENATE(A24,[13]resumen_pais_alta_tek!B28)</f>
        <v xml:space="preserve">   Paraguay </v>
      </c>
      <c r="C24" s="22">
        <f>[13]resumen_pais_alta_tek!C28/1000000</f>
        <v>1.7311510000000001</v>
      </c>
      <c r="D24" s="25">
        <f>[13]resumen_pais_alta_tek!D28/1000000</f>
        <v>1.8691530000000001</v>
      </c>
      <c r="E24" s="22">
        <f t="shared" si="0"/>
        <v>7.9716905111108183</v>
      </c>
      <c r="F24" s="22">
        <f t="shared" si="1"/>
        <v>2.3071590482902228E-2</v>
      </c>
      <c r="G24" s="22">
        <f>[13]resumen_pais_alta_tek!E28/1000000</f>
        <v>0.18498100000000001</v>
      </c>
      <c r="H24" s="25">
        <f>[13]resumen_pais_alta_tek!F28/1000000</f>
        <v>4.5853999999999999E-2</v>
      </c>
      <c r="I24" s="22">
        <f t="shared" si="2"/>
        <v>-75.211508208951187</v>
      </c>
      <c r="J24" s="22">
        <f t="shared" si="4"/>
        <v>5.7684122309912302E-3</v>
      </c>
      <c r="K24" s="16"/>
    </row>
    <row r="25" spans="1:11">
      <c r="A25" s="14" t="s">
        <v>41</v>
      </c>
      <c r="B25" s="9" t="str">
        <f>CONCATENATE(A25,[13]resumen_pais_alta_tek!B29)</f>
        <v xml:space="preserve">   Uruguay </v>
      </c>
      <c r="C25" s="22">
        <f>[13]resumen_pais_alta_tek!C29/1000000</f>
        <v>39.303457999999999</v>
      </c>
      <c r="D25" s="25">
        <f>[13]resumen_pais_alta_tek!D29/1000000</f>
        <v>43.821454000000003</v>
      </c>
      <c r="E25" s="22">
        <f t="shared" si="0"/>
        <v>11.495161570770707</v>
      </c>
      <c r="F25" s="22">
        <f t="shared" si="1"/>
        <v>0.54090309410376669</v>
      </c>
      <c r="G25" s="22">
        <f>[13]resumen_pais_alta_tek!E29/1000000</f>
        <v>5.0297130000000001</v>
      </c>
      <c r="H25" s="25">
        <f>[13]resumen_pais_alta_tek!F29/1000000</f>
        <v>5.4462380000000001</v>
      </c>
      <c r="I25" s="22">
        <f t="shared" si="2"/>
        <v>8.2812876201882712</v>
      </c>
      <c r="J25" s="22">
        <f t="shared" si="4"/>
        <v>0.685134249838383</v>
      </c>
      <c r="K25" s="16"/>
    </row>
    <row r="26" spans="1:11">
      <c r="A26" s="14" t="s">
        <v>41</v>
      </c>
      <c r="B26" s="9" t="str">
        <f>CONCATENATE(A26,[13]resumen_pais_alta_tek!B30)</f>
        <v xml:space="preserve">   Venezuela</v>
      </c>
      <c r="C26" s="22">
        <f>[13]resumen_pais_alta_tek!C30/1000000</f>
        <v>5.8655850000000003</v>
      </c>
      <c r="D26" s="25">
        <f>[13]resumen_pais_alta_tek!D30/1000000</f>
        <v>32.663870000000003</v>
      </c>
      <c r="E26" s="22">
        <f t="shared" ref="E26" si="6">IF(OR(OR(D26=0,C26=0),D26=""),"",(D26/C26-1)*100)</f>
        <v>456.87318485709437</v>
      </c>
      <c r="F26" s="22">
        <f t="shared" ref="F26" si="7">(D26/D$13)*100</f>
        <v>0.40318124424632745</v>
      </c>
      <c r="G26" s="22">
        <f>[13]resumen_pais_alta_tek!E30/1000000</f>
        <v>0.61544200000000004</v>
      </c>
      <c r="H26" s="25">
        <f>[13]resumen_pais_alta_tek!F30/1000000</f>
        <v>0.439216</v>
      </c>
      <c r="I26" s="22">
        <f t="shared" ref="I26" si="8">IF(OR(OR(H26=0,G26=0),H26=""),"",(H26/G26-1)*100)</f>
        <v>-28.634054874382976</v>
      </c>
      <c r="J26" s="22">
        <f t="shared" ref="J26" si="9">(H26/H$13)*100</f>
        <v>5.525317194676678E-2</v>
      </c>
      <c r="K26" s="16"/>
    </row>
    <row r="27" spans="1:11">
      <c r="A27" s="14" t="s">
        <v>41</v>
      </c>
      <c r="B27" s="9" t="str">
        <f>+[13]resumen_pais_alta_tek!B44</f>
        <v xml:space="preserve">Canadá </v>
      </c>
      <c r="C27" s="22">
        <f>+[13]resumen_pais_alta_tek!C44/1000000</f>
        <v>22.781924</v>
      </c>
      <c r="D27" s="25">
        <f>+[13]resumen_pais_alta_tek!D44/1000000</f>
        <v>32.787509999999997</v>
      </c>
      <c r="E27" s="22">
        <f t="shared" si="0"/>
        <v>43.918968389149214</v>
      </c>
      <c r="F27" s="22">
        <f>(D27/D$13)*100</f>
        <v>0.4047073747703166</v>
      </c>
      <c r="G27" s="22">
        <f>+[13]resumen_pais_alta_tek!E44/1000000</f>
        <v>3.247268</v>
      </c>
      <c r="H27" s="25">
        <f>+[13]resumen_pais_alta_tek!F44/1000000</f>
        <v>8.4758910000000007</v>
      </c>
      <c r="I27" s="22">
        <f t="shared" si="2"/>
        <v>161.01606026974062</v>
      </c>
      <c r="J27" s="22">
        <f t="shared" si="4"/>
        <v>1.0662632117797464</v>
      </c>
      <c r="K27" s="16"/>
    </row>
    <row r="28" spans="1:11">
      <c r="A28" s="14" t="s">
        <v>41</v>
      </c>
      <c r="B28" s="9" t="str">
        <f>+[13]resumen_pais_alta_tek!B45</f>
        <v>Estados Unidos</v>
      </c>
      <c r="C28" s="22">
        <f>+[13]resumen_pais_alta_tek!C45/1000000</f>
        <v>1860.0715479999999</v>
      </c>
      <c r="D28" s="25">
        <f>+[13]resumen_pais_alta_tek!D45/1000000</f>
        <v>2603.7854200000002</v>
      </c>
      <c r="E28" s="22">
        <f t="shared" ref="E28" si="10">IF(OR(OR(D28=0,C28=0),D28=""),"",(D28/C28-1)*100)</f>
        <v>39.983078758430658</v>
      </c>
      <c r="F28" s="22">
        <f>(D28/D$13)*100</f>
        <v>32.139408018279717</v>
      </c>
      <c r="G28" s="22">
        <f>+[13]resumen_pais_alta_tek!E45/1000000</f>
        <v>159.814899</v>
      </c>
      <c r="H28" s="25">
        <f>+[13]resumen_pais_alta_tek!F45/1000000</f>
        <v>204.302436</v>
      </c>
      <c r="I28" s="22">
        <f t="shared" ref="I28" si="11">IF(OR(OR(H28=0,G28=0),H28=""),"",(H28/G28-1)*100)</f>
        <v>27.836914629592833</v>
      </c>
      <c r="J28" s="22">
        <f t="shared" ref="J28" si="12">(H28/H$13)*100</f>
        <v>25.701153021409322</v>
      </c>
      <c r="K28" s="16"/>
    </row>
    <row r="29" spans="1:11">
      <c r="A29" s="14"/>
      <c r="B29" s="10" t="s">
        <v>33</v>
      </c>
      <c r="C29" s="22">
        <f>SUM(C30:C40)</f>
        <v>1445.579383</v>
      </c>
      <c r="D29" s="25">
        <f>SUM(D30:D40)</f>
        <v>1337.7015930000002</v>
      </c>
      <c r="E29" s="22">
        <f t="shared" si="0"/>
        <v>-7.4625988215273109</v>
      </c>
      <c r="F29" s="22">
        <f t="shared" si="1"/>
        <v>16.511705217294654</v>
      </c>
      <c r="G29" s="22">
        <f t="shared" ref="G29:H29" si="13">SUM(G30:G40)</f>
        <v>147.38008699999997</v>
      </c>
      <c r="H29" s="25">
        <f t="shared" si="13"/>
        <v>125.45548799999999</v>
      </c>
      <c r="I29" s="22">
        <f t="shared" si="2"/>
        <v>-14.876228835446403</v>
      </c>
      <c r="J29" s="22">
        <f t="shared" si="4"/>
        <v>15.782243019674913</v>
      </c>
      <c r="K29" s="16"/>
    </row>
    <row r="30" spans="1:11">
      <c r="A30" s="14" t="s">
        <v>41</v>
      </c>
      <c r="B30" s="9" t="str">
        <f>CONCATENATE(A30,[13]resumen_pais_alta_tek!B59)</f>
        <v xml:space="preserve">   Alemania </v>
      </c>
      <c r="C30" s="22">
        <f>[13]resumen_pais_alta_tek!C59/1000000</f>
        <v>297.68215099999998</v>
      </c>
      <c r="D30" s="25">
        <f>[13]resumen_pais_alta_tek!D59/1000000</f>
        <v>268.80454300000002</v>
      </c>
      <c r="E30" s="22">
        <f t="shared" si="0"/>
        <v>-9.7008194488624078</v>
      </c>
      <c r="F30" s="22">
        <f t="shared" si="1"/>
        <v>3.3179457947207545</v>
      </c>
      <c r="G30" s="22">
        <f>[13]resumen_pais_alta_tek!E59/1000000</f>
        <v>23.761030999999999</v>
      </c>
      <c r="H30" s="25">
        <f>[13]resumen_pais_alta_tek!F59/1000000</f>
        <v>27.300509999999999</v>
      </c>
      <c r="I30" s="22">
        <f t="shared" si="2"/>
        <v>14.896150760461534</v>
      </c>
      <c r="J30" s="22">
        <f t="shared" si="4"/>
        <v>3.4343916734919175</v>
      </c>
      <c r="K30" s="16"/>
    </row>
    <row r="31" spans="1:11">
      <c r="A31" s="14" t="s">
        <v>41</v>
      </c>
      <c r="B31" s="9" t="str">
        <f>CONCATENATE(A31,[13]resumen_pais_alta_tek!B60)</f>
        <v xml:space="preserve">   Bélgica </v>
      </c>
      <c r="C31" s="22">
        <f>[13]resumen_pais_alta_tek!C60/1000000</f>
        <v>158.53819200000001</v>
      </c>
      <c r="D31" s="25">
        <f>[13]resumen_pais_alta_tek!D60/1000000</f>
        <v>162.457955</v>
      </c>
      <c r="E31" s="22">
        <f t="shared" si="0"/>
        <v>2.4724408362118755</v>
      </c>
      <c r="F31" s="22">
        <f t="shared" si="1"/>
        <v>2.0052737301065018</v>
      </c>
      <c r="G31" s="22">
        <f>[13]resumen_pais_alta_tek!E60/1000000</f>
        <v>16.011417999999999</v>
      </c>
      <c r="H31" s="25">
        <f>[13]resumen_pais_alta_tek!F60/1000000</f>
        <v>11.010327</v>
      </c>
      <c r="I31" s="22">
        <f t="shared" si="2"/>
        <v>-31.234529009235779</v>
      </c>
      <c r="J31" s="22">
        <f t="shared" si="4"/>
        <v>1.3850941015835692</v>
      </c>
      <c r="K31" s="16"/>
    </row>
    <row r="32" spans="1:11">
      <c r="A32" s="14" t="s">
        <v>41</v>
      </c>
      <c r="B32" s="9" t="str">
        <f>CONCATENATE(A32,[13]resumen_pais_alta_tek!B61)</f>
        <v xml:space="preserve">   Dinamarca </v>
      </c>
      <c r="C32" s="22">
        <f>[13]resumen_pais_alta_tek!C61/1000000</f>
        <v>19.274177999999999</v>
      </c>
      <c r="D32" s="25">
        <f>[13]resumen_pais_alta_tek!D61/1000000</f>
        <v>19.047958999999999</v>
      </c>
      <c r="E32" s="22">
        <f t="shared" si="0"/>
        <v>-1.1736894823737742</v>
      </c>
      <c r="F32" s="22">
        <f t="shared" si="1"/>
        <v>0.2351154290649892</v>
      </c>
      <c r="G32" s="22">
        <f>[13]resumen_pais_alta_tek!E61/1000000</f>
        <v>0.54303299999999999</v>
      </c>
      <c r="H32" s="25">
        <f>[13]resumen_pais_alta_tek!F61/1000000</f>
        <v>1.728016</v>
      </c>
      <c r="I32" s="22">
        <f t="shared" si="2"/>
        <v>218.21565171914048</v>
      </c>
      <c r="J32" s="22">
        <f t="shared" si="4"/>
        <v>0.21738362257924154</v>
      </c>
      <c r="K32" s="16"/>
    </row>
    <row r="33" spans="1:11">
      <c r="A33" s="14" t="s">
        <v>41</v>
      </c>
      <c r="B33" s="9" t="str">
        <f>CONCATENATE(A33,[13]resumen_pais_alta_tek!B62)</f>
        <v xml:space="preserve">   España </v>
      </c>
      <c r="C33" s="22">
        <f>[13]resumen_pais_alta_tek!C62/1000000</f>
        <v>33.269981000000001</v>
      </c>
      <c r="D33" s="25">
        <f>[13]resumen_pais_alta_tek!D62/1000000</f>
        <v>51.574834000000003</v>
      </c>
      <c r="E33" s="22">
        <f t="shared" si="0"/>
        <v>55.019126701635336</v>
      </c>
      <c r="F33" s="22">
        <f t="shared" si="1"/>
        <v>0.63660569748525786</v>
      </c>
      <c r="G33" s="22">
        <f>[13]resumen_pais_alta_tek!E62/1000000</f>
        <v>2.8191850000000001</v>
      </c>
      <c r="H33" s="25">
        <f>[13]resumen_pais_alta_tek!F62/1000000</f>
        <v>8.2179509999999993</v>
      </c>
      <c r="I33" s="22">
        <f t="shared" si="2"/>
        <v>191.50094796900521</v>
      </c>
      <c r="J33" s="22">
        <f t="shared" si="4"/>
        <v>1.0338144777355653</v>
      </c>
      <c r="K33" s="16"/>
    </row>
    <row r="34" spans="1:11">
      <c r="A34" s="14" t="s">
        <v>41</v>
      </c>
      <c r="B34" s="9" t="str">
        <f>CONCATENATE(A34,[13]resumen_pais_alta_tek!B63)</f>
        <v xml:space="preserve">   Finlandia </v>
      </c>
      <c r="C34" s="22">
        <f>[13]resumen_pais_alta_tek!C63/1000000</f>
        <v>34.402614</v>
      </c>
      <c r="D34" s="25">
        <f>[13]resumen_pais_alta_tek!D63/1000000</f>
        <v>48.308517000000002</v>
      </c>
      <c r="E34" s="22">
        <f t="shared" si="0"/>
        <v>40.421065096972008</v>
      </c>
      <c r="F34" s="22">
        <f t="shared" si="1"/>
        <v>0.59628843709440604</v>
      </c>
      <c r="G34" s="22">
        <f>[13]resumen_pais_alta_tek!E63/1000000</f>
        <v>3.9308619999999999</v>
      </c>
      <c r="H34" s="25">
        <f>[13]resumen_pais_alta_tek!F63/1000000</f>
        <v>8.8802129999999995</v>
      </c>
      <c r="I34" s="22">
        <f t="shared" si="2"/>
        <v>125.91006756278902</v>
      </c>
      <c r="J34" s="22">
        <f t="shared" si="4"/>
        <v>1.1171267344835198</v>
      </c>
      <c r="K34" s="16"/>
    </row>
    <row r="35" spans="1:11">
      <c r="A35" s="14" t="s">
        <v>41</v>
      </c>
      <c r="B35" s="9" t="str">
        <f>CONCATENATE(A35,[13]resumen_pais_alta_tek!B64)</f>
        <v xml:space="preserve">   Francia </v>
      </c>
      <c r="C35" s="22">
        <f>[13]resumen_pais_alta_tek!C64/1000000</f>
        <v>506.29131999999998</v>
      </c>
      <c r="D35" s="25">
        <f>[13]resumen_pais_alta_tek!D64/1000000</f>
        <v>407.34158600000001</v>
      </c>
      <c r="E35" s="22">
        <f t="shared" si="0"/>
        <v>-19.544031290127585</v>
      </c>
      <c r="F35" s="22">
        <f t="shared" si="1"/>
        <v>5.0279555814039298</v>
      </c>
      <c r="G35" s="22">
        <f>[13]resumen_pais_alta_tek!E64/1000000</f>
        <v>68.406126999999998</v>
      </c>
      <c r="H35" s="25">
        <f>[13]resumen_pais_alta_tek!F64/1000000</f>
        <v>11.758417</v>
      </c>
      <c r="I35" s="22">
        <f t="shared" si="2"/>
        <v>-82.810871605112212</v>
      </c>
      <c r="J35" s="22">
        <f t="shared" si="4"/>
        <v>1.4792034814824271</v>
      </c>
      <c r="K35" s="16"/>
    </row>
    <row r="36" spans="1:11">
      <c r="A36" s="14" t="s">
        <v>41</v>
      </c>
      <c r="B36" s="7" t="str">
        <f>CONCATENATE(A36,[13]resumen_pais_alta_tek!B65)</f>
        <v xml:space="preserve">   Italia </v>
      </c>
      <c r="C36" s="22">
        <f>[13]resumen_pais_alta_tek!C65/1000000</f>
        <v>59.525134000000001</v>
      </c>
      <c r="D36" s="25">
        <f>[13]resumen_pais_alta_tek!D65/1000000</f>
        <v>59.304510999999998</v>
      </c>
      <c r="E36" s="22">
        <f t="shared" si="0"/>
        <v>-0.37063839285099709</v>
      </c>
      <c r="F36" s="22">
        <f t="shared" si="1"/>
        <v>0.73201572668517256</v>
      </c>
      <c r="G36" s="22">
        <f>[13]resumen_pais_alta_tek!E65/1000000</f>
        <v>5.3344120000000004</v>
      </c>
      <c r="H36" s="25">
        <f>[13]resumen_pais_alta_tek!F65/1000000</f>
        <v>7.582446</v>
      </c>
      <c r="I36" s="22">
        <f t="shared" si="2"/>
        <v>42.142114257391427</v>
      </c>
      <c r="J36" s="22">
        <f t="shared" si="4"/>
        <v>0.95386823935164933</v>
      </c>
      <c r="K36" s="16"/>
    </row>
    <row r="37" spans="1:11">
      <c r="A37" s="14" t="s">
        <v>41</v>
      </c>
      <c r="B37" s="7" t="str">
        <f>CONCATENATE(A37,[13]resumen_pais_alta_tek!B66)</f>
        <v xml:space="preserve">   Países Bajos </v>
      </c>
      <c r="C37" s="22">
        <f>[13]resumen_pais_alta_tek!C66/1000000</f>
        <v>135.16938200000001</v>
      </c>
      <c r="D37" s="25">
        <f>[13]resumen_pais_alta_tek!D66/1000000</f>
        <v>148.41452899999999</v>
      </c>
      <c r="E37" s="22">
        <f t="shared" si="0"/>
        <v>9.7989254696747565</v>
      </c>
      <c r="F37" s="22">
        <f t="shared" si="1"/>
        <v>1.831930952041281</v>
      </c>
      <c r="G37" s="22">
        <f>[13]resumen_pais_alta_tek!E66/1000000</f>
        <v>13.860363</v>
      </c>
      <c r="H37" s="25">
        <f>[13]resumen_pais_alta_tek!F66/1000000</f>
        <v>35.407826999999997</v>
      </c>
      <c r="I37" s="22">
        <f t="shared" si="2"/>
        <v>155.46103662652988</v>
      </c>
      <c r="J37" s="22">
        <f t="shared" si="4"/>
        <v>4.4542884446203495</v>
      </c>
      <c r="K37" s="16"/>
    </row>
    <row r="38" spans="1:11">
      <c r="A38" s="14" t="s">
        <v>41</v>
      </c>
      <c r="B38" s="7" t="str">
        <f>CONCATENATE(A38,[13]resumen_pais_alta_tek!B67)</f>
        <v xml:space="preserve">   Reino Unido </v>
      </c>
      <c r="C38" s="22">
        <f>[13]resumen_pais_alta_tek!C67/1000000</f>
        <v>140.64596399999999</v>
      </c>
      <c r="D38" s="25">
        <f>[13]resumen_pais_alta_tek!D67/1000000</f>
        <v>99.413865999999999</v>
      </c>
      <c r="E38" s="22">
        <f t="shared" si="0"/>
        <v>-29.316232636437402</v>
      </c>
      <c r="F38" s="22">
        <f t="shared" si="1"/>
        <v>1.2270991217273906</v>
      </c>
      <c r="G38" s="22">
        <f>[13]resumen_pais_alta_tek!E67/1000000</f>
        <v>5.6560949999999997</v>
      </c>
      <c r="H38" s="25">
        <f>[13]resumen_pais_alta_tek!F67/1000000</f>
        <v>7.5410279999999998</v>
      </c>
      <c r="I38" s="22">
        <f t="shared" si="2"/>
        <v>33.325695554972114</v>
      </c>
      <c r="J38" s="22">
        <f t="shared" si="4"/>
        <v>0.94865787389207779</v>
      </c>
      <c r="K38" s="16"/>
    </row>
    <row r="39" spans="1:11">
      <c r="A39" s="14" t="s">
        <v>41</v>
      </c>
      <c r="B39" s="9" t="str">
        <f>CONCATENATE(A39,[13]resumen_pais_alta_tek!B68)</f>
        <v xml:space="preserve">   Suecia </v>
      </c>
      <c r="C39" s="22">
        <f>[13]resumen_pais_alta_tek!C68/1000000</f>
        <v>27.082158</v>
      </c>
      <c r="D39" s="25">
        <f>[13]resumen_pais_alta_tek!D68/1000000</f>
        <v>18.952694999999999</v>
      </c>
      <c r="E39" s="22">
        <f t="shared" si="0"/>
        <v>-30.017781448583236</v>
      </c>
      <c r="F39" s="22">
        <f t="shared" si="1"/>
        <v>0.23393955314912612</v>
      </c>
      <c r="G39" s="22">
        <f>[13]resumen_pais_alta_tek!E68/1000000</f>
        <v>3.1174249999999999</v>
      </c>
      <c r="H39" s="25">
        <f>[13]resumen_pais_alta_tek!F68/1000000</f>
        <v>2.286683</v>
      </c>
      <c r="I39" s="22">
        <f t="shared" si="2"/>
        <v>-26.648339575130109</v>
      </c>
      <c r="J39" s="22">
        <f t="shared" si="4"/>
        <v>0.28766367570113233</v>
      </c>
      <c r="K39" s="16"/>
    </row>
    <row r="40" spans="1:11">
      <c r="A40" s="14" t="s">
        <v>41</v>
      </c>
      <c r="B40" s="9" t="str">
        <f>CONCATENATE(A40,[13]resumen_pais_alta_tek!B69)</f>
        <v xml:space="preserve">   Resto </v>
      </c>
      <c r="C40" s="22">
        <f>[13]resumen_pais_alta_tek!C69/1000000</f>
        <v>33.698309000000002</v>
      </c>
      <c r="D40" s="25">
        <f>[13]resumen_pais_alta_tek!D69/1000000</f>
        <v>54.080598000000002</v>
      </c>
      <c r="E40" s="22">
        <f t="shared" ref="E40" si="14">IF(OR(OR(D40=0,C40=0),D40=""),"",(D40/C40-1)*100)</f>
        <v>60.484604731946632</v>
      </c>
      <c r="F40" s="22">
        <f t="shared" ref="F40" si="15">(D40/D$13)*100</f>
        <v>0.66753519381584137</v>
      </c>
      <c r="G40" s="22">
        <f>[13]resumen_pais_alta_tek!E69/1000000</f>
        <v>3.9401359999999999</v>
      </c>
      <c r="H40" s="25">
        <f>[13]resumen_pais_alta_tek!F69/1000000</f>
        <v>3.74207</v>
      </c>
      <c r="I40" s="22">
        <f t="shared" ref="I40" si="16">IF(OR(OR(H40=0,G40=0),H40=""),"",(H40/G40-1)*100)</f>
        <v>-5.0268823208132858</v>
      </c>
      <c r="J40" s="22">
        <f t="shared" ref="J40" si="17">(H40/H$13)*100</f>
        <v>0.47075069475346437</v>
      </c>
      <c r="K40" s="16"/>
    </row>
    <row r="41" spans="1:11">
      <c r="A41" s="14"/>
      <c r="B41" s="9" t="str">
        <f>+[13]resumen_pais_alta_tek!B83</f>
        <v>Corea del Sur</v>
      </c>
      <c r="C41" s="22">
        <f>+[13]resumen_pais_alta_tek!C83/1000000</f>
        <v>129.45754700000001</v>
      </c>
      <c r="D41" s="25">
        <f>+[13]resumen_pais_alta_tek!D83/1000000</f>
        <v>53.150309999999998</v>
      </c>
      <c r="E41" s="22">
        <f t="shared" si="0"/>
        <v>-58.943830443504396</v>
      </c>
      <c r="F41" s="22">
        <f t="shared" si="1"/>
        <v>0.65605233298681431</v>
      </c>
      <c r="G41" s="22">
        <f>+[13]resumen_pais_alta_tek!E83/1000000</f>
        <v>6.9809479999999997</v>
      </c>
      <c r="H41" s="25">
        <f>+[13]resumen_pais_alta_tek!F83/1000000</f>
        <v>4.8527329999999997</v>
      </c>
      <c r="I41" s="22">
        <f t="shared" si="2"/>
        <v>-30.486045734762669</v>
      </c>
      <c r="J41" s="22">
        <f t="shared" si="4"/>
        <v>0.61047159224789038</v>
      </c>
      <c r="K41" s="16"/>
    </row>
    <row r="42" spans="1:11">
      <c r="A42" s="14"/>
      <c r="B42" s="9" t="str">
        <f>+[13]resumen_pais_alta_tek!B84</f>
        <v xml:space="preserve">China </v>
      </c>
      <c r="C42" s="22">
        <f>+[13]resumen_pais_alta_tek!C84/1000000</f>
        <v>586.400982</v>
      </c>
      <c r="D42" s="25">
        <f>+[13]resumen_pais_alta_tek!D84/1000000</f>
        <v>750.96359800000005</v>
      </c>
      <c r="E42" s="22">
        <f t="shared" ref="E42" si="18">IF(OR(OR(D42=0,C42=0),D42=""),"",(D42/C42-1)*100)</f>
        <v>28.063154914703059</v>
      </c>
      <c r="F42" s="22">
        <f t="shared" ref="F42" si="19">(D42/D$13)*100</f>
        <v>9.2693988135924741</v>
      </c>
      <c r="G42" s="22">
        <f>+[13]resumen_pais_alta_tek!E84/1000000</f>
        <v>76.281485000000004</v>
      </c>
      <c r="H42" s="25">
        <f>+[13]resumen_pais_alta_tek!F84/1000000</f>
        <v>100.871821</v>
      </c>
      <c r="I42" s="22">
        <f t="shared" ref="I42" si="20">IF(OR(OR(H42=0,G42=0),H42=""),"",(H42/G42-1)*100)</f>
        <v>32.236310029884699</v>
      </c>
      <c r="J42" s="22">
        <f t="shared" ref="J42" si="21">(H42/H$13)*100</f>
        <v>12.6896289531722</v>
      </c>
      <c r="K42" s="16"/>
    </row>
    <row r="43" spans="1:11">
      <c r="A43" s="14"/>
      <c r="B43" s="9" t="str">
        <f>+[13]resumen_pais_alta_tek!B85</f>
        <v xml:space="preserve">Japón </v>
      </c>
      <c r="C43" s="22">
        <f>+[13]resumen_pais_alta_tek!C85/1000000</f>
        <v>34.461404000000002</v>
      </c>
      <c r="D43" s="25">
        <f>+[13]resumen_pais_alta_tek!D85/1000000</f>
        <v>33.031934</v>
      </c>
      <c r="E43" s="22">
        <f t="shared" ref="E43" si="22">IF(OR(OR(D43=0,C43=0),D43=""),"",(D43/C43-1)*100)</f>
        <v>-4.1480318097312674</v>
      </c>
      <c r="F43" s="22">
        <f t="shared" ref="F43" si="23">(D43/D$13)*100</f>
        <v>0.40772438324003141</v>
      </c>
      <c r="G43" s="22">
        <f>+[13]resumen_pais_alta_tek!E85/1000000</f>
        <v>3.7793589999999999</v>
      </c>
      <c r="H43" s="25">
        <f>+[13]resumen_pais_alta_tek!F85/1000000</f>
        <v>4.6565469999999998</v>
      </c>
      <c r="I43" s="22">
        <f t="shared" ref="I43" si="24">IF(OR(OR(H43=0,G43=0),H43=""),"",(H43/G43-1)*100)</f>
        <v>23.209967616201578</v>
      </c>
      <c r="J43" s="22">
        <f t="shared" ref="J43" si="25">(H43/H$13)*100</f>
        <v>0.58579148316363938</v>
      </c>
      <c r="K43" s="16"/>
    </row>
    <row r="44" spans="1:11">
      <c r="A44" s="14"/>
      <c r="B44" s="9" t="s">
        <v>3</v>
      </c>
      <c r="C44" s="22">
        <f>+C13-C14-C27-C29-C41-C42-C43</f>
        <v>3194.1362106599076</v>
      </c>
      <c r="D44" s="25">
        <f>+D13-D14-D27-D29-D41-D42-D43</f>
        <v>4370.4566892297025</v>
      </c>
      <c r="E44" s="22">
        <f t="shared" si="0"/>
        <v>36.827498922682686</v>
      </c>
      <c r="F44" s="22">
        <f>(D44/D$13)*100</f>
        <v>53.946031682354722</v>
      </c>
      <c r="G44" s="22">
        <f t="shared" ref="G44:H44" si="26">+G13-G14-G27-G29-G41-G42-G43</f>
        <v>354.90035653999928</v>
      </c>
      <c r="H44" s="25">
        <f t="shared" si="26"/>
        <v>299.47429324001655</v>
      </c>
      <c r="I44" s="22">
        <f t="shared" si="2"/>
        <v>-15.617359148450415</v>
      </c>
      <c r="J44" s="22">
        <f>(H44/H$13)*100</f>
        <v>37.673729140165875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1"/>
      <c r="D9" s="111"/>
      <c r="E9" s="111"/>
      <c r="F9" s="111"/>
      <c r="G9" s="111"/>
      <c r="H9" s="11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1">
        <v>2010</v>
      </c>
      <c r="D11" s="111">
        <v>2011</v>
      </c>
      <c r="E11" s="118"/>
      <c r="F11" s="118"/>
      <c r="G11" s="111">
        <v>2010</v>
      </c>
      <c r="H11" s="111">
        <v>2011</v>
      </c>
      <c r="I11" s="118"/>
      <c r="J11" s="118"/>
      <c r="K11" s="16"/>
      <c r="N11" s="2"/>
    </row>
    <row r="12" spans="1:14" ht="12" customHeight="1">
      <c r="A12" s="14"/>
      <c r="B12" s="9"/>
      <c r="C12" s="111"/>
      <c r="D12" s="111"/>
      <c r="E12" s="111"/>
      <c r="F12" s="111"/>
      <c r="G12" s="111"/>
      <c r="H12" s="111"/>
      <c r="I12" s="111"/>
      <c r="J12" s="111"/>
      <c r="K12" s="16"/>
    </row>
    <row r="13" spans="1:14">
      <c r="A13" s="14"/>
      <c r="B13" s="10" t="s">
        <v>54</v>
      </c>
      <c r="C13" s="25">
        <f>+Principales_paises!C14</f>
        <v>4261.0379399999983</v>
      </c>
      <c r="D13" s="25">
        <f>+Principales_paises!D14</f>
        <v>6547.866178940114</v>
      </c>
      <c r="E13" s="25">
        <f>IF(OR(OR(D13=0,C13=0),D13=""),"",(D13/C13-1)*100)</f>
        <v>53.668337882485886</v>
      </c>
      <c r="F13" s="23">
        <f>(D13/D$13)*100</f>
        <v>100</v>
      </c>
      <c r="G13" s="25">
        <f>+Principales_paises!G14</f>
        <v>430.88558867999797</v>
      </c>
      <c r="H13" s="25">
        <f>+Principales_paises!H14</f>
        <v>706.8763347800068</v>
      </c>
      <c r="I13" s="25">
        <f>IF(OR(OR(H13=0,G13=0),H13=""),"",(H13/G13-1)*100)</f>
        <v>64.051978843269339</v>
      </c>
      <c r="J13" s="23">
        <f>(H13/H$13)*100</f>
        <v>100</v>
      </c>
      <c r="K13" s="16"/>
    </row>
    <row r="14" spans="1:14">
      <c r="A14" s="14"/>
      <c r="B14" s="9" t="str">
        <f>+[6]Subpartida_Pais1!B2</f>
        <v>Gasóleo</v>
      </c>
      <c r="C14" s="22">
        <f>+[6]Subpartida_Pais1!C2</f>
        <v>19.38256741</v>
      </c>
      <c r="D14" s="25">
        <f>+[6]Subpartida_Pais1!E2</f>
        <v>784.17253841000024</v>
      </c>
      <c r="E14" s="22">
        <f t="shared" ref="E14:E44" si="0">IF(OR(OR(D14=0,C14=0),D14=""),"",(D14/C14-1)*100)</f>
        <v>3945.7619562072259</v>
      </c>
      <c r="F14" s="22">
        <f t="shared" ref="F14:F44" si="1">(D14/D$13)*100</f>
        <v>11.976001295385853</v>
      </c>
      <c r="G14" s="22">
        <f>+[6]Subpartida_Pais1!D2</f>
        <v>0</v>
      </c>
      <c r="H14" s="25">
        <f>+[6]Subpartida_Pais1!F2</f>
        <v>176.79117058</v>
      </c>
      <c r="I14" s="22" t="str">
        <f t="shared" ref="I14:I44" si="2">IF(OR(OR(H14=0,G14=0),H14=""),"",(H14/G14-1)*100)</f>
        <v/>
      </c>
      <c r="J14" s="22">
        <f>(H14/H$13)*100</f>
        <v>25.010197948559238</v>
      </c>
      <c r="K14" s="16"/>
    </row>
    <row r="15" spans="1:14">
      <c r="A15" s="14"/>
      <c r="B15" s="9" t="str">
        <f>+[6]Subpartida_Pais1!B3</f>
        <v>Aviones &gt; 15 mil kg</v>
      </c>
      <c r="C15" s="22">
        <f>+[6]Subpartida_Pais1!C3</f>
        <v>145.90729166</v>
      </c>
      <c r="D15" s="25">
        <f>+[6]Subpartida_Pais1!E3</f>
        <v>521.79178515000001</v>
      </c>
      <c r="E15" s="22">
        <f t="shared" si="0"/>
        <v>257.61871748391002</v>
      </c>
      <c r="F15" s="22">
        <f t="shared" si="1"/>
        <v>7.9688828526801245</v>
      </c>
      <c r="G15" s="22">
        <f>+[6]Subpartida_Pais1!D3</f>
        <v>0</v>
      </c>
      <c r="H15" s="25">
        <f>+[6]Subpartida_Pais1!F3</f>
        <v>0</v>
      </c>
      <c r="I15" s="22" t="str">
        <f t="shared" si="2"/>
        <v/>
      </c>
      <c r="J15" s="22">
        <f t="shared" ref="J15:J44" si="3">(H15/H$13)*100</f>
        <v>0</v>
      </c>
      <c r="K15" s="16"/>
    </row>
    <row r="16" spans="1:14">
      <c r="A16" s="14"/>
      <c r="B16" s="9" t="str">
        <f>+[6]Subpartida_Pais1!B4</f>
        <v>Partes de aviones</v>
      </c>
      <c r="C16" s="22">
        <f>+[6]Subpartida_Pais1!C4</f>
        <v>85.733300309999933</v>
      </c>
      <c r="D16" s="25">
        <f>+[6]Subpartida_Pais1!E4</f>
        <v>232.86083186000019</v>
      </c>
      <c r="E16" s="22">
        <f t="shared" si="0"/>
        <v>171.61071721024052</v>
      </c>
      <c r="F16" s="22">
        <f t="shared" si="1"/>
        <v>3.5562857501417779</v>
      </c>
      <c r="G16" s="22">
        <f>+[6]Subpartida_Pais1!D4</f>
        <v>6.8788357800000046</v>
      </c>
      <c r="H16" s="25">
        <f>+[6]Subpartida_Pais1!F4</f>
        <v>8.0115121499999997</v>
      </c>
      <c r="I16" s="22">
        <f t="shared" si="2"/>
        <v>16.4661056932514</v>
      </c>
      <c r="J16" s="22">
        <f t="shared" si="3"/>
        <v>1.1333682789781516</v>
      </c>
      <c r="K16" s="16"/>
    </row>
    <row r="17" spans="1:11">
      <c r="A17" s="14"/>
      <c r="B17" s="9" t="str">
        <f>+[6]Subpartida_Pais1!B5</f>
        <v>Aparatos telecomunicación</v>
      </c>
      <c r="C17" s="22">
        <f>+[6]Subpartida_Pais1!C5</f>
        <v>95.991734509999915</v>
      </c>
      <c r="D17" s="25">
        <f>+[6]Subpartida_Pais1!E5</f>
        <v>201.8006855600002</v>
      </c>
      <c r="E17" s="22">
        <f t="shared" si="0"/>
        <v>110.22714777487188</v>
      </c>
      <c r="F17" s="22">
        <f t="shared" si="1"/>
        <v>3.0819305105692489</v>
      </c>
      <c r="G17" s="22">
        <f>+[6]Subpartida_Pais1!D5</f>
        <v>9.0546292900000029</v>
      </c>
      <c r="H17" s="25">
        <f>+[6]Subpartida_Pais1!F5</f>
        <v>18.238479229999992</v>
      </c>
      <c r="I17" s="22">
        <f t="shared" si="2"/>
        <v>101.42712247913562</v>
      </c>
      <c r="J17" s="22">
        <f t="shared" si="3"/>
        <v>2.5801513408531562</v>
      </c>
      <c r="K17" s="16"/>
    </row>
    <row r="18" spans="1:11">
      <c r="A18" s="14"/>
      <c r="B18" s="9" t="str">
        <f>+[6]Subpartida_Pais1!B6</f>
        <v>Portátiles</v>
      </c>
      <c r="C18" s="22">
        <f>+[6]Subpartida_Pais1!C6</f>
        <v>240.74901943</v>
      </c>
      <c r="D18" s="25">
        <f>+[6]Subpartida_Pais1!E6</f>
        <v>195.78041064000016</v>
      </c>
      <c r="E18" s="22">
        <f t="shared" si="0"/>
        <v>-18.678625938526359</v>
      </c>
      <c r="F18" s="22">
        <f t="shared" si="1"/>
        <v>2.9899879638604743</v>
      </c>
      <c r="G18" s="22">
        <f>+[6]Subpartida_Pais1!D6</f>
        <v>20.870117870000019</v>
      </c>
      <c r="H18" s="25">
        <f>+[6]Subpartida_Pais1!F6</f>
        <v>16.733392610000003</v>
      </c>
      <c r="I18" s="22">
        <f t="shared" si="2"/>
        <v>-19.8212836447196</v>
      </c>
      <c r="J18" s="22">
        <f t="shared" si="3"/>
        <v>2.3672305588229587</v>
      </c>
      <c r="K18" s="16"/>
    </row>
    <row r="19" spans="1:11">
      <c r="A19" s="14"/>
      <c r="B19" s="9" t="str">
        <f>+[6]Subpartida_Pais1!B7</f>
        <v>Teléfonos móviles</v>
      </c>
      <c r="C19" s="22">
        <f>+[6]Subpartida_Pais1!C7</f>
        <v>127.97991176000001</v>
      </c>
      <c r="D19" s="25">
        <f>+[6]Subpartida_Pais1!E7</f>
        <v>171.76314200000027</v>
      </c>
      <c r="E19" s="22">
        <f t="shared" si="0"/>
        <v>34.211017680733136</v>
      </c>
      <c r="F19" s="22">
        <f t="shared" si="1"/>
        <v>2.6231926142968782</v>
      </c>
      <c r="G19" s="22">
        <f>+[6]Subpartida_Pais1!D7</f>
        <v>13.826802320000002</v>
      </c>
      <c r="H19" s="25">
        <f>+[6]Subpartida_Pais1!F7</f>
        <v>24.573414390000014</v>
      </c>
      <c r="I19" s="22">
        <f t="shared" si="2"/>
        <v>77.723047030587836</v>
      </c>
      <c r="J19" s="22">
        <f t="shared" si="3"/>
        <v>3.4763385306494552</v>
      </c>
      <c r="K19" s="16"/>
    </row>
    <row r="20" spans="1:11">
      <c r="A20" s="14"/>
      <c r="B20" s="9" t="str">
        <f>+[6]Subpartida_Pais1!B8</f>
        <v>Aceites livianos</v>
      </c>
      <c r="C20" s="22">
        <f>+[6]Subpartida_Pais1!C8</f>
        <v>15.145601250000004</v>
      </c>
      <c r="D20" s="25">
        <f>+[6]Subpartida_Pais1!E8</f>
        <v>87.087275019999993</v>
      </c>
      <c r="E20" s="22">
        <f t="shared" si="0"/>
        <v>475.00044786931107</v>
      </c>
      <c r="F20" s="22">
        <f t="shared" si="1"/>
        <v>1.330010000816733</v>
      </c>
      <c r="G20" s="22">
        <f>+[6]Subpartida_Pais1!D8</f>
        <v>1.5191699999999999E-2</v>
      </c>
      <c r="H20" s="25">
        <f>+[6]Subpartida_Pais1!F8</f>
        <v>6.2596300000000004E-3</v>
      </c>
      <c r="I20" s="22">
        <f t="shared" si="2"/>
        <v>-58.795723980857964</v>
      </c>
      <c r="J20" s="22">
        <f t="shared" si="3"/>
        <v>8.8553396004523405E-4</v>
      </c>
      <c r="K20" s="16"/>
    </row>
    <row r="21" spans="1:11">
      <c r="A21" s="14"/>
      <c r="B21" s="9" t="str">
        <f>+[6]Subpartida_Pais1!B9</f>
        <v>Máq. procesamiento datos</v>
      </c>
      <c r="C21" s="22">
        <f>+[6]Subpartida_Pais1!C9</f>
        <v>87.251915069999711</v>
      </c>
      <c r="D21" s="25">
        <f>+[6]Subpartida_Pais1!E9</f>
        <v>79.925889470000314</v>
      </c>
      <c r="E21" s="22">
        <f t="shared" si="0"/>
        <v>-8.3964066509278794</v>
      </c>
      <c r="F21" s="22">
        <f t="shared" si="1"/>
        <v>1.2206402404353613</v>
      </c>
      <c r="G21" s="22">
        <f>+[6]Subpartida_Pais1!D9</f>
        <v>7.7914235900000053</v>
      </c>
      <c r="H21" s="25">
        <f>+[6]Subpartida_Pais1!F9</f>
        <v>7.3472497699999977</v>
      </c>
      <c r="I21" s="22">
        <f t="shared" si="2"/>
        <v>-5.7008044148708308</v>
      </c>
      <c r="J21" s="22">
        <f t="shared" si="3"/>
        <v>1.0393967669446169</v>
      </c>
      <c r="K21" s="16"/>
    </row>
    <row r="22" spans="1:11">
      <c r="A22" s="14"/>
      <c r="B22" s="9" t="str">
        <f>+[6]Subpartida_Pais1!B10</f>
        <v>Máquinas autopropulsadas</v>
      </c>
      <c r="C22" s="22">
        <f>+[6]Subpartida_Pais1!C10</f>
        <v>32.396381850000012</v>
      </c>
      <c r="D22" s="25">
        <f>+[6]Subpartida_Pais1!E10</f>
        <v>59.218692100000005</v>
      </c>
      <c r="E22" s="22">
        <f t="shared" si="0"/>
        <v>82.794153909505127</v>
      </c>
      <c r="F22" s="22">
        <f t="shared" si="1"/>
        <v>0.90439679861608868</v>
      </c>
      <c r="G22" s="22">
        <f>+[6]Subpartida_Pais1!D10</f>
        <v>2.2316568600000002</v>
      </c>
      <c r="H22" s="25">
        <f>+[6]Subpartida_Pais1!F10</f>
        <v>5.0370754799999995</v>
      </c>
      <c r="I22" s="22">
        <f t="shared" si="2"/>
        <v>125.71012462910622</v>
      </c>
      <c r="J22" s="22">
        <f t="shared" si="3"/>
        <v>0.71258227672420693</v>
      </c>
      <c r="K22" s="16"/>
    </row>
    <row r="23" spans="1:11">
      <c r="A23" s="14"/>
      <c r="B23" s="9" t="str">
        <f>+[6]Subpartida_Pais1!B11</f>
        <v>Unidades de proceso</v>
      </c>
      <c r="C23" s="22">
        <f>+[6]Subpartida_Pais1!C11</f>
        <v>45.819335590000122</v>
      </c>
      <c r="D23" s="25">
        <f>+[6]Subpartida_Pais1!E11</f>
        <v>57.776587870000078</v>
      </c>
      <c r="E23" s="22">
        <f t="shared" si="0"/>
        <v>26.096520444983451</v>
      </c>
      <c r="F23" s="22">
        <f t="shared" si="1"/>
        <v>0.882372765280799</v>
      </c>
      <c r="G23" s="22">
        <f>+[6]Subpartida_Pais1!D11</f>
        <v>3.4062846499999995</v>
      </c>
      <c r="H23" s="25">
        <f>+[6]Subpartida_Pais1!F11</f>
        <v>3.7515352299999991</v>
      </c>
      <c r="I23" s="22">
        <f t="shared" si="2"/>
        <v>10.135693738924601</v>
      </c>
      <c r="J23" s="22">
        <f t="shared" si="3"/>
        <v>0.53072016212956785</v>
      </c>
      <c r="K23" s="16"/>
    </row>
    <row r="24" spans="1:11">
      <c r="A24" s="14"/>
      <c r="B24" s="9" t="str">
        <f>+[6]Subpartida_Pais1!B12</f>
        <v>Partes máquinas de sondeo</v>
      </c>
      <c r="C24" s="22">
        <f>+[6]Subpartida_Pais1!C12</f>
        <v>28.642791960000075</v>
      </c>
      <c r="D24" s="25">
        <f>+[6]Subpartida_Pais1!E12</f>
        <v>55.30672853999981</v>
      </c>
      <c r="E24" s="22">
        <f t="shared" si="0"/>
        <v>93.091262252772594</v>
      </c>
      <c r="F24" s="22">
        <f t="shared" si="1"/>
        <v>0.84465270102621681</v>
      </c>
      <c r="G24" s="22">
        <f>+[6]Subpartida_Pais1!D12</f>
        <v>3.8132893500000002</v>
      </c>
      <c r="H24" s="25">
        <f>+[6]Subpartida_Pais1!F12</f>
        <v>3.4006231399999973</v>
      </c>
      <c r="I24" s="22">
        <f t="shared" si="2"/>
        <v>-10.82179116567703</v>
      </c>
      <c r="J24" s="22">
        <f t="shared" si="3"/>
        <v>0.48107751988306913</v>
      </c>
      <c r="K24" s="16"/>
    </row>
    <row r="25" spans="1:11">
      <c r="A25" s="14"/>
      <c r="B25" s="9" t="str">
        <f>+[6]Subpartida_Pais1!B13</f>
        <v>Impresoras, copiadoras</v>
      </c>
      <c r="C25" s="22">
        <f>+[6]Subpartida_Pais1!C13</f>
        <v>50.538862330000086</v>
      </c>
      <c r="D25" s="25">
        <f>+[6]Subpartida_Pais1!E13</f>
        <v>53.956180140000001</v>
      </c>
      <c r="E25" s="22">
        <f t="shared" si="0"/>
        <v>6.7617624387468211</v>
      </c>
      <c r="F25" s="22">
        <f t="shared" si="1"/>
        <v>0.82402692213746109</v>
      </c>
      <c r="G25" s="22">
        <f>+[6]Subpartida_Pais1!D13</f>
        <v>5.025883509999999</v>
      </c>
      <c r="H25" s="25">
        <f>+[6]Subpartida_Pais1!F13</f>
        <v>5.4874773699999979</v>
      </c>
      <c r="I25" s="22">
        <f t="shared" si="2"/>
        <v>9.1843326468185271</v>
      </c>
      <c r="J25" s="22">
        <f t="shared" si="3"/>
        <v>0.77629948832673878</v>
      </c>
      <c r="K25" s="16"/>
    </row>
    <row r="26" spans="1:11">
      <c r="A26" s="14"/>
      <c r="B26" s="9" t="str">
        <f>+[6]Subpartida_Pais1!B14</f>
        <v>Aviones 2 mil y 15 mil kg</v>
      </c>
      <c r="C26" s="22">
        <f>+[6]Subpartida_Pais1!C14</f>
        <v>98.247004229999988</v>
      </c>
      <c r="D26" s="25">
        <f>+[6]Subpartida_Pais1!E14</f>
        <v>46.63678191999999</v>
      </c>
      <c r="E26" s="22">
        <f t="shared" si="0"/>
        <v>-52.531090097341291</v>
      </c>
      <c r="F26" s="22">
        <f t="shared" si="1"/>
        <v>0.71224396842436644</v>
      </c>
      <c r="G26" s="22">
        <f>+[6]Subpartida_Pais1!D14</f>
        <v>0.576075</v>
      </c>
      <c r="H26" s="25">
        <f>+[6]Subpartida_Pais1!F14</f>
        <v>15.42339449</v>
      </c>
      <c r="I26" s="22">
        <f t="shared" si="2"/>
        <v>2577.3240446122463</v>
      </c>
      <c r="J26" s="22">
        <f t="shared" si="3"/>
        <v>2.1819084514691034</v>
      </c>
      <c r="K26" s="16"/>
    </row>
    <row r="27" spans="1:11">
      <c r="A27" s="14"/>
      <c r="B27" s="9" t="str">
        <f>+[6]Subpartida_Pais1!B15</f>
        <v>Medicamentos uso humano</v>
      </c>
      <c r="C27" s="22">
        <f>+[6]Subpartida_Pais1!C15</f>
        <v>39.905615710000028</v>
      </c>
      <c r="D27" s="25">
        <f>+[6]Subpartida_Pais1!E15</f>
        <v>45.346275929999898</v>
      </c>
      <c r="E27" s="22">
        <f t="shared" si="0"/>
        <v>13.633821012906932</v>
      </c>
      <c r="F27" s="22">
        <f t="shared" si="1"/>
        <v>0.69253516627824518</v>
      </c>
      <c r="G27" s="22">
        <f>+[6]Subpartida_Pais1!D15</f>
        <v>5.0802540100000009</v>
      </c>
      <c r="H27" s="25">
        <f>+[6]Subpartida_Pais1!F15</f>
        <v>4.3596746</v>
      </c>
      <c r="I27" s="22">
        <f t="shared" si="2"/>
        <v>-14.183924830955464</v>
      </c>
      <c r="J27" s="22">
        <f t="shared" si="3"/>
        <v>0.61675209446031498</v>
      </c>
      <c r="K27" s="16"/>
    </row>
    <row r="28" spans="1:11">
      <c r="A28" s="14"/>
      <c r="B28" s="9" t="str">
        <f>+[6]Subpartida_Pais1!B16</f>
        <v>Aditivos peptizantes</v>
      </c>
      <c r="C28" s="22">
        <f>+[6]Subpartida_Pais1!C16</f>
        <v>25.7137642</v>
      </c>
      <c r="D28" s="25">
        <f>+[6]Subpartida_Pais1!E16</f>
        <v>44.346464620000006</v>
      </c>
      <c r="E28" s="22">
        <f t="shared" si="0"/>
        <v>72.461971242623463</v>
      </c>
      <c r="F28" s="22">
        <f t="shared" si="1"/>
        <v>0.67726589713503049</v>
      </c>
      <c r="G28" s="22">
        <f>+[6]Subpartida_Pais1!D16</f>
        <v>2.9968257999999999</v>
      </c>
      <c r="H28" s="25">
        <f>+[6]Subpartida_Pais1!F16</f>
        <v>4.7382145100000024</v>
      </c>
      <c r="I28" s="22">
        <f t="shared" si="2"/>
        <v>58.107772230204468</v>
      </c>
      <c r="J28" s="22">
        <f t="shared" si="3"/>
        <v>0.67030317424258146</v>
      </c>
      <c r="K28" s="16"/>
    </row>
    <row r="29" spans="1:11">
      <c r="A29" s="14"/>
      <c r="B29" s="9" t="str">
        <f>+[6]Subpartida_Pais1!B17</f>
        <v>Aparatos de medicina</v>
      </c>
      <c r="C29" s="22">
        <f>+[6]Subpartida_Pais1!C17</f>
        <v>34.226017239999976</v>
      </c>
      <c r="D29" s="25">
        <f>+[6]Subpartida_Pais1!E17</f>
        <v>42.676880009999977</v>
      </c>
      <c r="E29" s="22">
        <f t="shared" si="0"/>
        <v>24.691341416504265</v>
      </c>
      <c r="F29" s="22">
        <f t="shared" si="1"/>
        <v>0.65176774912201973</v>
      </c>
      <c r="G29" s="22">
        <f>+[6]Subpartida_Pais1!D17</f>
        <v>3.0601953599999985</v>
      </c>
      <c r="H29" s="25">
        <f>+[6]Subpartida_Pais1!F17</f>
        <v>4.8238538899999996</v>
      </c>
      <c r="I29" s="22">
        <f t="shared" si="2"/>
        <v>57.632220251454868</v>
      </c>
      <c r="J29" s="22">
        <f t="shared" si="3"/>
        <v>0.68241835985374633</v>
      </c>
      <c r="K29" s="16"/>
    </row>
    <row r="30" spans="1:11">
      <c r="A30" s="14"/>
      <c r="B30" s="9" t="str">
        <f>+[6]Subpartida_Pais1!B18</f>
        <v>Máquinas de sondeo</v>
      </c>
      <c r="C30" s="22">
        <f>+[6]Subpartida_Pais1!C18</f>
        <v>45.016516239999987</v>
      </c>
      <c r="D30" s="25">
        <f>+[6]Subpartida_Pais1!E18</f>
        <v>38.765636570000012</v>
      </c>
      <c r="E30" s="22">
        <f t="shared" si="0"/>
        <v>-13.885747259237435</v>
      </c>
      <c r="F30" s="22">
        <f t="shared" si="1"/>
        <v>0.59203464931341809</v>
      </c>
      <c r="G30" s="22">
        <f>+[6]Subpartida_Pais1!D18</f>
        <v>21.567455360000004</v>
      </c>
      <c r="H30" s="25">
        <f>+[6]Subpartida_Pais1!F18</f>
        <v>8.5534579600000011</v>
      </c>
      <c r="I30" s="22">
        <f t="shared" si="2"/>
        <v>-60.340903378598675</v>
      </c>
      <c r="J30" s="22">
        <f t="shared" si="3"/>
        <v>1.2100359764713298</v>
      </c>
      <c r="K30" s="16"/>
    </row>
    <row r="31" spans="1:11">
      <c r="A31" s="14"/>
      <c r="B31" s="9" t="str">
        <f>+[6]Subpartida_Pais1!B19</f>
        <v>Camperos &gt; 3 mil cm3</v>
      </c>
      <c r="C31" s="22">
        <f>+[6]Subpartida_Pais1!C19</f>
        <v>17.511388290000003</v>
      </c>
      <c r="D31" s="25">
        <f>+[6]Subpartida_Pais1!E19</f>
        <v>36.135748490000054</v>
      </c>
      <c r="E31" s="22">
        <f t="shared" si="0"/>
        <v>106.35570345176811</v>
      </c>
      <c r="F31" s="22">
        <f t="shared" si="1"/>
        <v>0.5518706018492463</v>
      </c>
      <c r="G31" s="22">
        <f>+[6]Subpartida_Pais1!D19</f>
        <v>1.22846703</v>
      </c>
      <c r="H31" s="25">
        <f>+[6]Subpartida_Pais1!F19</f>
        <v>11.284707579999997</v>
      </c>
      <c r="I31" s="22">
        <f t="shared" si="2"/>
        <v>818.60076863438474</v>
      </c>
      <c r="J31" s="22">
        <f t="shared" si="3"/>
        <v>1.5964189243245794</v>
      </c>
      <c r="K31" s="16"/>
    </row>
    <row r="32" spans="1:11">
      <c r="A32" s="14"/>
      <c r="B32" s="9" t="str">
        <f>+[6]Subpartida_Pais1!B20</f>
        <v>Aparatos para regulación</v>
      </c>
      <c r="C32" s="22">
        <f>+[6]Subpartida_Pais1!C20</f>
        <v>22.134254400000035</v>
      </c>
      <c r="D32" s="25">
        <f>+[6]Subpartida_Pais1!E20</f>
        <v>34.521881010000001</v>
      </c>
      <c r="E32" s="22">
        <f t="shared" si="0"/>
        <v>55.965863525992312</v>
      </c>
      <c r="F32" s="22">
        <f t="shared" si="1"/>
        <v>0.52722337425026555</v>
      </c>
      <c r="G32" s="22">
        <f>+[6]Subpartida_Pais1!D20</f>
        <v>1.2781837400000002</v>
      </c>
      <c r="H32" s="25">
        <f>+[6]Subpartida_Pais1!F20</f>
        <v>5.0702637699999995</v>
      </c>
      <c r="I32" s="22">
        <f t="shared" si="2"/>
        <v>296.67722341703382</v>
      </c>
      <c r="J32" s="22">
        <f t="shared" si="3"/>
        <v>0.71727733983030584</v>
      </c>
      <c r="K32" s="16"/>
    </row>
    <row r="33" spans="1:11">
      <c r="A33" s="14"/>
      <c r="B33" s="9" t="str">
        <f>+[6]Subpartida_Pais1!B21</f>
        <v>Partes de turborreactores</v>
      </c>
      <c r="C33" s="22">
        <f>+[6]Subpartida_Pais1!C21</f>
        <v>22.740642359999978</v>
      </c>
      <c r="D33" s="25">
        <f>+[6]Subpartida_Pais1!E21</f>
        <v>34.451051039999982</v>
      </c>
      <c r="E33" s="22">
        <f t="shared" si="0"/>
        <v>51.495505248339946</v>
      </c>
      <c r="F33" s="22">
        <f t="shared" si="1"/>
        <v>0.52614164826405296</v>
      </c>
      <c r="G33" s="22">
        <f>+[6]Subpartida_Pais1!D21</f>
        <v>1.4770726700000003</v>
      </c>
      <c r="H33" s="25">
        <f>+[6]Subpartida_Pais1!F21</f>
        <v>3.4432754600000002</v>
      </c>
      <c r="I33" s="22">
        <f t="shared" si="2"/>
        <v>133.11483110712484</v>
      </c>
      <c r="J33" s="22">
        <f t="shared" si="3"/>
        <v>0.48711143527978096</v>
      </c>
      <c r="K33" s="16"/>
    </row>
    <row r="34" spans="1:11">
      <c r="A34" s="14"/>
      <c r="B34" s="9" t="str">
        <f>+[6]Subpartida_Pais1!B22</f>
        <v>Polietileno</v>
      </c>
      <c r="C34" s="22">
        <f>+[6]Subpartida_Pais1!C22</f>
        <v>31.532154110000022</v>
      </c>
      <c r="D34" s="25">
        <f>+[6]Subpartida_Pais1!E22</f>
        <v>30.983000310000023</v>
      </c>
      <c r="E34" s="22">
        <f t="shared" si="0"/>
        <v>-1.7415676648169232</v>
      </c>
      <c r="F34" s="22">
        <f t="shared" si="1"/>
        <v>0.47317705437613505</v>
      </c>
      <c r="G34" s="22">
        <f>+[6]Subpartida_Pais1!D22</f>
        <v>3.2793032000000011</v>
      </c>
      <c r="H34" s="25">
        <f>+[6]Subpartida_Pais1!F22</f>
        <v>2.07758932</v>
      </c>
      <c r="I34" s="22">
        <f t="shared" si="2"/>
        <v>-36.645403206388508</v>
      </c>
      <c r="J34" s="22">
        <f t="shared" si="3"/>
        <v>0.29391128515380061</v>
      </c>
      <c r="K34" s="16"/>
    </row>
    <row r="35" spans="1:11">
      <c r="A35" s="14"/>
      <c r="B35" s="9" t="str">
        <f>+[6]Subpartida_Pais1!B23</f>
        <v>Volquetes automotores</v>
      </c>
      <c r="C35" s="22">
        <f>+[6]Subpartida_Pais1!C23</f>
        <v>16.215755499999997</v>
      </c>
      <c r="D35" s="25">
        <f>+[6]Subpartida_Pais1!E23</f>
        <v>28.917293020000006</v>
      </c>
      <c r="E35" s="22">
        <f t="shared" si="0"/>
        <v>78.328373414362432</v>
      </c>
      <c r="F35" s="22">
        <f t="shared" si="1"/>
        <v>0.44162926104089645</v>
      </c>
      <c r="G35" s="22">
        <f>+[6]Subpartida_Pais1!D23</f>
        <v>0.3484043</v>
      </c>
      <c r="H35" s="25">
        <f>+[6]Subpartida_Pais1!F23</f>
        <v>2.7949089099999997</v>
      </c>
      <c r="I35" s="22">
        <f t="shared" si="2"/>
        <v>702.20275983964586</v>
      </c>
      <c r="J35" s="22">
        <f t="shared" si="3"/>
        <v>0.39538866594958616</v>
      </c>
      <c r="K35" s="16"/>
    </row>
    <row r="36" spans="1:11">
      <c r="A36" s="14"/>
      <c r="B36" s="9" t="str">
        <f>+[6]Subpartida_Pais1!B24</f>
        <v>Unidades de memoria</v>
      </c>
      <c r="C36" s="22">
        <f>+[6]Subpartida_Pais1!C24</f>
        <v>22.711407989999973</v>
      </c>
      <c r="D36" s="25">
        <f>+[6]Subpartida_Pais1!E24</f>
        <v>28.876431750000144</v>
      </c>
      <c r="E36" s="22">
        <f t="shared" si="0"/>
        <v>27.145053105975126</v>
      </c>
      <c r="F36" s="22">
        <f t="shared" si="1"/>
        <v>0.44100522156172561</v>
      </c>
      <c r="G36" s="22">
        <f>+[6]Subpartida_Pais1!D24</f>
        <v>1.7197110399999984</v>
      </c>
      <c r="H36" s="25">
        <f>+[6]Subpartida_Pais1!F24</f>
        <v>2.4223746799999994</v>
      </c>
      <c r="I36" s="22">
        <f t="shared" si="2"/>
        <v>40.85940158876933</v>
      </c>
      <c r="J36" s="22">
        <f t="shared" si="3"/>
        <v>0.34268719446576013</v>
      </c>
      <c r="K36" s="16"/>
    </row>
    <row r="37" spans="1:11">
      <c r="A37" s="14"/>
      <c r="B37" s="9" t="str">
        <f>+[6]Subpartida_Pais1!B25</f>
        <v>Aparatos para filtrar gases</v>
      </c>
      <c r="C37" s="22">
        <f>+[6]Subpartida_Pais1!C25</f>
        <v>18.175841460000001</v>
      </c>
      <c r="D37" s="25">
        <f>+[6]Subpartida_Pais1!E25</f>
        <v>28.782175710000015</v>
      </c>
      <c r="E37" s="22">
        <f t="shared" si="0"/>
        <v>58.354020491109715</v>
      </c>
      <c r="F37" s="22">
        <f t="shared" si="1"/>
        <v>0.43956572910075736</v>
      </c>
      <c r="G37" s="22">
        <f>+[6]Subpartida_Pais1!D25</f>
        <v>14.29922783</v>
      </c>
      <c r="H37" s="25">
        <f>+[6]Subpartida_Pais1!F25</f>
        <v>0.3599052399999999</v>
      </c>
      <c r="I37" s="22">
        <f t="shared" si="2"/>
        <v>-97.483044229528858</v>
      </c>
      <c r="J37" s="22">
        <f t="shared" si="3"/>
        <v>5.0914880339290064E-2</v>
      </c>
      <c r="K37" s="16"/>
    </row>
    <row r="38" spans="1:11">
      <c r="A38" s="14"/>
      <c r="B38" s="9" t="str">
        <f>+[6]Subpartida_Pais1!B26</f>
        <v>Aparatos navegacion aérea</v>
      </c>
      <c r="C38" s="22">
        <f>+[6]Subpartida_Pais1!C26</f>
        <v>19.659957150000007</v>
      </c>
      <c r="D38" s="25">
        <f>+[6]Subpartida_Pais1!E26</f>
        <v>28.56879336000004</v>
      </c>
      <c r="E38" s="22">
        <f t="shared" si="0"/>
        <v>45.314626792052934</v>
      </c>
      <c r="F38" s="22">
        <f t="shared" si="1"/>
        <v>0.43630692166382057</v>
      </c>
      <c r="G38" s="22">
        <f>+[6]Subpartida_Pais1!D26</f>
        <v>1.9127667799999997</v>
      </c>
      <c r="H38" s="25">
        <f>+[6]Subpartida_Pais1!F26</f>
        <v>2.8592504199999986</v>
      </c>
      <c r="I38" s="22">
        <f t="shared" si="2"/>
        <v>49.482438209220625</v>
      </c>
      <c r="J38" s="22">
        <f t="shared" si="3"/>
        <v>0.40449089597685439</v>
      </c>
      <c r="K38" s="16"/>
    </row>
    <row r="39" spans="1:11">
      <c r="A39" s="14"/>
      <c r="B39" s="9" t="str">
        <f>+[6]Subpartida_Pais1!B27</f>
        <v>Partes de bombas</v>
      </c>
      <c r="C39" s="22">
        <f>+[6]Subpartida_Pais1!C27</f>
        <v>20.161131019999996</v>
      </c>
      <c r="D39" s="25">
        <f>+[6]Subpartida_Pais1!E27</f>
        <v>27.842133720000028</v>
      </c>
      <c r="E39" s="22">
        <f t="shared" si="0"/>
        <v>38.09807442043018</v>
      </c>
      <c r="F39" s="22">
        <f t="shared" si="1"/>
        <v>0.42520926602850584</v>
      </c>
      <c r="G39" s="22">
        <f>+[6]Subpartida_Pais1!D27</f>
        <v>2.9197060999999991</v>
      </c>
      <c r="H39" s="25">
        <f>+[6]Subpartida_Pais1!F27</f>
        <v>2.2361590500000008</v>
      </c>
      <c r="I39" s="22">
        <f t="shared" si="2"/>
        <v>-23.411501931649848</v>
      </c>
      <c r="J39" s="22">
        <f t="shared" si="3"/>
        <v>0.31634374217605338</v>
      </c>
      <c r="K39" s="16"/>
    </row>
    <row r="40" spans="1:11">
      <c r="A40" s="14"/>
      <c r="B40" s="9" t="str">
        <f>+[6]Subpartida_Pais1!B28</f>
        <v>Reactivos de diagnóstico</v>
      </c>
      <c r="C40" s="22">
        <f>+[6]Subpartida_Pais1!C28</f>
        <v>22.909288150000005</v>
      </c>
      <c r="D40" s="25">
        <f>+[6]Subpartida_Pais1!E28</f>
        <v>27.624283969999968</v>
      </c>
      <c r="E40" s="22">
        <f t="shared" si="0"/>
        <v>20.581153762300385</v>
      </c>
      <c r="F40" s="22">
        <f t="shared" si="1"/>
        <v>0.4218822317848811</v>
      </c>
      <c r="G40" s="22">
        <f>+[6]Subpartida_Pais1!D28</f>
        <v>1.6761941599999997</v>
      </c>
      <c r="H40" s="25">
        <f>+[6]Subpartida_Pais1!F28</f>
        <v>2.7035278100000002</v>
      </c>
      <c r="I40" s="22">
        <f t="shared" si="2"/>
        <v>61.289656921367673</v>
      </c>
      <c r="J40" s="22">
        <f t="shared" si="3"/>
        <v>0.38246121379086606</v>
      </c>
      <c r="K40" s="16"/>
    </row>
    <row r="41" spans="1:11">
      <c r="A41" s="14"/>
      <c r="B41" s="9" t="str">
        <f>+[6]Subpartida_Pais1!B29</f>
        <v>Armas de guerra</v>
      </c>
      <c r="C41" s="22">
        <f>+[6]Subpartida_Pais1!C29</f>
        <v>16.040168749999999</v>
      </c>
      <c r="D41" s="25">
        <f>+[6]Subpartida_Pais1!E29</f>
        <v>27.079749240000002</v>
      </c>
      <c r="E41" s="22">
        <f t="shared" si="0"/>
        <v>68.824590701391486</v>
      </c>
      <c r="F41" s="22">
        <f t="shared" si="1"/>
        <v>0.41356601524778458</v>
      </c>
      <c r="G41" s="22">
        <f>+[6]Subpartida_Pais1!D29</f>
        <v>4.2318149899999993</v>
      </c>
      <c r="H41" s="25">
        <f>+[6]Subpartida_Pais1!F29</f>
        <v>0</v>
      </c>
      <c r="I41" s="22" t="str">
        <f t="shared" si="2"/>
        <v/>
      </c>
      <c r="J41" s="22">
        <f t="shared" si="3"/>
        <v>0</v>
      </c>
      <c r="K41" s="16"/>
    </row>
    <row r="42" spans="1:11">
      <c r="A42" s="14"/>
      <c r="B42" s="9" t="str">
        <f>+[6]Subpartida_Pais1!B30</f>
        <v>Complementos alimenticios</v>
      </c>
      <c r="C42" s="22">
        <f>+[6]Subpartida_Pais1!C30</f>
        <v>11.655772170000006</v>
      </c>
      <c r="D42" s="25">
        <f>+[6]Subpartida_Pais1!E30</f>
        <v>25.835211749999999</v>
      </c>
      <c r="E42" s="22">
        <f t="shared" si="0"/>
        <v>121.65165356007459</v>
      </c>
      <c r="F42" s="22">
        <f t="shared" si="1"/>
        <v>0.39455925096779965</v>
      </c>
      <c r="G42" s="22">
        <f>+[6]Subpartida_Pais1!D30</f>
        <v>1.0385887999999999</v>
      </c>
      <c r="H42" s="25">
        <f>+[6]Subpartida_Pais1!F30</f>
        <v>3.0319890100000002</v>
      </c>
      <c r="I42" s="22">
        <f t="shared" si="2"/>
        <v>191.93353615983543</v>
      </c>
      <c r="J42" s="22">
        <f t="shared" si="3"/>
        <v>0.4289277856421112</v>
      </c>
      <c r="K42" s="16"/>
    </row>
    <row r="43" spans="1:11">
      <c r="A43" s="14"/>
      <c r="B43" s="9" t="str">
        <f>+[6]Subpartida_Pais1!B31</f>
        <v>Copolímeros de etileno</v>
      </c>
      <c r="C43" s="22">
        <f>+[6]Subpartida_Pais1!C31</f>
        <v>27.242341259999996</v>
      </c>
      <c r="D43" s="25">
        <f>+[6]Subpartida_Pais1!E31</f>
        <v>25.363252550000009</v>
      </c>
      <c r="E43" s="22">
        <f t="shared" si="0"/>
        <v>-6.8976770097181728</v>
      </c>
      <c r="F43" s="22">
        <f t="shared" si="1"/>
        <v>0.38735141887254476</v>
      </c>
      <c r="G43" s="22">
        <f>+[6]Subpartida_Pais1!D31</f>
        <v>2.0024267</v>
      </c>
      <c r="H43" s="25">
        <f>+[6]Subpartida_Pais1!F31</f>
        <v>2.3427958699999998</v>
      </c>
      <c r="I43" s="22">
        <f t="shared" si="2"/>
        <v>16.997834177900238</v>
      </c>
      <c r="J43" s="22">
        <f t="shared" si="3"/>
        <v>0.33142938230194419</v>
      </c>
      <c r="K43" s="16"/>
    </row>
    <row r="44" spans="1:11">
      <c r="A44" s="14"/>
      <c r="B44" s="9" t="s">
        <v>3</v>
      </c>
      <c r="C44" s="22">
        <f>+C13-SUM(C14:C43)</f>
        <v>2773.7002066399982</v>
      </c>
      <c r="D44" s="25">
        <f>+D13-SUM(D14:D43)</f>
        <v>3443.672387210112</v>
      </c>
      <c r="E44" s="22">
        <f t="shared" si="0"/>
        <v>24.154455444256673</v>
      </c>
      <c r="F44" s="22">
        <f t="shared" si="1"/>
        <v>52.592284159471482</v>
      </c>
      <c r="G44" s="22">
        <f>+G13-SUM(G14:G43)</f>
        <v>287.27880088999791</v>
      </c>
      <c r="H44" s="25">
        <f>+H13-SUM(H14:H43)</f>
        <v>358.9728026300067</v>
      </c>
      <c r="I44" s="22">
        <f t="shared" si="2"/>
        <v>24.956245124213396</v>
      </c>
      <c r="J44" s="22">
        <f t="shared" si="3"/>
        <v>50.782970792440771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2">
        <v>2010</v>
      </c>
      <c r="D11" s="112">
        <v>2011</v>
      </c>
      <c r="E11" s="118"/>
      <c r="F11" s="118"/>
      <c r="G11" s="112">
        <v>2010</v>
      </c>
      <c r="H11" s="112">
        <v>2011</v>
      </c>
      <c r="I11" s="118"/>
      <c r="J11" s="118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54</v>
      </c>
      <c r="C13" s="25">
        <f>+Principales_paises!C15</f>
        <v>1484.1047346101475</v>
      </c>
      <c r="D13" s="25">
        <f>+Principales_paises!D15</f>
        <v>2927.892935710066</v>
      </c>
      <c r="E13" s="25">
        <f>IF(OR(OR(D13=0,C13=0),D13=""),"",(D13/C13-1)*100)</f>
        <v>97.283444182204605</v>
      </c>
      <c r="F13" s="23">
        <f>(D13/D$13)*100</f>
        <v>100</v>
      </c>
      <c r="G13" s="25">
        <f>+Principales_paises!G15</f>
        <v>149.63454290000027</v>
      </c>
      <c r="H13" s="25">
        <f>+Principales_paises!H15</f>
        <v>408.73668390999865</v>
      </c>
      <c r="I13" s="25">
        <f>IF(OR(OR(H13=0,G13=0),H13=""),"",(H13/G13-1)*100)</f>
        <v>173.15663615396249</v>
      </c>
      <c r="J13" s="23">
        <f>(H13/H$13)*100</f>
        <v>100</v>
      </c>
      <c r="K13" s="16"/>
    </row>
    <row r="14" spans="1:14">
      <c r="A14" s="14"/>
      <c r="B14" s="9" t="str">
        <f>+[6]Subpartida_pais2!B2</f>
        <v>Vehículos 1.500 y 3.000 cm3</v>
      </c>
      <c r="C14" s="22">
        <f>+[6]Subpartida_pais2!C2</f>
        <v>177.29921241000071</v>
      </c>
      <c r="D14" s="25">
        <f>+[6]Subpartida_pais2!E2</f>
        <v>408.99380967999946</v>
      </c>
      <c r="E14" s="22">
        <f t="shared" ref="E14:E44" si="0">IF(OR(OR(D14=0,C14=0),D14=""),"",(D14/C14-1)*100)</f>
        <v>130.67999238158481</v>
      </c>
      <c r="F14" s="22">
        <f t="shared" ref="F14:F44" si="1">(D14/D$13)*100</f>
        <v>13.968878598383967</v>
      </c>
      <c r="G14" s="22">
        <f>+[6]Subpartida_pais2!D2</f>
        <v>15.357667350000005</v>
      </c>
      <c r="H14" s="25">
        <f>+[6]Subpartida_pais2!F2</f>
        <v>58.716212970000036</v>
      </c>
      <c r="I14" s="22">
        <f t="shared" ref="I14:I44" si="2">IF(OR(OR(H14=0,G14=0),H14=""),"",(H14/G14-1)*100)</f>
        <v>282.32507341031851</v>
      </c>
      <c r="J14" s="22">
        <f>(H14/H$13)*100</f>
        <v>14.365290731508942</v>
      </c>
      <c r="K14" s="16"/>
    </row>
    <row r="15" spans="1:14">
      <c r="A15" s="14"/>
      <c r="B15" s="9" t="str">
        <f>+[6]Subpartida_pais2!B3</f>
        <v>Tractores</v>
      </c>
      <c r="C15" s="22">
        <f>+[6]Subpartida_pais2!C3</f>
        <v>31.703439839999977</v>
      </c>
      <c r="D15" s="25">
        <f>+[6]Subpartida_pais2!E3</f>
        <v>334.68634103999943</v>
      </c>
      <c r="E15" s="22">
        <f t="shared" si="0"/>
        <v>955.67831985767157</v>
      </c>
      <c r="F15" s="22">
        <f t="shared" si="1"/>
        <v>11.43096241525758</v>
      </c>
      <c r="G15" s="22">
        <f>+[6]Subpartida_pais2!D3</f>
        <v>2.8403825699999996</v>
      </c>
      <c r="H15" s="25">
        <f>+[6]Subpartida_pais2!F3</f>
        <v>46.913686600000005</v>
      </c>
      <c r="I15" s="22">
        <f t="shared" si="2"/>
        <v>1551.6678807812855</v>
      </c>
      <c r="J15" s="22">
        <f t="shared" ref="J15:J44" si="3">(H15/H$13)*100</f>
        <v>11.477728436611311</v>
      </c>
      <c r="K15" s="16"/>
    </row>
    <row r="16" spans="1:14">
      <c r="A16" s="14"/>
      <c r="B16" s="9" t="str">
        <f>+[6]Subpartida_pais2!B4</f>
        <v>Aviones &gt; 15 mil kg</v>
      </c>
      <c r="C16" s="22">
        <f>+[6]Subpartida_pais2!C4</f>
        <v>0</v>
      </c>
      <c r="D16" s="25">
        <f>+[6]Subpartida_pais2!E4</f>
        <v>312.34406325999998</v>
      </c>
      <c r="E16" s="22" t="str">
        <f t="shared" si="0"/>
        <v/>
      </c>
      <c r="F16" s="22">
        <f t="shared" si="1"/>
        <v>10.667878577474385</v>
      </c>
      <c r="G16" s="22">
        <f>+[6]Subpartida_pais2!D4</f>
        <v>0</v>
      </c>
      <c r="H16" s="25">
        <f>+[6]Subpartida_pais2!F4</f>
        <v>87.355413420000005</v>
      </c>
      <c r="I16" s="22" t="str">
        <f t="shared" si="2"/>
        <v/>
      </c>
      <c r="J16" s="22">
        <f t="shared" si="3"/>
        <v>21.372051215064207</v>
      </c>
      <c r="K16" s="16"/>
    </row>
    <row r="17" spans="1:11">
      <c r="A17" s="14"/>
      <c r="B17" s="9" t="str">
        <f>+[6]Subpartida_pais2!B5</f>
        <v>Teléfonos móviles</v>
      </c>
      <c r="C17" s="22">
        <f>+[6]Subpartida_pais2!C5</f>
        <v>208.84942146999981</v>
      </c>
      <c r="D17" s="25">
        <f>+[6]Subpartida_pais2!E5</f>
        <v>214.19057123999974</v>
      </c>
      <c r="E17" s="22">
        <f t="shared" si="0"/>
        <v>2.557416598239004</v>
      </c>
      <c r="F17" s="22">
        <f t="shared" si="1"/>
        <v>7.3155192468830732</v>
      </c>
      <c r="G17" s="22">
        <f>+[6]Subpartida_pais2!D5</f>
        <v>13.783355480000001</v>
      </c>
      <c r="H17" s="25">
        <f>+[6]Subpartida_pais2!F5</f>
        <v>17.517570740000007</v>
      </c>
      <c r="I17" s="22">
        <f t="shared" si="2"/>
        <v>27.092207448458016</v>
      </c>
      <c r="J17" s="22">
        <f t="shared" si="3"/>
        <v>4.2857838382466475</v>
      </c>
      <c r="K17" s="16"/>
    </row>
    <row r="18" spans="1:11">
      <c r="A18" s="14"/>
      <c r="B18" s="9" t="str">
        <f>+[6]Subpartida_pais2!B6</f>
        <v>Aceites livianos</v>
      </c>
      <c r="C18" s="22">
        <f>+[6]Subpartida_pais2!C6</f>
        <v>3.7584000000000003E-3</v>
      </c>
      <c r="D18" s="25">
        <f>+[6]Subpartida_pais2!E6</f>
        <v>182.95437306000002</v>
      </c>
      <c r="E18" s="22">
        <f t="shared" si="0"/>
        <v>4867779.232120051</v>
      </c>
      <c r="F18" s="22">
        <f t="shared" si="1"/>
        <v>6.2486701896983927</v>
      </c>
      <c r="G18" s="22">
        <f>+[6]Subpartida_pais2!D6</f>
        <v>1.8832499999999999E-3</v>
      </c>
      <c r="H18" s="25">
        <f>+[6]Subpartida_pais2!F6</f>
        <v>28.672704709999998</v>
      </c>
      <c r="I18" s="22">
        <f t="shared" si="2"/>
        <v>1522411.8656577724</v>
      </c>
      <c r="J18" s="22">
        <f t="shared" si="3"/>
        <v>7.0149575114509544</v>
      </c>
      <c r="K18" s="16"/>
    </row>
    <row r="19" spans="1:11">
      <c r="A19" s="14"/>
      <c r="B19" s="9" t="str">
        <f>+[6]Subpartida_pais2!B7</f>
        <v>Aparatos receptores TV</v>
      </c>
      <c r="C19" s="22">
        <f>+[6]Subpartida_pais2!C7</f>
        <v>128.7636188000001</v>
      </c>
      <c r="D19" s="25">
        <f>+[6]Subpartida_pais2!E7</f>
        <v>150.54681516999983</v>
      </c>
      <c r="E19" s="22">
        <f t="shared" si="0"/>
        <v>16.917198019911272</v>
      </c>
      <c r="F19" s="22">
        <f t="shared" si="1"/>
        <v>5.1418142150573392</v>
      </c>
      <c r="G19" s="22">
        <f>+[6]Subpartida_pais2!D7</f>
        <v>16.877570970000001</v>
      </c>
      <c r="H19" s="25">
        <f>+[6]Subpartida_pais2!F7</f>
        <v>19.590122059999999</v>
      </c>
      <c r="I19" s="22">
        <f t="shared" si="2"/>
        <v>16.071928210650555</v>
      </c>
      <c r="J19" s="22">
        <f t="shared" si="3"/>
        <v>4.7928465516233487</v>
      </c>
      <c r="K19" s="16"/>
    </row>
    <row r="20" spans="1:11">
      <c r="A20" s="14"/>
      <c r="B20" s="9" t="str">
        <f>+[6]Subpartida_pais2!B8</f>
        <v>Vehículos &gt; 20 ton</v>
      </c>
      <c r="C20" s="22">
        <f>+[6]Subpartida_pais2!C8</f>
        <v>21.041560980000007</v>
      </c>
      <c r="D20" s="25">
        <f>+[6]Subpartida_pais2!E8</f>
        <v>105.35125148999995</v>
      </c>
      <c r="E20" s="22">
        <f t="shared" si="0"/>
        <v>400.68172979246299</v>
      </c>
      <c r="F20" s="22">
        <f t="shared" si="1"/>
        <v>3.5981934381917693</v>
      </c>
      <c r="G20" s="22">
        <f>+[6]Subpartida_pais2!D8</f>
        <v>7.3547068600000003</v>
      </c>
      <c r="H20" s="25">
        <f>+[6]Subpartida_pais2!F8</f>
        <v>12.185359979999998</v>
      </c>
      <c r="I20" s="22">
        <f t="shared" si="2"/>
        <v>65.68111023258372</v>
      </c>
      <c r="J20" s="22">
        <f t="shared" si="3"/>
        <v>2.9812249449778139</v>
      </c>
      <c r="K20" s="16"/>
    </row>
    <row r="21" spans="1:11">
      <c r="A21" s="14"/>
      <c r="B21" s="9" t="str">
        <f>+[6]Subpartida_pais2!B9</f>
        <v>Máq. procesamiento datos</v>
      </c>
      <c r="C21" s="22">
        <f>+[6]Subpartida_pais2!C9</f>
        <v>51.204232720000029</v>
      </c>
      <c r="D21" s="25">
        <f>+[6]Subpartida_pais2!E9</f>
        <v>65.024676590000055</v>
      </c>
      <c r="E21" s="22">
        <f t="shared" si="0"/>
        <v>26.990823093813997</v>
      </c>
      <c r="F21" s="22">
        <f t="shared" si="1"/>
        <v>2.2208693424860639</v>
      </c>
      <c r="G21" s="22">
        <f>+[6]Subpartida_pais2!D9</f>
        <v>5.6346886900000008</v>
      </c>
      <c r="H21" s="25">
        <f>+[6]Subpartida_pais2!F9</f>
        <v>2.3781277099999989</v>
      </c>
      <c r="I21" s="22">
        <f t="shared" si="2"/>
        <v>-57.794869586663907</v>
      </c>
      <c r="J21" s="22">
        <f t="shared" si="3"/>
        <v>0.58182389876305995</v>
      </c>
      <c r="K21" s="16"/>
    </row>
    <row r="22" spans="1:11">
      <c r="A22" s="14"/>
      <c r="B22" s="9" t="str">
        <f>+[6]Subpartida_pais2!B10</f>
        <v>Medicamentos uso humano</v>
      </c>
      <c r="C22" s="22">
        <f>+[6]Subpartida_pais2!C10</f>
        <v>48.730467609999991</v>
      </c>
      <c r="D22" s="25">
        <f>+[6]Subpartida_pais2!E10</f>
        <v>53.858760089999926</v>
      </c>
      <c r="E22" s="22">
        <f t="shared" si="0"/>
        <v>10.523790826393697</v>
      </c>
      <c r="F22" s="22">
        <f t="shared" si="1"/>
        <v>1.8395057904307632</v>
      </c>
      <c r="G22" s="22">
        <f>+[6]Subpartida_pais2!D10</f>
        <v>3.6406827600000002</v>
      </c>
      <c r="H22" s="25">
        <f>+[6]Subpartida_pais2!F10</f>
        <v>4.6148271200000019</v>
      </c>
      <c r="I22" s="22">
        <f t="shared" si="2"/>
        <v>26.757188808178434</v>
      </c>
      <c r="J22" s="22">
        <f t="shared" si="3"/>
        <v>1.1290464745797466</v>
      </c>
      <c r="K22" s="16"/>
    </row>
    <row r="23" spans="1:11">
      <c r="A23" s="14"/>
      <c r="B23" s="9" t="str">
        <f>+[6]Subpartida_pais2!B11</f>
        <v>Vehículos carga &lt; 4537 ton</v>
      </c>
      <c r="C23" s="22">
        <f>+[6]Subpartida_pais2!C11</f>
        <v>22.336409400000012</v>
      </c>
      <c r="D23" s="25">
        <f>+[6]Subpartida_pais2!E11</f>
        <v>51.287666489999964</v>
      </c>
      <c r="E23" s="22">
        <f t="shared" si="0"/>
        <v>129.61464204716776</v>
      </c>
      <c r="F23" s="22">
        <f t="shared" si="1"/>
        <v>1.7516920056901535</v>
      </c>
      <c r="G23" s="22">
        <f>+[6]Subpartida_pais2!D11</f>
        <v>2.6708008400000001</v>
      </c>
      <c r="H23" s="25">
        <f>+[6]Subpartida_pais2!F11</f>
        <v>4.5084204799999981</v>
      </c>
      <c r="I23" s="22">
        <f t="shared" si="2"/>
        <v>68.804068520511549</v>
      </c>
      <c r="J23" s="22">
        <f t="shared" si="3"/>
        <v>1.1030134209810063</v>
      </c>
      <c r="K23" s="16"/>
    </row>
    <row r="24" spans="1:11">
      <c r="A24" s="14"/>
      <c r="B24" s="9" t="str">
        <f>+[6]Subpartida_pais2!B12</f>
        <v>Camperos 1500 y 3000 cm3</v>
      </c>
      <c r="C24" s="22">
        <f>+[6]Subpartida_pais2!C12</f>
        <v>0.84308824999999998</v>
      </c>
      <c r="D24" s="25">
        <f>+[6]Subpartida_pais2!E12</f>
        <v>48.999602839999952</v>
      </c>
      <c r="E24" s="22">
        <f t="shared" si="0"/>
        <v>5711.9186028271597</v>
      </c>
      <c r="F24" s="22">
        <f t="shared" si="1"/>
        <v>1.6735448978470477</v>
      </c>
      <c r="G24" s="22">
        <f>+[6]Subpartida_pais2!D12</f>
        <v>0.82290136000000003</v>
      </c>
      <c r="H24" s="25">
        <f>+[6]Subpartida_pais2!F12</f>
        <v>5.2347914700000002</v>
      </c>
      <c r="I24" s="22">
        <f t="shared" si="2"/>
        <v>536.13839087591248</v>
      </c>
      <c r="J24" s="22">
        <f t="shared" si="3"/>
        <v>1.2807246513632404</v>
      </c>
      <c r="K24" s="16"/>
    </row>
    <row r="25" spans="1:11">
      <c r="A25" s="14"/>
      <c r="B25" s="9" t="str">
        <f>+[6]Subpartida_pais2!B13</f>
        <v>Vehículos diesel &lt; 4537 ton</v>
      </c>
      <c r="C25" s="22">
        <f>+[6]Subpartida_pais2!C13</f>
        <v>28.462815450000015</v>
      </c>
      <c r="D25" s="25">
        <f>+[6]Subpartida_pais2!E13</f>
        <v>48.582568759999987</v>
      </c>
      <c r="E25" s="22">
        <f t="shared" si="0"/>
        <v>70.687853579853652</v>
      </c>
      <c r="F25" s="22">
        <f t="shared" si="1"/>
        <v>1.6593014098112111</v>
      </c>
      <c r="G25" s="22">
        <f>+[6]Subpartida_pais2!D13</f>
        <v>8.7984744999999975</v>
      </c>
      <c r="H25" s="25">
        <f>+[6]Subpartida_pais2!F13</f>
        <v>7.9476118099999979</v>
      </c>
      <c r="I25" s="22">
        <f t="shared" si="2"/>
        <v>-9.6705706199409889</v>
      </c>
      <c r="J25" s="22">
        <f t="shared" si="3"/>
        <v>1.9444332067219134</v>
      </c>
      <c r="K25" s="16"/>
    </row>
    <row r="26" spans="1:11">
      <c r="A26" s="14"/>
      <c r="B26" s="9" t="str">
        <f>+[6]Subpartida_pais2!B14</f>
        <v>Aparatos telecomunicación</v>
      </c>
      <c r="C26" s="22">
        <f>+[6]Subpartida_pais2!C14</f>
        <v>10.805342380000006</v>
      </c>
      <c r="D26" s="25">
        <f>+[6]Subpartida_pais2!E14</f>
        <v>38.58327757</v>
      </c>
      <c r="E26" s="22">
        <f t="shared" si="0"/>
        <v>257.07593719024737</v>
      </c>
      <c r="F26" s="22">
        <f t="shared" si="1"/>
        <v>1.3177830753105346</v>
      </c>
      <c r="G26" s="22">
        <f>+[6]Subpartida_pais2!D14</f>
        <v>2.2791097999999996</v>
      </c>
      <c r="H26" s="25">
        <f>+[6]Subpartida_pais2!F14</f>
        <v>16.900191589999995</v>
      </c>
      <c r="I26" s="22">
        <f t="shared" si="2"/>
        <v>641.52599361382227</v>
      </c>
      <c r="J26" s="22">
        <f t="shared" si="3"/>
        <v>4.1347381468998057</v>
      </c>
      <c r="K26" s="16"/>
    </row>
    <row r="27" spans="1:11">
      <c r="A27" s="14"/>
      <c r="B27" s="9" t="str">
        <f>+[6]Subpartida_pais2!B15</f>
        <v>Aparatos receptores Tv</v>
      </c>
      <c r="C27" s="22">
        <f>+[6]Subpartida_pais2!C15</f>
        <v>0.27818237000000001</v>
      </c>
      <c r="D27" s="25">
        <f>+[6]Subpartida_pais2!E15</f>
        <v>26.537932300000005</v>
      </c>
      <c r="E27" s="22">
        <f t="shared" si="0"/>
        <v>9439.7606613244407</v>
      </c>
      <c r="F27" s="22">
        <f t="shared" si="1"/>
        <v>0.90638328937270674</v>
      </c>
      <c r="G27" s="22">
        <f>+[6]Subpartida_pais2!D15</f>
        <v>2.5256999999999996E-3</v>
      </c>
      <c r="H27" s="25">
        <f>+[6]Subpartida_pais2!F15</f>
        <v>8.4372363000000004</v>
      </c>
      <c r="I27" s="22">
        <f t="shared" si="2"/>
        <v>333955.36286969954</v>
      </c>
      <c r="J27" s="22">
        <f t="shared" si="3"/>
        <v>2.0642229171330824</v>
      </c>
      <c r="K27" s="16"/>
    </row>
    <row r="28" spans="1:11">
      <c r="A28" s="14"/>
      <c r="B28" s="9" t="str">
        <f>+[6]Subpartida_pais2!B16</f>
        <v>Impresoras, copiadoras</v>
      </c>
      <c r="C28" s="22">
        <f>+[6]Subpartida_pais2!C16</f>
        <v>25.788827749999999</v>
      </c>
      <c r="D28" s="25">
        <f>+[6]Subpartida_pais2!E16</f>
        <v>25.796730969999999</v>
      </c>
      <c r="E28" s="22">
        <f t="shared" si="0"/>
        <v>3.0645906346005169E-2</v>
      </c>
      <c r="F28" s="22">
        <f t="shared" si="1"/>
        <v>0.88106811063239343</v>
      </c>
      <c r="G28" s="22">
        <f>+[6]Subpartida_pais2!D16</f>
        <v>2.0825975000000003</v>
      </c>
      <c r="H28" s="25">
        <f>+[6]Subpartida_pais2!F16</f>
        <v>0.41458033999999994</v>
      </c>
      <c r="I28" s="22">
        <f t="shared" si="2"/>
        <v>-80.093112567358801</v>
      </c>
      <c r="J28" s="22">
        <f t="shared" si="3"/>
        <v>0.1014296872094035</v>
      </c>
      <c r="K28" s="16"/>
    </row>
    <row r="29" spans="1:11">
      <c r="A29" s="14"/>
      <c r="B29" s="9" t="str">
        <f>+[6]Subpartida_pais2!B17</f>
        <v>Recipientes de fundición</v>
      </c>
      <c r="C29" s="22">
        <f>+[6]Subpartida_pais2!C17</f>
        <v>5.3258758700000008</v>
      </c>
      <c r="D29" s="25">
        <f>+[6]Subpartida_pais2!E17</f>
        <v>24.902931709999987</v>
      </c>
      <c r="E29" s="22">
        <f t="shared" si="0"/>
        <v>367.58377998021166</v>
      </c>
      <c r="F29" s="22">
        <f t="shared" si="1"/>
        <v>0.85054106337944302</v>
      </c>
      <c r="G29" s="22">
        <f>+[6]Subpartida_pais2!D17</f>
        <v>1.4115854699999999</v>
      </c>
      <c r="H29" s="25">
        <f>+[6]Subpartida_pais2!F17</f>
        <v>0.87968329000000001</v>
      </c>
      <c r="I29" s="22">
        <f t="shared" si="2"/>
        <v>-37.681188373241049</v>
      </c>
      <c r="J29" s="22">
        <f t="shared" si="3"/>
        <v>0.21522004865942029</v>
      </c>
      <c r="K29" s="16"/>
    </row>
    <row r="30" spans="1:11">
      <c r="A30" s="14"/>
      <c r="B30" s="9" t="str">
        <f>+[6]Subpartida_pais2!B18</f>
        <v>Tarjetas inteligentes</v>
      </c>
      <c r="C30" s="22">
        <f>+[6]Subpartida_pais2!C18</f>
        <v>20.6032042600003</v>
      </c>
      <c r="D30" s="25">
        <f>+[6]Subpartida_pais2!E18</f>
        <v>21.191329139999763</v>
      </c>
      <c r="E30" s="22">
        <f t="shared" si="0"/>
        <v>2.8545311330105294</v>
      </c>
      <c r="F30" s="22">
        <f t="shared" si="1"/>
        <v>0.72377404520293664</v>
      </c>
      <c r="G30" s="22">
        <f>+[6]Subpartida_pais2!D18</f>
        <v>2.3575553499999837</v>
      </c>
      <c r="H30" s="25">
        <f>+[6]Subpartida_pais2!F18</f>
        <v>2.9644656800000044</v>
      </c>
      <c r="I30" s="22">
        <f t="shared" si="2"/>
        <v>25.743205986660065</v>
      </c>
      <c r="J30" s="22">
        <f t="shared" si="3"/>
        <v>0.72527517022493682</v>
      </c>
      <c r="K30" s="16"/>
    </row>
    <row r="31" spans="1:11">
      <c r="A31" s="14"/>
      <c r="B31" s="9" t="str">
        <f>+[6]Subpartida_pais2!B19</f>
        <v>Aparatos de radiodifusión</v>
      </c>
      <c r="C31" s="22">
        <f>+[6]Subpartida_pais2!C19</f>
        <v>8.2307740199999984</v>
      </c>
      <c r="D31" s="25">
        <f>+[6]Subpartida_pais2!E19</f>
        <v>17.777388859999995</v>
      </c>
      <c r="E31" s="22">
        <f t="shared" si="0"/>
        <v>115.98684178186195</v>
      </c>
      <c r="F31" s="22">
        <f t="shared" si="1"/>
        <v>0.60717346058586885</v>
      </c>
      <c r="G31" s="22">
        <f>+[6]Subpartida_pais2!D19</f>
        <v>0</v>
      </c>
      <c r="H31" s="25">
        <f>+[6]Subpartida_pais2!F19</f>
        <v>3.4779889199999992</v>
      </c>
      <c r="I31" s="22" t="str">
        <f t="shared" si="2"/>
        <v/>
      </c>
      <c r="J31" s="22">
        <f t="shared" si="3"/>
        <v>0.85091186010743081</v>
      </c>
      <c r="K31" s="16"/>
    </row>
    <row r="32" spans="1:11">
      <c r="A32" s="14"/>
      <c r="B32" s="9" t="str">
        <f>+[6]Subpartida_pais2!B20</f>
        <v>Máquinas de sondeo</v>
      </c>
      <c r="C32" s="22">
        <f>+[6]Subpartida_pais2!C20</f>
        <v>0</v>
      </c>
      <c r="D32" s="25">
        <f>+[6]Subpartida_pais2!E20</f>
        <v>16.3929589</v>
      </c>
      <c r="E32" s="22" t="str">
        <f t="shared" si="0"/>
        <v/>
      </c>
      <c r="F32" s="22">
        <f t="shared" si="1"/>
        <v>0.55988928761920098</v>
      </c>
      <c r="G32" s="22">
        <f>+[6]Subpartida_pais2!D20</f>
        <v>0</v>
      </c>
      <c r="H32" s="25">
        <f>+[6]Subpartida_pais2!F20</f>
        <v>6.7569547700000001</v>
      </c>
      <c r="I32" s="22" t="str">
        <f t="shared" si="2"/>
        <v/>
      </c>
      <c r="J32" s="22">
        <f t="shared" si="3"/>
        <v>1.6531314746116208</v>
      </c>
      <c r="K32" s="16"/>
    </row>
    <row r="33" spans="1:11">
      <c r="A33" s="14"/>
      <c r="B33" s="9" t="str">
        <f>+[6]Subpartida_pais2!B21</f>
        <v>Vehículos 9,3 y 20 ton</v>
      </c>
      <c r="C33" s="22">
        <f>+[6]Subpartida_pais2!C21</f>
        <v>9.7745448800000005</v>
      </c>
      <c r="D33" s="25">
        <f>+[6]Subpartida_pais2!E21</f>
        <v>15.646318359999997</v>
      </c>
      <c r="E33" s="22">
        <f t="shared" si="0"/>
        <v>60.07209084501126</v>
      </c>
      <c r="F33" s="22">
        <f t="shared" si="1"/>
        <v>0.53438833671715147</v>
      </c>
      <c r="G33" s="22">
        <f>+[6]Subpartida_pais2!D21</f>
        <v>0.93039130999999997</v>
      </c>
      <c r="H33" s="25">
        <f>+[6]Subpartida_pais2!F21</f>
        <v>2.9440717900000002</v>
      </c>
      <c r="I33" s="22">
        <f t="shared" si="2"/>
        <v>216.43371540088873</v>
      </c>
      <c r="J33" s="22">
        <f t="shared" si="3"/>
        <v>0.72028567679241307</v>
      </c>
      <c r="K33" s="16"/>
    </row>
    <row r="34" spans="1:11">
      <c r="A34" s="14"/>
      <c r="B34" s="9" t="str">
        <f>+[6]Subpartida_pais2!B22</f>
        <v>Lavadoras</v>
      </c>
      <c r="C34" s="22">
        <f>+[6]Subpartida_pais2!C22</f>
        <v>9.8874132499999998</v>
      </c>
      <c r="D34" s="25">
        <f>+[6]Subpartida_pais2!E22</f>
        <v>15.437222589999992</v>
      </c>
      <c r="E34" s="22">
        <f t="shared" si="0"/>
        <v>56.130043315424217</v>
      </c>
      <c r="F34" s="22">
        <f t="shared" si="1"/>
        <v>0.52724682660761946</v>
      </c>
      <c r="G34" s="22">
        <f>+[6]Subpartida_pais2!D22</f>
        <v>0.6979309199999999</v>
      </c>
      <c r="H34" s="25">
        <f>+[6]Subpartida_pais2!F22</f>
        <v>2.1844878399999996</v>
      </c>
      <c r="I34" s="22">
        <f t="shared" si="2"/>
        <v>212.9948505505387</v>
      </c>
      <c r="J34" s="22">
        <f t="shared" si="3"/>
        <v>0.53444868689129221</v>
      </c>
      <c r="K34" s="16"/>
    </row>
    <row r="35" spans="1:11">
      <c r="A35" s="14"/>
      <c r="B35" s="9" t="str">
        <f>+[6]Subpartida_pais2!B23</f>
        <v>Receptores televisión</v>
      </c>
      <c r="C35" s="22">
        <f>+[6]Subpartida_pais2!C23</f>
        <v>24.694002360000002</v>
      </c>
      <c r="D35" s="25">
        <f>+[6]Subpartida_pais2!E23</f>
        <v>15.269342520000007</v>
      </c>
      <c r="E35" s="22">
        <f t="shared" si="0"/>
        <v>-38.165784965122981</v>
      </c>
      <c r="F35" s="22">
        <f t="shared" si="1"/>
        <v>0.52151300799859746</v>
      </c>
      <c r="G35" s="22">
        <f>+[6]Subpartida_pais2!D23</f>
        <v>1.7218451399999999</v>
      </c>
      <c r="H35" s="25">
        <f>+[6]Subpartida_pais2!F23</f>
        <v>2.037335000000001</v>
      </c>
      <c r="I35" s="22">
        <f t="shared" si="2"/>
        <v>18.322777854459147</v>
      </c>
      <c r="J35" s="22">
        <f t="shared" si="3"/>
        <v>0.49844681923597778</v>
      </c>
      <c r="K35" s="16"/>
    </row>
    <row r="36" spans="1:11">
      <c r="A36" s="14"/>
      <c r="B36" s="9" t="str">
        <f>+[6]Subpartida_pais2!B24</f>
        <v>Productos laminados</v>
      </c>
      <c r="C36" s="22">
        <f>+[6]Subpartida_pais2!C24</f>
        <v>7.2548549500000004</v>
      </c>
      <c r="D36" s="25">
        <f>+[6]Subpartida_pais2!E24</f>
        <v>14.738795280000005</v>
      </c>
      <c r="E36" s="22">
        <f t="shared" si="0"/>
        <v>103.15768380731036</v>
      </c>
      <c r="F36" s="22">
        <f t="shared" si="1"/>
        <v>0.50339256262543586</v>
      </c>
      <c r="G36" s="22">
        <f>+[6]Subpartida_pais2!D24</f>
        <v>2.0779391</v>
      </c>
      <c r="H36" s="25">
        <f>+[6]Subpartida_pais2!F24</f>
        <v>0.60489040000000005</v>
      </c>
      <c r="I36" s="22">
        <f t="shared" si="2"/>
        <v>-70.889887966399016</v>
      </c>
      <c r="J36" s="22">
        <f t="shared" si="3"/>
        <v>0.14799024012564366</v>
      </c>
      <c r="K36" s="16"/>
    </row>
    <row r="37" spans="1:11">
      <c r="A37" s="14"/>
      <c r="B37" s="9" t="str">
        <f>+[6]Subpartida_pais2!B25</f>
        <v>Tejidos de mezclilla</v>
      </c>
      <c r="C37" s="22">
        <f>+[6]Subpartida_pais2!C25</f>
        <v>11.628046060000012</v>
      </c>
      <c r="D37" s="25">
        <f>+[6]Subpartida_pais2!E25</f>
        <v>13.749225180000007</v>
      </c>
      <c r="E37" s="22">
        <f t="shared" si="0"/>
        <v>18.241922237449359</v>
      </c>
      <c r="F37" s="22">
        <f t="shared" si="1"/>
        <v>0.469594533744984</v>
      </c>
      <c r="G37" s="22">
        <f>+[6]Subpartida_pais2!D25</f>
        <v>0.98370269999999982</v>
      </c>
      <c r="H37" s="25">
        <f>+[6]Subpartida_pais2!F25</f>
        <v>7.7196410000000007E-2</v>
      </c>
      <c r="I37" s="22">
        <f t="shared" si="2"/>
        <v>-92.152465373938682</v>
      </c>
      <c r="J37" s="22">
        <f t="shared" si="3"/>
        <v>1.8886587144940039E-2</v>
      </c>
      <c r="K37" s="16"/>
    </row>
    <row r="38" spans="1:11">
      <c r="A38" s="14"/>
      <c r="B38" s="9" t="str">
        <f>+[6]Subpartida_pais2!B26</f>
        <v>Refrigeradores</v>
      </c>
      <c r="C38" s="22">
        <f>+[6]Subpartida_pais2!C26</f>
        <v>10.811083250000008</v>
      </c>
      <c r="D38" s="25">
        <f>+[6]Subpartida_pais2!E26</f>
        <v>13.455020099999986</v>
      </c>
      <c r="E38" s="22">
        <f t="shared" si="0"/>
        <v>24.455799561065959</v>
      </c>
      <c r="F38" s="22">
        <f t="shared" si="1"/>
        <v>0.45954617861519947</v>
      </c>
      <c r="G38" s="22">
        <f>+[6]Subpartida_pais2!D26</f>
        <v>1.3555809999999997</v>
      </c>
      <c r="H38" s="25">
        <f>+[6]Subpartida_pais2!F26</f>
        <v>2.2955811700000019</v>
      </c>
      <c r="I38" s="22">
        <f t="shared" si="2"/>
        <v>69.342973234355057</v>
      </c>
      <c r="J38" s="22">
        <f t="shared" si="3"/>
        <v>0.56162836867010324</v>
      </c>
      <c r="K38" s="16"/>
    </row>
    <row r="39" spans="1:11">
      <c r="A39" s="14"/>
      <c r="B39" s="9" t="str">
        <f>+[6]Subpartida_pais2!B27</f>
        <v>Conductores eléctricos</v>
      </c>
      <c r="C39" s="22">
        <f>+[6]Subpartida_pais2!C27</f>
        <v>6.3300545800000005</v>
      </c>
      <c r="D39" s="25">
        <f>+[6]Subpartida_pais2!E27</f>
        <v>12.96857354000001</v>
      </c>
      <c r="E39" s="22">
        <f t="shared" si="0"/>
        <v>104.87301295907639</v>
      </c>
      <c r="F39" s="22">
        <f t="shared" si="1"/>
        <v>0.44293195908322719</v>
      </c>
      <c r="G39" s="22">
        <f>+[6]Subpartida_pais2!D27</f>
        <v>1.6023021499999996</v>
      </c>
      <c r="H39" s="25">
        <f>+[6]Subpartida_pais2!F27</f>
        <v>1.0417581199999999</v>
      </c>
      <c r="I39" s="22">
        <f t="shared" si="2"/>
        <v>-34.983665846045319</v>
      </c>
      <c r="J39" s="22">
        <f t="shared" si="3"/>
        <v>0.25487267500300725</v>
      </c>
      <c r="K39" s="16"/>
    </row>
    <row r="40" spans="1:11">
      <c r="A40" s="14"/>
      <c r="B40" s="9" t="str">
        <f>+[6]Subpartida_pais2!B28</f>
        <v>Tubos de cobre refinado</v>
      </c>
      <c r="C40" s="22">
        <f>+[6]Subpartida_pais2!C28</f>
        <v>8.1758265000000048</v>
      </c>
      <c r="D40" s="25">
        <f>+[6]Subpartida_pais2!E28</f>
        <v>12.939005509999999</v>
      </c>
      <c r="E40" s="22">
        <f t="shared" si="0"/>
        <v>58.259296598331581</v>
      </c>
      <c r="F40" s="22">
        <f t="shared" si="1"/>
        <v>0.44192208506634006</v>
      </c>
      <c r="G40" s="22">
        <f>+[6]Subpartida_pais2!D28</f>
        <v>0.77985488000000003</v>
      </c>
      <c r="H40" s="25">
        <f>+[6]Subpartida_pais2!F28</f>
        <v>0.69392209999999999</v>
      </c>
      <c r="I40" s="22">
        <f t="shared" si="2"/>
        <v>-11.019073189617023</v>
      </c>
      <c r="J40" s="22">
        <f t="shared" si="3"/>
        <v>0.16977240539359015</v>
      </c>
      <c r="K40" s="16"/>
    </row>
    <row r="41" spans="1:11">
      <c r="A41" s="14"/>
      <c r="B41" s="9" t="str">
        <f>+[6]Subpartida_pais2!B29</f>
        <v>Multifuncionales</v>
      </c>
      <c r="C41" s="22">
        <f>+[6]Subpartida_pais2!C29</f>
        <v>10.885733080000003</v>
      </c>
      <c r="D41" s="25">
        <f>+[6]Subpartida_pais2!E29</f>
        <v>12.770508300000015</v>
      </c>
      <c r="E41" s="22">
        <f t="shared" si="0"/>
        <v>17.314178164655235</v>
      </c>
      <c r="F41" s="22">
        <f t="shared" si="1"/>
        <v>0.43616718850079605</v>
      </c>
      <c r="G41" s="22">
        <f>+[6]Subpartida_pais2!D29</f>
        <v>0.99610261999999994</v>
      </c>
      <c r="H41" s="25">
        <f>+[6]Subpartida_pais2!F29</f>
        <v>1.8055215500000001</v>
      </c>
      <c r="I41" s="22">
        <f t="shared" si="2"/>
        <v>81.258588598030215</v>
      </c>
      <c r="J41" s="22">
        <f t="shared" si="3"/>
        <v>0.4417322009681825</v>
      </c>
      <c r="K41" s="16"/>
    </row>
    <row r="42" spans="1:11">
      <c r="A42" s="14"/>
      <c r="B42" s="9" t="str">
        <f>+[6]Subpartida_pais2!B30</f>
        <v>Cables y coaxiales</v>
      </c>
      <c r="C42" s="22">
        <f>+[6]Subpartida_pais2!C30</f>
        <v>7.4531598200000015</v>
      </c>
      <c r="D42" s="25">
        <f>+[6]Subpartida_pais2!E30</f>
        <v>10.613487720000004</v>
      </c>
      <c r="E42" s="22">
        <f t="shared" si="0"/>
        <v>42.402524249104331</v>
      </c>
      <c r="F42" s="22">
        <f t="shared" si="1"/>
        <v>0.36249575899967273</v>
      </c>
      <c r="G42" s="22">
        <f>+[6]Subpartida_pais2!D30</f>
        <v>0.65812924000000017</v>
      </c>
      <c r="H42" s="25">
        <f>+[6]Subpartida_pais2!F30</f>
        <v>9.3093099999999995E-3</v>
      </c>
      <c r="I42" s="22">
        <f t="shared" si="2"/>
        <v>-98.585489075063734</v>
      </c>
      <c r="J42" s="22">
        <f t="shared" si="3"/>
        <v>2.2775812317471981E-3</v>
      </c>
      <c r="K42" s="16"/>
    </row>
    <row r="43" spans="1:11">
      <c r="A43" s="14"/>
      <c r="B43" s="9" t="str">
        <f>+[6]Subpartida_pais2!B31</f>
        <v>Laminados enrollados</v>
      </c>
      <c r="C43" s="22">
        <f>+[6]Subpartida_pais2!C31</f>
        <v>1.40110936</v>
      </c>
      <c r="D43" s="25">
        <f>+[6]Subpartida_pais2!E31</f>
        <v>10.220912320000004</v>
      </c>
      <c r="E43" s="22">
        <f t="shared" si="0"/>
        <v>629.48712012030262</v>
      </c>
      <c r="F43" s="22">
        <f t="shared" si="1"/>
        <v>0.34908763894132117</v>
      </c>
      <c r="G43" s="22">
        <f>+[6]Subpartida_pais2!D31</f>
        <v>0.99664733999999999</v>
      </c>
      <c r="H43" s="25">
        <f>+[6]Subpartida_pais2!F31</f>
        <v>0</v>
      </c>
      <c r="I43" s="22" t="str">
        <f t="shared" si="2"/>
        <v/>
      </c>
      <c r="J43" s="22">
        <f t="shared" si="3"/>
        <v>0</v>
      </c>
      <c r="K43" s="16"/>
    </row>
    <row r="44" spans="1:11">
      <c r="A44" s="14"/>
      <c r="B44" s="9" t="s">
        <v>3</v>
      </c>
      <c r="C44" s="22">
        <f>+C13-SUM(C14:C43)</f>
        <v>585.53867454014664</v>
      </c>
      <c r="D44" s="25">
        <f>+D13-SUM(D14:D43)</f>
        <v>632.0814751300677</v>
      </c>
      <c r="E44" s="22">
        <f t="shared" si="0"/>
        <v>7.9487150232174564</v>
      </c>
      <c r="F44" s="22">
        <f t="shared" si="1"/>
        <v>21.588271463784817</v>
      </c>
      <c r="G44" s="22">
        <f>+G13-SUM(G14:G43)</f>
        <v>50.91762805000026</v>
      </c>
      <c r="H44" s="25">
        <f>+H13-SUM(H14:H43)</f>
        <v>59.576660259998675</v>
      </c>
      <c r="I44" s="22">
        <f t="shared" si="2"/>
        <v>17.005961474669217</v>
      </c>
      <c r="J44" s="22">
        <f t="shared" si="3"/>
        <v>14.575804571805232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f>+Principales_paises!C16</f>
        <v>1666.7772031200186</v>
      </c>
      <c r="D13" s="25">
        <f>+Principales_paises!D16</f>
        <v>2507.376891739963</v>
      </c>
      <c r="E13" s="25">
        <f>IF(OR(OR(D13=0,C13=0),D13=""),"",(D13/C13-1)*100)</f>
        <v>50.432636530331521</v>
      </c>
      <c r="F13" s="23">
        <f>(D13/D$13)*100</f>
        <v>100</v>
      </c>
      <c r="G13" s="25">
        <f>+Principales_paises!G16</f>
        <v>201.17266083000061</v>
      </c>
      <c r="H13" s="25">
        <f>+Principales_paises!H16</f>
        <v>299.69130838000075</v>
      </c>
      <c r="I13" s="25">
        <f>IF(OR(OR(H13=0,G13=0),H13=""),"",(H13/G13-1)*100)</f>
        <v>48.972184959691198</v>
      </c>
      <c r="J13" s="23">
        <f>(H13/H$13)*100</f>
        <v>100</v>
      </c>
      <c r="K13" s="16"/>
    </row>
    <row r="14" spans="1:14">
      <c r="A14" s="14"/>
      <c r="B14" s="9" t="str">
        <f>+[6]Subpartida_pais3!B2</f>
        <v>Portátiles</v>
      </c>
      <c r="C14" s="22">
        <f>+[6]Subpartida_pais3!C2</f>
        <v>149.84037365000009</v>
      </c>
      <c r="D14" s="25">
        <f>+[6]Subpartida_pais3!E2</f>
        <v>195.53787091000015</v>
      </c>
      <c r="E14" s="22">
        <f t="shared" ref="E14:E44" si="0">IF(OR(OR(D14=0,C14=0),D14=""),"",(D14/C14-1)*100)</f>
        <v>30.497452820520277</v>
      </c>
      <c r="F14" s="22">
        <f t="shared" ref="F14:F44" si="1">(D14/D$13)*100</f>
        <v>7.7985033504200914</v>
      </c>
      <c r="G14" s="22">
        <f>+[6]Subpartida_pais3!D2</f>
        <v>21.412610620000009</v>
      </c>
      <c r="H14" s="25">
        <f>+[6]Subpartida_pais3!F2</f>
        <v>29.802938389999984</v>
      </c>
      <c r="I14" s="22">
        <f t="shared" ref="I14:I44" si="2">IF(OR(OR(H14=0,G14=0),H14=""),"",(H14/G14-1)*100)</f>
        <v>39.184048684671644</v>
      </c>
      <c r="J14" s="22">
        <f>(H14/H$13)*100</f>
        <v>9.9445454561567193</v>
      </c>
      <c r="K14" s="16"/>
    </row>
    <row r="15" spans="1:14">
      <c r="A15" s="14"/>
      <c r="B15" s="9" t="str">
        <f>+[6]Subpartida_pais3!B3</f>
        <v>Aparatos telecomunicación</v>
      </c>
      <c r="C15" s="22">
        <f>+[6]Subpartida_pais3!C3</f>
        <v>82.827578630000119</v>
      </c>
      <c r="D15" s="25">
        <f>+[6]Subpartida_pais3!E3</f>
        <v>103.73905733999989</v>
      </c>
      <c r="E15" s="22">
        <f t="shared" si="0"/>
        <v>25.246999919451518</v>
      </c>
      <c r="F15" s="22">
        <f t="shared" si="1"/>
        <v>4.1373539686732723</v>
      </c>
      <c r="G15" s="22">
        <f>+[6]Subpartida_pais3!D3</f>
        <v>10.362225989999999</v>
      </c>
      <c r="H15" s="25">
        <f>+[6]Subpartida_pais3!F3</f>
        <v>14.491960279999997</v>
      </c>
      <c r="I15" s="22">
        <f t="shared" si="2"/>
        <v>39.853736967186123</v>
      </c>
      <c r="J15" s="22">
        <f t="shared" ref="J15:J44" si="3">(H15/H$13)*100</f>
        <v>4.8356291539908689</v>
      </c>
      <c r="K15" s="16"/>
    </row>
    <row r="16" spans="1:14">
      <c r="A16" s="14"/>
      <c r="B16" s="9" t="str">
        <f>+[6]Subpartida_pais3!B4</f>
        <v>Teléfonos móviles</v>
      </c>
      <c r="C16" s="22">
        <f>+[6]Subpartida_pais3!C4</f>
        <v>67.241088969999907</v>
      </c>
      <c r="D16" s="25">
        <f>+[6]Subpartida_pais3!E4</f>
        <v>96.167708140000158</v>
      </c>
      <c r="E16" s="22">
        <f t="shared" si="0"/>
        <v>43.019260415169768</v>
      </c>
      <c r="F16" s="22">
        <f t="shared" si="1"/>
        <v>3.8353910198664138</v>
      </c>
      <c r="G16" s="22">
        <f>+[6]Subpartida_pais3!D4</f>
        <v>11.584662439999999</v>
      </c>
      <c r="H16" s="25">
        <f>+[6]Subpartida_pais3!F4</f>
        <v>17.718410499999997</v>
      </c>
      <c r="I16" s="22">
        <f t="shared" si="2"/>
        <v>52.947145346429259</v>
      </c>
      <c r="J16" s="22">
        <f t="shared" si="3"/>
        <v>5.9122203429181592</v>
      </c>
      <c r="K16" s="16"/>
    </row>
    <row r="17" spans="1:11">
      <c r="A17" s="14"/>
      <c r="B17" s="9" t="str">
        <f>+[6]Subpartida_pais3!B5</f>
        <v>Tubos para oleoductos</v>
      </c>
      <c r="C17" s="22">
        <f>+[6]Subpartida_pais3!C5</f>
        <v>0</v>
      </c>
      <c r="D17" s="25">
        <f>+[6]Subpartida_pais3!E5</f>
        <v>70.011967499999997</v>
      </c>
      <c r="E17" s="22" t="str">
        <f t="shared" si="0"/>
        <v/>
      </c>
      <c r="F17" s="22">
        <f t="shared" si="1"/>
        <v>2.792239480655661</v>
      </c>
      <c r="G17" s="22">
        <f>+[6]Subpartida_pais3!D5</f>
        <v>0</v>
      </c>
      <c r="H17" s="25">
        <f>+[6]Subpartida_pais3!F5</f>
        <v>3.5119284</v>
      </c>
      <c r="I17" s="22" t="str">
        <f t="shared" si="2"/>
        <v/>
      </c>
      <c r="J17" s="22">
        <f t="shared" si="3"/>
        <v>1.1718485994752195</v>
      </c>
      <c r="K17" s="16"/>
    </row>
    <row r="18" spans="1:11">
      <c r="A18" s="14"/>
      <c r="B18" s="9" t="str">
        <f>+[6]Subpartida_pais3!B6</f>
        <v>Tubos extracción petróleo</v>
      </c>
      <c r="C18" s="22">
        <f>+[6]Subpartida_pais3!C6</f>
        <v>21.21581058000001</v>
      </c>
      <c r="D18" s="25">
        <f>+[6]Subpartida_pais3!E6</f>
        <v>40.278035440000011</v>
      </c>
      <c r="E18" s="22">
        <f t="shared" si="0"/>
        <v>89.849147116583978</v>
      </c>
      <c r="F18" s="22">
        <f t="shared" si="1"/>
        <v>1.6063813769955249</v>
      </c>
      <c r="G18" s="22">
        <f>+[6]Subpartida_pais3!D6</f>
        <v>1.51504569</v>
      </c>
      <c r="H18" s="25">
        <f>+[6]Subpartida_pais3!F6</f>
        <v>1.4767927299999999</v>
      </c>
      <c r="I18" s="22">
        <f t="shared" si="2"/>
        <v>-2.5248717086545525</v>
      </c>
      <c r="J18" s="22">
        <f t="shared" si="3"/>
        <v>0.49277129122726021</v>
      </c>
      <c r="K18" s="16"/>
    </row>
    <row r="19" spans="1:11">
      <c r="A19" s="14"/>
      <c r="B19" s="9" t="str">
        <f>+[6]Subpartida_pais3!B7</f>
        <v>Máq. procesamiento datos</v>
      </c>
      <c r="C19" s="22">
        <f>+[6]Subpartida_pais3!C7</f>
        <v>30.327308699999996</v>
      </c>
      <c r="D19" s="25">
        <f>+[6]Subpartida_pais3!E7</f>
        <v>31.208769880000002</v>
      </c>
      <c r="E19" s="22">
        <f t="shared" si="0"/>
        <v>2.906493249102593</v>
      </c>
      <c r="F19" s="22">
        <f t="shared" si="1"/>
        <v>1.244678053100468</v>
      </c>
      <c r="G19" s="22">
        <f>+[6]Subpartida_pais3!D7</f>
        <v>3.2927568299999996</v>
      </c>
      <c r="H19" s="25">
        <f>+[6]Subpartida_pais3!F7</f>
        <v>2.9257243299999995</v>
      </c>
      <c r="I19" s="22">
        <f t="shared" si="2"/>
        <v>-11.146662779832429</v>
      </c>
      <c r="J19" s="22">
        <f t="shared" si="3"/>
        <v>0.97624597316991835</v>
      </c>
      <c r="K19" s="16"/>
    </row>
    <row r="20" spans="1:11">
      <c r="A20" s="14"/>
      <c r="B20" s="9" t="str">
        <f>+[6]Subpartida_pais3!B8</f>
        <v>Cámaras fotográficas</v>
      </c>
      <c r="C20" s="22">
        <f>+[6]Subpartida_pais3!C8</f>
        <v>28.378401450000009</v>
      </c>
      <c r="D20" s="25">
        <f>+[6]Subpartida_pais3!E8</f>
        <v>28.618201949999978</v>
      </c>
      <c r="E20" s="22">
        <f t="shared" si="0"/>
        <v>0.84501059872055251</v>
      </c>
      <c r="F20" s="22">
        <f t="shared" si="1"/>
        <v>1.1413602017421773</v>
      </c>
      <c r="G20" s="22">
        <f>+[6]Subpartida_pais3!D8</f>
        <v>4.5032531699999998</v>
      </c>
      <c r="H20" s="25">
        <f>+[6]Subpartida_pais3!F8</f>
        <v>3.7878263100000007</v>
      </c>
      <c r="I20" s="22">
        <f t="shared" si="2"/>
        <v>-15.886889610516819</v>
      </c>
      <c r="J20" s="22">
        <f t="shared" si="3"/>
        <v>1.2639092973617827</v>
      </c>
      <c r="K20" s="16"/>
    </row>
    <row r="21" spans="1:11">
      <c r="A21" s="14"/>
      <c r="B21" s="9" t="str">
        <f>+[6]Subpartida_pais3!B9</f>
        <v>Tejidos de mezclilla</v>
      </c>
      <c r="C21" s="22">
        <f>+[6]Subpartida_pais3!C9</f>
        <v>13.447151930000002</v>
      </c>
      <c r="D21" s="25">
        <f>+[6]Subpartida_pais3!E9</f>
        <v>23.6695505</v>
      </c>
      <c r="E21" s="22">
        <f t="shared" si="0"/>
        <v>76.0190605654888</v>
      </c>
      <c r="F21" s="22">
        <f t="shared" si="1"/>
        <v>0.94399651595954559</v>
      </c>
      <c r="G21" s="22">
        <f>+[6]Subpartida_pais3!D9</f>
        <v>0.51306421000000002</v>
      </c>
      <c r="H21" s="25">
        <f>+[6]Subpartida_pais3!F9</f>
        <v>0.77676772000000016</v>
      </c>
      <c r="I21" s="22">
        <f t="shared" si="2"/>
        <v>51.397759746289864</v>
      </c>
      <c r="J21" s="22">
        <f t="shared" si="3"/>
        <v>0.25918927185405022</v>
      </c>
      <c r="K21" s="16"/>
    </row>
    <row r="22" spans="1:11">
      <c r="A22" s="14"/>
      <c r="B22" s="9" t="str">
        <f>+[6]Subpartida_pais3!B10</f>
        <v>Llantas para buses</v>
      </c>
      <c r="C22" s="22">
        <f>+[6]Subpartida_pais3!C10</f>
        <v>7.1826630300000005</v>
      </c>
      <c r="D22" s="25">
        <f>+[6]Subpartida_pais3!E10</f>
        <v>22.547596360000004</v>
      </c>
      <c r="E22" s="22">
        <f t="shared" si="0"/>
        <v>213.91694509160345</v>
      </c>
      <c r="F22" s="22">
        <f t="shared" si="1"/>
        <v>0.89925038530419654</v>
      </c>
      <c r="G22" s="22">
        <f>+[6]Subpartida_pais3!D10</f>
        <v>1.1352699899999998</v>
      </c>
      <c r="H22" s="25">
        <f>+[6]Subpartida_pais3!F10</f>
        <v>1.8449341600000002</v>
      </c>
      <c r="I22" s="22">
        <f t="shared" si="2"/>
        <v>62.510607718962106</v>
      </c>
      <c r="J22" s="22">
        <f t="shared" si="3"/>
        <v>0.61561150037113244</v>
      </c>
      <c r="K22" s="16"/>
    </row>
    <row r="23" spans="1:11">
      <c r="A23" s="14"/>
      <c r="B23" s="9" t="str">
        <f>+[6]Subpartida_pais3!B11</f>
        <v>Baldosas y losas</v>
      </c>
      <c r="C23" s="22">
        <f>+[6]Subpartida_pais3!C11</f>
        <v>15.407468219999988</v>
      </c>
      <c r="D23" s="25">
        <f>+[6]Subpartida_pais3!E11</f>
        <v>20.258437800000014</v>
      </c>
      <c r="E23" s="22">
        <f t="shared" si="0"/>
        <v>31.484534063183212</v>
      </c>
      <c r="F23" s="22">
        <f t="shared" si="1"/>
        <v>0.80795343798282848</v>
      </c>
      <c r="G23" s="22">
        <f>+[6]Subpartida_pais3!D11</f>
        <v>2.2065916799999998</v>
      </c>
      <c r="H23" s="25">
        <f>+[6]Subpartida_pais3!F11</f>
        <v>3.4434714899999999</v>
      </c>
      <c r="I23" s="22">
        <f t="shared" si="2"/>
        <v>56.053859951107945</v>
      </c>
      <c r="J23" s="22">
        <f t="shared" si="3"/>
        <v>1.1490061252072643</v>
      </c>
      <c r="K23" s="16"/>
    </row>
    <row r="24" spans="1:11">
      <c r="A24" s="14"/>
      <c r="B24" s="9" t="str">
        <f>+[6]Subpartida_pais3!B12</f>
        <v>Calzados</v>
      </c>
      <c r="C24" s="22">
        <f>+[6]Subpartida_pais3!C12</f>
        <v>11.743710339999998</v>
      </c>
      <c r="D24" s="25">
        <f>+[6]Subpartida_pais3!E12</f>
        <v>19.095416600000014</v>
      </c>
      <c r="E24" s="22">
        <f t="shared" si="0"/>
        <v>62.601222672867941</v>
      </c>
      <c r="F24" s="22">
        <f t="shared" si="1"/>
        <v>0.76156945782287189</v>
      </c>
      <c r="G24" s="22">
        <f>+[6]Subpartida_pais3!D12</f>
        <v>2.6848733999999994</v>
      </c>
      <c r="H24" s="25">
        <f>+[6]Subpartida_pais3!F12</f>
        <v>3.7465246299999984</v>
      </c>
      <c r="I24" s="22">
        <f t="shared" si="2"/>
        <v>39.541947489963562</v>
      </c>
      <c r="J24" s="22">
        <f t="shared" si="3"/>
        <v>1.2501278900119128</v>
      </c>
      <c r="K24" s="16"/>
    </row>
    <row r="25" spans="1:11">
      <c r="A25" s="14"/>
      <c r="B25" s="9" t="str">
        <f>+[6]Subpartida_pais3!B13</f>
        <v>Sacos de viaje</v>
      </c>
      <c r="C25" s="22">
        <f>+[6]Subpartida_pais3!C13</f>
        <v>12.68779498000001</v>
      </c>
      <c r="D25" s="25">
        <f>+[6]Subpartida_pais3!E13</f>
        <v>17.043927240000002</v>
      </c>
      <c r="E25" s="22">
        <f t="shared" si="0"/>
        <v>34.333249133254725</v>
      </c>
      <c r="F25" s="22">
        <f t="shared" si="1"/>
        <v>0.67975130887373614</v>
      </c>
      <c r="G25" s="22">
        <f>+[6]Subpartida_pais3!D13</f>
        <v>2.3142587299999988</v>
      </c>
      <c r="H25" s="25">
        <f>+[6]Subpartida_pais3!F13</f>
        <v>3.0882566999999992</v>
      </c>
      <c r="I25" s="22">
        <f t="shared" si="2"/>
        <v>33.444746690012515</v>
      </c>
      <c r="J25" s="22">
        <f t="shared" si="3"/>
        <v>1.0304792343474207</v>
      </c>
      <c r="K25" s="16"/>
    </row>
    <row r="26" spans="1:11">
      <c r="A26" s="14"/>
      <c r="B26" s="9" t="str">
        <f>+[6]Subpartida_pais3!B14</f>
        <v>Ascensores, montacargas</v>
      </c>
      <c r="C26" s="22">
        <f>+[6]Subpartida_pais3!C14</f>
        <v>11.223051160000004</v>
      </c>
      <c r="D26" s="25">
        <f>+[6]Subpartida_pais3!E14</f>
        <v>14.206795870000006</v>
      </c>
      <c r="E26" s="22">
        <f t="shared" si="0"/>
        <v>26.585860364197078</v>
      </c>
      <c r="F26" s="22">
        <f t="shared" si="1"/>
        <v>0.56659993624418292</v>
      </c>
      <c r="G26" s="22">
        <f>+[6]Subpartida_pais3!D14</f>
        <v>1.0689271600000001</v>
      </c>
      <c r="H26" s="25">
        <f>+[6]Subpartida_pais3!F14</f>
        <v>1.4439034099999999</v>
      </c>
      <c r="I26" s="22">
        <f t="shared" si="2"/>
        <v>35.079682136620029</v>
      </c>
      <c r="J26" s="22">
        <f t="shared" si="3"/>
        <v>0.48179689221055688</v>
      </c>
      <c r="K26" s="16"/>
    </row>
    <row r="27" spans="1:11">
      <c r="A27" s="14"/>
      <c r="B27" s="9" t="str">
        <f>+[6]Subpartida_pais3!B15</f>
        <v>Máquinas de sondeo</v>
      </c>
      <c r="C27" s="22">
        <f>+[6]Subpartida_pais3!C15</f>
        <v>0.21407802000000004</v>
      </c>
      <c r="D27" s="25">
        <f>+[6]Subpartida_pais3!E15</f>
        <v>14.160715759999999</v>
      </c>
      <c r="E27" s="22">
        <f t="shared" si="0"/>
        <v>6514.7452970650593</v>
      </c>
      <c r="F27" s="22">
        <f t="shared" si="1"/>
        <v>0.56476215469040825</v>
      </c>
      <c r="G27" s="22">
        <f>+[6]Subpartida_pais3!D15</f>
        <v>8.6147000000000003E-4</v>
      </c>
      <c r="H27" s="25">
        <f>+[6]Subpartida_pais3!F15</f>
        <v>1.81278436</v>
      </c>
      <c r="I27" s="22">
        <f t="shared" si="2"/>
        <v>210329.19196257557</v>
      </c>
      <c r="J27" s="22">
        <f t="shared" si="3"/>
        <v>0.6048838619308361</v>
      </c>
      <c r="K27" s="16"/>
    </row>
    <row r="28" spans="1:11">
      <c r="A28" s="14"/>
      <c r="B28" s="9" t="str">
        <f>+[6]Subpartida_pais3!B16</f>
        <v>Máquinas de sondeo</v>
      </c>
      <c r="C28" s="22">
        <f>+[6]Subpartida_pais3!C16</f>
        <v>6.9309999999999997E-2</v>
      </c>
      <c r="D28" s="25">
        <f>+[6]Subpartida_pais3!E16</f>
        <v>13.71955563</v>
      </c>
      <c r="E28" s="22">
        <f t="shared" si="0"/>
        <v>19694.482224787189</v>
      </c>
      <c r="F28" s="22">
        <f t="shared" si="1"/>
        <v>0.54716766654411841</v>
      </c>
      <c r="G28" s="22">
        <f>+[6]Subpartida_pais3!D16</f>
        <v>0</v>
      </c>
      <c r="H28" s="25">
        <f>+[6]Subpartida_pais3!F16</f>
        <v>8.2149034299999997</v>
      </c>
      <c r="I28" s="22" t="str">
        <f t="shared" si="2"/>
        <v/>
      </c>
      <c r="J28" s="22">
        <f t="shared" si="3"/>
        <v>2.7411216809743832</v>
      </c>
      <c r="K28" s="16"/>
    </row>
    <row r="29" spans="1:11">
      <c r="A29" s="14"/>
      <c r="B29" s="9" t="str">
        <f>+[6]Subpartida_pais3!B17</f>
        <v>Lámparas y tubos</v>
      </c>
      <c r="C29" s="22">
        <f>+[6]Subpartida_pais3!C17</f>
        <v>20.822170840000002</v>
      </c>
      <c r="D29" s="25">
        <f>+[6]Subpartida_pais3!E17</f>
        <v>12.015095669999985</v>
      </c>
      <c r="E29" s="22">
        <f t="shared" si="0"/>
        <v>-42.296623333247105</v>
      </c>
      <c r="F29" s="22">
        <f t="shared" si="1"/>
        <v>0.47918985412927928</v>
      </c>
      <c r="G29" s="22">
        <f>+[6]Subpartida_pais3!D17</f>
        <v>1.3849821500000001</v>
      </c>
      <c r="H29" s="25">
        <f>+[6]Subpartida_pais3!F17</f>
        <v>1.1972954199999997</v>
      </c>
      <c r="I29" s="22">
        <f t="shared" si="2"/>
        <v>-13.551563101372855</v>
      </c>
      <c r="J29" s="22">
        <f t="shared" si="3"/>
        <v>0.39950955750837469</v>
      </c>
      <c r="K29" s="16"/>
    </row>
    <row r="30" spans="1:11">
      <c r="A30" s="14"/>
      <c r="B30" s="9" t="str">
        <f>+[6]Subpartida_pais3!B18</f>
        <v>Aparatos de grabación</v>
      </c>
      <c r="C30" s="22">
        <f>+[6]Subpartida_pais3!C18</f>
        <v>8.8630839499999965</v>
      </c>
      <c r="D30" s="25">
        <f>+[6]Subpartida_pais3!E18</f>
        <v>11.65187583000001</v>
      </c>
      <c r="E30" s="22">
        <f t="shared" si="0"/>
        <v>31.465254032711897</v>
      </c>
      <c r="F30" s="22">
        <f t="shared" si="1"/>
        <v>0.46470380533475913</v>
      </c>
      <c r="G30" s="22">
        <f>+[6]Subpartida_pais3!D18</f>
        <v>1.9847552899999998</v>
      </c>
      <c r="H30" s="25">
        <f>+[6]Subpartida_pais3!F18</f>
        <v>2.3825783599999992</v>
      </c>
      <c r="I30" s="22">
        <f t="shared" si="2"/>
        <v>20.043935491916454</v>
      </c>
      <c r="J30" s="22">
        <f t="shared" si="3"/>
        <v>0.79501083060405342</v>
      </c>
      <c r="K30" s="16"/>
    </row>
    <row r="31" spans="1:11">
      <c r="A31" s="14"/>
      <c r="B31" s="9" t="str">
        <f>+[6]Subpartida_pais3!B19</f>
        <v>Llantas para automóviles</v>
      </c>
      <c r="C31" s="22">
        <f>+[6]Subpartida_pais3!C19</f>
        <v>5.999498860000001</v>
      </c>
      <c r="D31" s="25">
        <f>+[6]Subpartida_pais3!E19</f>
        <v>11.246942069999999</v>
      </c>
      <c r="E31" s="22">
        <f t="shared" si="0"/>
        <v>87.464692175972814</v>
      </c>
      <c r="F31" s="22">
        <f t="shared" si="1"/>
        <v>0.44855410876006457</v>
      </c>
      <c r="G31" s="22">
        <f>+[6]Subpartida_pais3!D19</f>
        <v>0.53845602999999997</v>
      </c>
      <c r="H31" s="25">
        <f>+[6]Subpartida_pais3!F19</f>
        <v>1.0061084799999997</v>
      </c>
      <c r="I31" s="22">
        <f t="shared" si="2"/>
        <v>86.850629196222357</v>
      </c>
      <c r="J31" s="22">
        <f t="shared" si="3"/>
        <v>0.33571493462342272</v>
      </c>
      <c r="K31" s="16"/>
    </row>
    <row r="32" spans="1:11">
      <c r="A32" s="14"/>
      <c r="B32" s="9" t="str">
        <f>+[6]Subpartida_pais3!B20</f>
        <v>Partes de Teléfonos</v>
      </c>
      <c r="C32" s="22">
        <f>+[6]Subpartida_pais3!C20</f>
        <v>9.9193299199999956</v>
      </c>
      <c r="D32" s="25">
        <f>+[6]Subpartida_pais3!E20</f>
        <v>11.050706469999998</v>
      </c>
      <c r="E32" s="22">
        <f t="shared" si="0"/>
        <v>11.40577598612631</v>
      </c>
      <c r="F32" s="22">
        <f t="shared" si="1"/>
        <v>0.44072777835690657</v>
      </c>
      <c r="G32" s="22">
        <f>+[6]Subpartida_pais3!D20</f>
        <v>1.8660675000000004</v>
      </c>
      <c r="H32" s="25">
        <f>+[6]Subpartida_pais3!F20</f>
        <v>1.24762273</v>
      </c>
      <c r="I32" s="22">
        <f t="shared" si="2"/>
        <v>-33.141607685681265</v>
      </c>
      <c r="J32" s="22">
        <f t="shared" si="3"/>
        <v>0.41630260708730565</v>
      </c>
      <c r="K32" s="16"/>
    </row>
    <row r="33" spans="1:11">
      <c r="A33" s="14"/>
      <c r="B33" s="9" t="str">
        <f>+[6]Subpartida_pais3!B21</f>
        <v>Los demás juguetes</v>
      </c>
      <c r="C33" s="22">
        <f>+[6]Subpartida_pais3!C21</f>
        <v>6.9324362899999974</v>
      </c>
      <c r="D33" s="25">
        <f>+[6]Subpartida_pais3!E21</f>
        <v>10.840564860000004</v>
      </c>
      <c r="E33" s="22">
        <f t="shared" si="0"/>
        <v>56.374532797906298</v>
      </c>
      <c r="F33" s="22">
        <f t="shared" si="1"/>
        <v>0.43234684405491708</v>
      </c>
      <c r="G33" s="22">
        <f>+[6]Subpartida_pais3!D21</f>
        <v>0.51757782999999991</v>
      </c>
      <c r="H33" s="25">
        <f>+[6]Subpartida_pais3!F21</f>
        <v>0.92047925999999991</v>
      </c>
      <c r="I33" s="22">
        <f t="shared" si="2"/>
        <v>77.843641409447557</v>
      </c>
      <c r="J33" s="22">
        <f t="shared" si="3"/>
        <v>0.30714246101286868</v>
      </c>
      <c r="K33" s="16"/>
    </row>
    <row r="34" spans="1:11">
      <c r="A34" s="14"/>
      <c r="B34" s="9" t="str">
        <f>+[6]Subpartida_pais3!B22</f>
        <v>Manufacturas de plástico</v>
      </c>
      <c r="C34" s="22">
        <f>+[6]Subpartida_pais3!C22</f>
        <v>8.0211266800000089</v>
      </c>
      <c r="D34" s="25">
        <f>+[6]Subpartida_pais3!E22</f>
        <v>10.717259420000016</v>
      </c>
      <c r="E34" s="22">
        <f t="shared" si="0"/>
        <v>33.612893145330602</v>
      </c>
      <c r="F34" s="22">
        <f t="shared" si="1"/>
        <v>0.42742913741072674</v>
      </c>
      <c r="G34" s="22">
        <f>+[6]Subpartida_pais3!D22</f>
        <v>1.3078205900000006</v>
      </c>
      <c r="H34" s="25">
        <f>+[6]Subpartida_pais3!F22</f>
        <v>0.94166632000000006</v>
      </c>
      <c r="I34" s="22">
        <f t="shared" si="2"/>
        <v>-27.997285927422233</v>
      </c>
      <c r="J34" s="22">
        <f t="shared" si="3"/>
        <v>0.31421208879571239</v>
      </c>
      <c r="K34" s="16"/>
    </row>
    <row r="35" spans="1:11">
      <c r="A35" s="14"/>
      <c r="B35" s="9" t="str">
        <f>+[6]Subpartida_pais3!B23</f>
        <v>Tejidos fibras sintéticas</v>
      </c>
      <c r="C35" s="22">
        <f>+[6]Subpartida_pais3!C23</f>
        <v>2.0014680200000003</v>
      </c>
      <c r="D35" s="25">
        <f>+[6]Subpartida_pais3!E23</f>
        <v>10.633650489999996</v>
      </c>
      <c r="E35" s="22">
        <f t="shared" si="0"/>
        <v>431.29255045504016</v>
      </c>
      <c r="F35" s="22">
        <f t="shared" si="1"/>
        <v>0.42409461956159711</v>
      </c>
      <c r="G35" s="22">
        <f>+[6]Subpartida_pais3!D23</f>
        <v>0.24534903000000002</v>
      </c>
      <c r="H35" s="25">
        <f>+[6]Subpartida_pais3!F23</f>
        <v>1.0695410400000001</v>
      </c>
      <c r="I35" s="22">
        <f t="shared" si="2"/>
        <v>335.92633726736148</v>
      </c>
      <c r="J35" s="22">
        <f t="shared" si="3"/>
        <v>0.35688090047771759</v>
      </c>
      <c r="K35" s="16"/>
    </row>
    <row r="36" spans="1:11">
      <c r="A36" s="14"/>
      <c r="B36" s="9" t="str">
        <f>+[6]Subpartida_pais3!B24</f>
        <v>Paneles LCD o plasma</v>
      </c>
      <c r="C36" s="22">
        <f>+[6]Subpartida_pais3!C24</f>
        <v>6.7835421100000008</v>
      </c>
      <c r="D36" s="25">
        <f>+[6]Subpartida_pais3!E24</f>
        <v>10.417102410000005</v>
      </c>
      <c r="E36" s="22">
        <f t="shared" si="0"/>
        <v>53.564350911061176</v>
      </c>
      <c r="F36" s="22">
        <f t="shared" si="1"/>
        <v>0.41545818039230586</v>
      </c>
      <c r="G36" s="22">
        <f>+[6]Subpartida_pais3!D24</f>
        <v>1.2812736200000001</v>
      </c>
      <c r="H36" s="25">
        <f>+[6]Subpartida_pais3!F24</f>
        <v>2.4779501700000002</v>
      </c>
      <c r="I36" s="22">
        <f t="shared" si="2"/>
        <v>93.39742357296015</v>
      </c>
      <c r="J36" s="22">
        <f t="shared" si="3"/>
        <v>0.82683417927423652</v>
      </c>
      <c r="K36" s="16"/>
    </row>
    <row r="37" spans="1:11">
      <c r="A37" s="14"/>
      <c r="B37" s="9" t="str">
        <f>+[6]Subpartida_pais3!B25</f>
        <v>Juguetes</v>
      </c>
      <c r="C37" s="22">
        <f>+[6]Subpartida_pais3!C25</f>
        <v>6.3786665199999968</v>
      </c>
      <c r="D37" s="25">
        <f>+[6]Subpartida_pais3!E25</f>
        <v>10.302771959999989</v>
      </c>
      <c r="E37" s="22">
        <f t="shared" si="0"/>
        <v>61.519212952991829</v>
      </c>
      <c r="F37" s="22">
        <f t="shared" si="1"/>
        <v>0.41089841714424147</v>
      </c>
      <c r="G37" s="22">
        <f>+[6]Subpartida_pais3!D25</f>
        <v>1.1914011600000003</v>
      </c>
      <c r="H37" s="25">
        <f>+[6]Subpartida_pais3!F25</f>
        <v>1.0873259399999999</v>
      </c>
      <c r="I37" s="22">
        <f t="shared" si="2"/>
        <v>-8.735531195890422</v>
      </c>
      <c r="J37" s="22">
        <f t="shared" si="3"/>
        <v>0.36281530681607194</v>
      </c>
      <c r="K37" s="16"/>
    </row>
    <row r="38" spans="1:11">
      <c r="A38" s="14"/>
      <c r="B38" s="9" t="str">
        <f>+[6]Subpartida_pais3!B26</f>
        <v>Receptores televisión</v>
      </c>
      <c r="C38" s="22">
        <f>+[6]Subpartida_pais3!C26</f>
        <v>3.4546460400000001</v>
      </c>
      <c r="D38" s="25">
        <f>+[6]Subpartida_pais3!E26</f>
        <v>9.8954806500000032</v>
      </c>
      <c r="E38" s="22">
        <f t="shared" si="0"/>
        <v>186.43978385698824</v>
      </c>
      <c r="F38" s="22">
        <f t="shared" si="1"/>
        <v>0.39465469601313735</v>
      </c>
      <c r="G38" s="22">
        <f>+[6]Subpartida_pais3!D26</f>
        <v>3.2110300000000001E-3</v>
      </c>
      <c r="H38" s="25">
        <f>+[6]Subpartida_pais3!F26</f>
        <v>1.2455500000000002E-3</v>
      </c>
      <c r="I38" s="22">
        <f t="shared" si="2"/>
        <v>-61.210265864847102</v>
      </c>
      <c r="J38" s="22">
        <f t="shared" si="3"/>
        <v>4.1561098542793756E-4</v>
      </c>
      <c r="K38" s="16"/>
    </row>
    <row r="39" spans="1:11">
      <c r="A39" s="14"/>
      <c r="B39" s="9" t="str">
        <f>+[6]Subpartida_pais3!B27</f>
        <v>Artículos navideños</v>
      </c>
      <c r="C39" s="22">
        <f>+[6]Subpartida_pais3!C27</f>
        <v>7.5470852699999966</v>
      </c>
      <c r="D39" s="25">
        <f>+[6]Subpartida_pais3!E27</f>
        <v>9.5901963799999983</v>
      </c>
      <c r="E39" s="22">
        <f t="shared" si="0"/>
        <v>27.071525455283506</v>
      </c>
      <c r="F39" s="22">
        <f t="shared" si="1"/>
        <v>0.38247925198612648</v>
      </c>
      <c r="G39" s="22">
        <f>+[6]Subpartida_pais3!D27</f>
        <v>0.45118311</v>
      </c>
      <c r="H39" s="25">
        <f>+[6]Subpartida_pais3!F27</f>
        <v>0.62222275999999987</v>
      </c>
      <c r="I39" s="22">
        <f t="shared" si="2"/>
        <v>37.909142919822479</v>
      </c>
      <c r="J39" s="22">
        <f t="shared" si="3"/>
        <v>0.20762122310568903</v>
      </c>
      <c r="K39" s="16"/>
    </row>
    <row r="40" spans="1:11">
      <c r="A40" s="14"/>
      <c r="B40" s="9" t="str">
        <f>+[6]Subpartida_pais3!B28</f>
        <v>Aparatos de alumbrado</v>
      </c>
      <c r="C40" s="22">
        <f>+[6]Subpartida_pais3!C28</f>
        <v>6.7757613399999981</v>
      </c>
      <c r="D40" s="25">
        <f>+[6]Subpartida_pais3!E28</f>
        <v>9.4866878799999981</v>
      </c>
      <c r="E40" s="22">
        <f t="shared" si="0"/>
        <v>40.00917983926513</v>
      </c>
      <c r="F40" s="22">
        <f t="shared" si="1"/>
        <v>0.37835109317837051</v>
      </c>
      <c r="G40" s="22">
        <f>+[6]Subpartida_pais3!D28</f>
        <v>0.69582383999999997</v>
      </c>
      <c r="H40" s="25">
        <f>+[6]Subpartida_pais3!F28</f>
        <v>0.85221531000000006</v>
      </c>
      <c r="I40" s="22">
        <f t="shared" si="2"/>
        <v>22.475727477230457</v>
      </c>
      <c r="J40" s="22">
        <f t="shared" si="3"/>
        <v>0.28436437299656797</v>
      </c>
      <c r="K40" s="16"/>
    </row>
    <row r="41" spans="1:11">
      <c r="A41" s="14"/>
      <c r="B41" s="9" t="str">
        <f>+[6]Subpartida_pais3!B29</f>
        <v>Antibióticos</v>
      </c>
      <c r="C41" s="22">
        <f>+[6]Subpartida_pais3!C29</f>
        <v>8.5715080999999973</v>
      </c>
      <c r="D41" s="25">
        <f>+[6]Subpartida_pais3!E29</f>
        <v>9.1764363800000055</v>
      </c>
      <c r="E41" s="22">
        <f t="shared" si="0"/>
        <v>7.0574311188017047</v>
      </c>
      <c r="F41" s="22">
        <f t="shared" si="1"/>
        <v>0.36597754450995723</v>
      </c>
      <c r="G41" s="22">
        <f>+[6]Subpartida_pais3!D29</f>
        <v>0.90819336000000006</v>
      </c>
      <c r="H41" s="25">
        <f>+[6]Subpartida_pais3!F29</f>
        <v>1.07322501</v>
      </c>
      <c r="I41" s="22">
        <f t="shared" si="2"/>
        <v>18.171422217841361</v>
      </c>
      <c r="J41" s="22">
        <f t="shared" si="3"/>
        <v>0.35811015534664048</v>
      </c>
      <c r="K41" s="16"/>
    </row>
    <row r="42" spans="1:11">
      <c r="A42" s="14"/>
      <c r="B42" s="9" t="str">
        <f>+[6]Subpartida_pais3!B30</f>
        <v>Piletas de lavar</v>
      </c>
      <c r="C42" s="22">
        <f>+[6]Subpartida_pais3!C30</f>
        <v>3.9102492000000004</v>
      </c>
      <c r="D42" s="25">
        <f>+[6]Subpartida_pais3!E30</f>
        <v>9.1648714099999928</v>
      </c>
      <c r="E42" s="22">
        <f t="shared" si="0"/>
        <v>134.38075020896346</v>
      </c>
      <c r="F42" s="22">
        <f t="shared" si="1"/>
        <v>0.36551630671048196</v>
      </c>
      <c r="G42" s="22">
        <f>+[6]Subpartida_pais3!D30</f>
        <v>0.56367372000000004</v>
      </c>
      <c r="H42" s="25">
        <f>+[6]Subpartida_pais3!F30</f>
        <v>0.95575818000000012</v>
      </c>
      <c r="I42" s="22">
        <f t="shared" si="2"/>
        <v>69.558761760260907</v>
      </c>
      <c r="J42" s="22">
        <f t="shared" si="3"/>
        <v>0.31891421381768059</v>
      </c>
      <c r="K42" s="16"/>
    </row>
    <row r="43" spans="1:11">
      <c r="A43" s="14"/>
      <c r="B43" s="9" t="str">
        <f>+[6]Subpartida_pais3!B31</f>
        <v>Receptores de radiodifusión</v>
      </c>
      <c r="C43" s="22">
        <f>+[6]Subpartida_pais3!C31</f>
        <v>3.8267151900000016</v>
      </c>
      <c r="D43" s="25">
        <f>+[6]Subpartida_pais3!E31</f>
        <v>9.1579643900000054</v>
      </c>
      <c r="E43" s="22">
        <f t="shared" si="0"/>
        <v>139.31659230693887</v>
      </c>
      <c r="F43" s="22">
        <f t="shared" si="1"/>
        <v>0.36524083874941315</v>
      </c>
      <c r="G43" s="22">
        <f>+[6]Subpartida_pais3!D31</f>
        <v>0.93617349000000005</v>
      </c>
      <c r="H43" s="25">
        <f>+[6]Subpartida_pais3!F31</f>
        <v>2.5149094700000001</v>
      </c>
      <c r="I43" s="22">
        <f t="shared" si="2"/>
        <v>168.63711660965745</v>
      </c>
      <c r="J43" s="22">
        <f t="shared" si="3"/>
        <v>0.83916663569407246</v>
      </c>
      <c r="K43" s="16"/>
    </row>
    <row r="44" spans="1:11">
      <c r="A44" s="14"/>
      <c r="B44" s="9" t="s">
        <v>3</v>
      </c>
      <c r="C44" s="22">
        <f>+C13-SUM(C14:C43)</f>
        <v>1105.1641251300184</v>
      </c>
      <c r="D44" s="25">
        <f>+D13-SUM(D14:D43)</f>
        <v>1641.7656785499628</v>
      </c>
      <c r="E44" s="22">
        <f t="shared" si="0"/>
        <v>48.554014848863744</v>
      </c>
      <c r="F44" s="22">
        <f t="shared" si="1"/>
        <v>65.477419208832217</v>
      </c>
      <c r="G44" s="22">
        <f>+G13-SUM(G14:G43)</f>
        <v>124.70231770000059</v>
      </c>
      <c r="H44" s="25">
        <f>+H13-SUM(H14:H43)</f>
        <v>183.25403754000081</v>
      </c>
      <c r="I44" s="22">
        <f t="shared" si="2"/>
        <v>46.9531929477522</v>
      </c>
      <c r="J44" s="22">
        <f t="shared" si="3"/>
        <v>61.147598350646682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f>+Principales_paises!C17</f>
        <v>782.67670545000408</v>
      </c>
      <c r="D13" s="25">
        <f>+Principales_paises!D17</f>
        <v>862.01595451999924</v>
      </c>
      <c r="E13" s="25">
        <f>IF(OR(OR(D13=0,C13=0),D13=""),"",(D13/C13-1)*100)</f>
        <v>10.136912024790456</v>
      </c>
      <c r="F13" s="23">
        <f>(D13/D$13)*100</f>
        <v>100</v>
      </c>
      <c r="G13" s="25">
        <f>+Principales_paises!G17</f>
        <v>73.47509142999985</v>
      </c>
      <c r="H13" s="25">
        <f>+Principales_paises!H17</f>
        <v>87.527580959999554</v>
      </c>
      <c r="I13" s="25">
        <f>IF(OR(OR(H13=0,G13=0),H13=""),"",(H13/G13-1)*100)</f>
        <v>19.125514860212988</v>
      </c>
      <c r="J13" s="23">
        <f>(H13/H$13)*100</f>
        <v>100</v>
      </c>
      <c r="K13" s="16"/>
    </row>
    <row r="14" spans="1:14">
      <c r="A14" s="14"/>
      <c r="B14" s="9" t="str">
        <f>+[6]Subpartida_pais4!B2</f>
        <v>Medicamentos uso humano</v>
      </c>
      <c r="C14" s="22">
        <f>+[6]Subpartida_pais4!C2</f>
        <v>29.530851040000034</v>
      </c>
      <c r="D14" s="25">
        <f>+[6]Subpartida_pais4!E2</f>
        <v>37.61103215</v>
      </c>
      <c r="E14" s="22">
        <f t="shared" ref="E14:E44" si="0">IF(OR(OR(D14=0,C14=0),D14=""),"",(D14/C14-1)*100)</f>
        <v>27.361829495043089</v>
      </c>
      <c r="F14" s="22">
        <f t="shared" ref="F14:F44" si="1">(D14/D$13)*100</f>
        <v>4.3631480314007813</v>
      </c>
      <c r="G14" s="22">
        <f>+[6]Subpartida_pais4!D2</f>
        <v>2.3241886399999996</v>
      </c>
      <c r="H14" s="25">
        <f>+[6]Subpartida_pais4!F2</f>
        <v>3.5883624400000005</v>
      </c>
      <c r="I14" s="22">
        <f t="shared" ref="I14:I44" si="2">IF(OR(OR(H14=0,G14=0),H14=""),"",(H14/G14-1)*100)</f>
        <v>54.392047970770619</v>
      </c>
      <c r="J14" s="22">
        <f>(H14/H$13)*100</f>
        <v>4.0996933773822626</v>
      </c>
      <c r="K14" s="16"/>
    </row>
    <row r="15" spans="1:14">
      <c r="A15" s="14"/>
      <c r="B15" s="9" t="str">
        <f>+[6]Subpartida_pais4!B3</f>
        <v>Preparaciones para bebidas</v>
      </c>
      <c r="C15" s="22">
        <f>+[6]Subpartida_pais4!C3</f>
        <v>39.753707570000003</v>
      </c>
      <c r="D15" s="25">
        <f>+[6]Subpartida_pais4!E3</f>
        <v>35.287585820000018</v>
      </c>
      <c r="E15" s="22">
        <f t="shared" si="0"/>
        <v>-11.234478550549909</v>
      </c>
      <c r="F15" s="22">
        <f t="shared" si="1"/>
        <v>4.0936116825876372</v>
      </c>
      <c r="G15" s="22">
        <f>+[6]Subpartida_pais4!D3</f>
        <v>1.8463148500000002</v>
      </c>
      <c r="H15" s="25">
        <f>+[6]Subpartida_pais4!F3</f>
        <v>2.97754407</v>
      </c>
      <c r="I15" s="22">
        <f t="shared" si="2"/>
        <v>61.269572738365817</v>
      </c>
      <c r="J15" s="22">
        <f t="shared" ref="J15:J44" si="3">(H15/H$13)*100</f>
        <v>3.4018352127893827</v>
      </c>
      <c r="K15" s="16"/>
    </row>
    <row r="16" spans="1:14">
      <c r="A16" s="14"/>
      <c r="B16" s="9" t="str">
        <f>+[6]Subpartida_pais4!B4</f>
        <v>Vehículos 1.500 y 3.000 cm3</v>
      </c>
      <c r="C16" s="22">
        <f>+[6]Subpartida_pais4!C4</f>
        <v>18.858610480000021</v>
      </c>
      <c r="D16" s="25">
        <f>+[6]Subpartida_pais4!E4</f>
        <v>25.441663949999992</v>
      </c>
      <c r="E16" s="22">
        <f t="shared" si="0"/>
        <v>34.907415246639985</v>
      </c>
      <c r="F16" s="22">
        <f t="shared" si="1"/>
        <v>2.9514145088146084</v>
      </c>
      <c r="G16" s="22">
        <f>+[6]Subpartida_pais4!D4</f>
        <v>0.73624319999999999</v>
      </c>
      <c r="H16" s="25">
        <f>+[6]Subpartida_pais4!F4</f>
        <v>2.8874257099999991</v>
      </c>
      <c r="I16" s="22">
        <f t="shared" si="2"/>
        <v>292.18368468462586</v>
      </c>
      <c r="J16" s="22">
        <f t="shared" si="3"/>
        <v>3.2988752554689746</v>
      </c>
      <c r="K16" s="16"/>
    </row>
    <row r="17" spans="1:11">
      <c r="A17" s="14"/>
      <c r="B17" s="9" t="str">
        <f>+[6]Subpartida_pais4!B5</f>
        <v>Papeles y cartones</v>
      </c>
      <c r="C17" s="22">
        <f>+[6]Subpartida_pais4!C5</f>
        <v>24.144917849999992</v>
      </c>
      <c r="D17" s="25">
        <f>+[6]Subpartida_pais4!E5</f>
        <v>24.605997470000005</v>
      </c>
      <c r="E17" s="22">
        <f t="shared" si="0"/>
        <v>1.909634246280989</v>
      </c>
      <c r="F17" s="22">
        <f t="shared" si="1"/>
        <v>2.8544712358255002</v>
      </c>
      <c r="G17" s="22">
        <f>+[6]Subpartida_pais4!D5</f>
        <v>2.5958628099999999</v>
      </c>
      <c r="H17" s="25">
        <f>+[6]Subpartida_pais4!F5</f>
        <v>0.91367591000000015</v>
      </c>
      <c r="I17" s="22">
        <f t="shared" si="2"/>
        <v>-64.802611814451012</v>
      </c>
      <c r="J17" s="22">
        <f t="shared" si="3"/>
        <v>1.0438720000928092</v>
      </c>
      <c r="K17" s="16"/>
    </row>
    <row r="18" spans="1:11">
      <c r="A18" s="14"/>
      <c r="B18" s="9" t="str">
        <f>+[6]Subpartida_pais4!B6</f>
        <v>Teléfonos móviles</v>
      </c>
      <c r="C18" s="22">
        <f>+[6]Subpartida_pais4!C6</f>
        <v>32.58745907000003</v>
      </c>
      <c r="D18" s="25">
        <f>+[6]Subpartida_pais4!E6</f>
        <v>18.345565749999999</v>
      </c>
      <c r="E18" s="22">
        <f t="shared" si="0"/>
        <v>-43.703601711957653</v>
      </c>
      <c r="F18" s="22">
        <f t="shared" si="1"/>
        <v>2.1282164968994635</v>
      </c>
      <c r="G18" s="22">
        <f>+[6]Subpartida_pais4!D6</f>
        <v>2.8559255400000008</v>
      </c>
      <c r="H18" s="25">
        <f>+[6]Subpartida_pais4!F6</f>
        <v>5.3890600500000039</v>
      </c>
      <c r="I18" s="22">
        <f t="shared" si="2"/>
        <v>88.6974983948637</v>
      </c>
      <c r="J18" s="22">
        <f t="shared" si="3"/>
        <v>6.1569850221986888</v>
      </c>
      <c r="K18" s="16"/>
    </row>
    <row r="19" spans="1:11">
      <c r="A19" s="14"/>
      <c r="B19" s="9" t="str">
        <f>+[6]Subpartida_pais4!B7</f>
        <v>Llantas para buses</v>
      </c>
      <c r="C19" s="22">
        <f>+[6]Subpartida_pais4!C7</f>
        <v>10.612942790000009</v>
      </c>
      <c r="D19" s="25">
        <f>+[6]Subpartida_pais4!E7</f>
        <v>17.787709069999988</v>
      </c>
      <c r="E19" s="22">
        <f t="shared" si="0"/>
        <v>67.603928730873463</v>
      </c>
      <c r="F19" s="22">
        <f t="shared" si="1"/>
        <v>2.0635011424939123</v>
      </c>
      <c r="G19" s="22">
        <f>+[6]Subpartida_pais4!D7</f>
        <v>0.78742879999999993</v>
      </c>
      <c r="H19" s="25">
        <f>+[6]Subpartida_pais4!F7</f>
        <v>2.5495573299999998</v>
      </c>
      <c r="I19" s="22">
        <f t="shared" si="2"/>
        <v>223.78258580331328</v>
      </c>
      <c r="J19" s="22">
        <f t="shared" si="3"/>
        <v>2.9128616397671925</v>
      </c>
      <c r="K19" s="16"/>
    </row>
    <row r="20" spans="1:11">
      <c r="A20" s="14"/>
      <c r="B20" s="9" t="str">
        <f>+[6]Subpartida_pais4!B8</f>
        <v>Aviones &gt; 15 mil kg</v>
      </c>
      <c r="C20" s="22">
        <f>+[6]Subpartida_pais4!C8</f>
        <v>52.310972209999996</v>
      </c>
      <c r="D20" s="25">
        <f>+[6]Subpartida_pais4!E8</f>
        <v>16.363182729999998</v>
      </c>
      <c r="E20" s="22">
        <f t="shared" si="0"/>
        <v>-68.71940619969601</v>
      </c>
      <c r="F20" s="22">
        <f t="shared" si="1"/>
        <v>1.8982459250550174</v>
      </c>
      <c r="G20" s="22">
        <f>+[6]Subpartida_pais4!D8</f>
        <v>6.5383210900000002</v>
      </c>
      <c r="H20" s="25">
        <f>+[6]Subpartida_pais4!F8</f>
        <v>0</v>
      </c>
      <c r="I20" s="22" t="str">
        <f t="shared" si="2"/>
        <v/>
      </c>
      <c r="J20" s="22">
        <f t="shared" si="3"/>
        <v>0</v>
      </c>
      <c r="K20" s="16"/>
    </row>
    <row r="21" spans="1:11">
      <c r="A21" s="14"/>
      <c r="B21" s="9" t="str">
        <f>+[6]Subpartida_pais4!B9</f>
        <v>Chasís de vehículos</v>
      </c>
      <c r="C21" s="22">
        <f>+[6]Subpartida_pais4!C9</f>
        <v>18.382081979999992</v>
      </c>
      <c r="D21" s="25">
        <f>+[6]Subpartida_pais4!E9</f>
        <v>15.28376439</v>
      </c>
      <c r="E21" s="22">
        <f t="shared" si="0"/>
        <v>-16.855096138571312</v>
      </c>
      <c r="F21" s="22">
        <f t="shared" si="1"/>
        <v>1.7730256974780165</v>
      </c>
      <c r="G21" s="22">
        <f>+[6]Subpartida_pais4!D9</f>
        <v>1.47182773</v>
      </c>
      <c r="H21" s="25">
        <f>+[6]Subpartida_pais4!F9</f>
        <v>2.4270085899999994</v>
      </c>
      <c r="I21" s="22">
        <f t="shared" si="2"/>
        <v>64.897599123234301</v>
      </c>
      <c r="J21" s="22">
        <f t="shared" si="3"/>
        <v>2.7728500700929368</v>
      </c>
      <c r="K21" s="16"/>
    </row>
    <row r="22" spans="1:11">
      <c r="A22" s="14"/>
      <c r="B22" s="9" t="str">
        <f>+[6]Subpartida_pais4!B10</f>
        <v>Maíz duro amarillo</v>
      </c>
      <c r="C22" s="22">
        <f>+[6]Subpartida_pais4!C10</f>
        <v>9.7084088500000014</v>
      </c>
      <c r="D22" s="25">
        <f>+[6]Subpartida_pais4!E10</f>
        <v>13.674491220000002</v>
      </c>
      <c r="E22" s="22">
        <f t="shared" si="0"/>
        <v>40.852032823071724</v>
      </c>
      <c r="F22" s="22">
        <f t="shared" si="1"/>
        <v>1.5863385298494201</v>
      </c>
      <c r="G22" s="22">
        <f>+[6]Subpartida_pais4!D10</f>
        <v>1.60145293</v>
      </c>
      <c r="H22" s="25">
        <f>+[6]Subpartida_pais4!F10</f>
        <v>4.4694654999999992</v>
      </c>
      <c r="I22" s="22">
        <f t="shared" si="2"/>
        <v>179.08815902569168</v>
      </c>
      <c r="J22" s="22">
        <f t="shared" si="3"/>
        <v>5.1063509935714579</v>
      </c>
      <c r="K22" s="16"/>
    </row>
    <row r="23" spans="1:11">
      <c r="A23" s="14"/>
      <c r="B23" s="9" t="str">
        <f>+[6]Subpartida_pais4!B11</f>
        <v>Productos laminados</v>
      </c>
      <c r="C23" s="22">
        <f>+[6]Subpartida_pais4!C11</f>
        <v>5.9431317699999999</v>
      </c>
      <c r="D23" s="25">
        <f>+[6]Subpartida_pais4!E11</f>
        <v>12.00889892</v>
      </c>
      <c r="E23" s="22">
        <f t="shared" si="0"/>
        <v>102.06348074964522</v>
      </c>
      <c r="F23" s="22">
        <f t="shared" si="1"/>
        <v>1.3931179413827643</v>
      </c>
      <c r="G23" s="22">
        <f>+[6]Subpartida_pais4!D11</f>
        <v>1.33696908</v>
      </c>
      <c r="H23" s="25">
        <f>+[6]Subpartida_pais4!F11</f>
        <v>0</v>
      </c>
      <c r="I23" s="22" t="str">
        <f t="shared" si="2"/>
        <v/>
      </c>
      <c r="J23" s="22">
        <f t="shared" si="3"/>
        <v>0</v>
      </c>
      <c r="K23" s="16"/>
    </row>
    <row r="24" spans="1:11">
      <c r="A24" s="14"/>
      <c r="B24" s="9" t="str">
        <f>+[6]Subpartida_pais4!B12</f>
        <v>Llantas para automóviles</v>
      </c>
      <c r="C24" s="22">
        <f>+[6]Subpartida_pais4!C12</f>
        <v>7.8745124100000048</v>
      </c>
      <c r="D24" s="25">
        <f>+[6]Subpartida_pais4!E12</f>
        <v>11.911043550000015</v>
      </c>
      <c r="E24" s="22">
        <f t="shared" si="0"/>
        <v>51.260712153732044</v>
      </c>
      <c r="F24" s="22">
        <f t="shared" si="1"/>
        <v>1.38176602040185</v>
      </c>
      <c r="G24" s="22">
        <f>+[6]Subpartida_pais4!D12</f>
        <v>0.88669338999999958</v>
      </c>
      <c r="H24" s="25">
        <f>+[6]Subpartida_pais4!F12</f>
        <v>0.91661699000000008</v>
      </c>
      <c r="I24" s="22">
        <f t="shared" si="2"/>
        <v>3.3747403936326359</v>
      </c>
      <c r="J24" s="22">
        <f t="shared" si="3"/>
        <v>1.0472321752144591</v>
      </c>
      <c r="K24" s="16"/>
    </row>
    <row r="25" spans="1:11">
      <c r="A25" s="14"/>
      <c r="B25" s="9" t="str">
        <f>+[6]Subpartida_pais4!B13</f>
        <v>Medicamentos para VIH</v>
      </c>
      <c r="C25" s="22">
        <f>+[6]Subpartida_pais4!C13</f>
        <v>14.908707539999996</v>
      </c>
      <c r="D25" s="25">
        <f>+[6]Subpartida_pais4!E13</f>
        <v>11.013138529999999</v>
      </c>
      <c r="E25" s="22">
        <f t="shared" si="0"/>
        <v>-26.129488418417246</v>
      </c>
      <c r="F25" s="22">
        <f t="shared" si="1"/>
        <v>1.2776026327879861</v>
      </c>
      <c r="G25" s="22">
        <f>+[6]Subpartida_pais4!D13</f>
        <v>1.5620573100000001</v>
      </c>
      <c r="H25" s="25">
        <f>+[6]Subpartida_pais4!F13</f>
        <v>9.5197800000000003E-3</v>
      </c>
      <c r="I25" s="22">
        <f t="shared" si="2"/>
        <v>-99.390561412884395</v>
      </c>
      <c r="J25" s="22">
        <f t="shared" si="3"/>
        <v>1.0876320235961481E-2</v>
      </c>
      <c r="K25" s="16"/>
    </row>
    <row r="26" spans="1:11">
      <c r="A26" s="14"/>
      <c r="B26" s="9" t="str">
        <f>+[6]Subpartida_pais4!B14</f>
        <v>Anticonceptivos</v>
      </c>
      <c r="C26" s="22">
        <f>+[6]Subpartida_pais4!C14</f>
        <v>10.001751180000001</v>
      </c>
      <c r="D26" s="25">
        <f>+[6]Subpartida_pais4!E14</f>
        <v>9.9074518800000018</v>
      </c>
      <c r="E26" s="22">
        <f t="shared" si="0"/>
        <v>-0.94282789386487265</v>
      </c>
      <c r="F26" s="22">
        <f t="shared" si="1"/>
        <v>1.1493350938634099</v>
      </c>
      <c r="G26" s="22">
        <f>+[6]Subpartida_pais4!D14</f>
        <v>1.12100501</v>
      </c>
      <c r="H26" s="25">
        <f>+[6]Subpartida_pais4!F14</f>
        <v>0.33257929999999997</v>
      </c>
      <c r="I26" s="22">
        <f t="shared" si="2"/>
        <v>-70.332041602561617</v>
      </c>
      <c r="J26" s="22">
        <f t="shared" si="3"/>
        <v>0.37997085758829552</v>
      </c>
      <c r="K26" s="16"/>
    </row>
    <row r="27" spans="1:11">
      <c r="A27" s="14"/>
      <c r="B27" s="9" t="str">
        <f>+[6]Subpartida_pais4!B15</f>
        <v>Aceleradores de reacción</v>
      </c>
      <c r="C27" s="22">
        <f>+[6]Subpartida_pais4!C15</f>
        <v>4.3051201299999997</v>
      </c>
      <c r="D27" s="25">
        <f>+[6]Subpartida_pais4!E15</f>
        <v>9.6557976700000019</v>
      </c>
      <c r="E27" s="22">
        <f t="shared" si="0"/>
        <v>124.28637014595924</v>
      </c>
      <c r="F27" s="22">
        <f t="shared" si="1"/>
        <v>1.1201414103033265</v>
      </c>
      <c r="G27" s="22">
        <f>+[6]Subpartida_pais4!D15</f>
        <v>1.2756848999999999</v>
      </c>
      <c r="H27" s="25">
        <f>+[6]Subpartida_pais4!F15</f>
        <v>1.0487754499999999</v>
      </c>
      <c r="I27" s="22">
        <f t="shared" si="2"/>
        <v>-17.787264707766003</v>
      </c>
      <c r="J27" s="22">
        <f t="shared" si="3"/>
        <v>1.1982228213062285</v>
      </c>
      <c r="K27" s="16"/>
    </row>
    <row r="28" spans="1:11">
      <c r="A28" s="14"/>
      <c r="B28" s="9" t="str">
        <f>+[6]Subpartida_pais4!B16</f>
        <v>Tractores</v>
      </c>
      <c r="C28" s="22">
        <f>+[6]Subpartida_pais4!C16</f>
        <v>4.8347529600000003</v>
      </c>
      <c r="D28" s="25">
        <f>+[6]Subpartida_pais4!E16</f>
        <v>9.1454053700000006</v>
      </c>
      <c r="E28" s="22">
        <f t="shared" si="0"/>
        <v>89.159724305748185</v>
      </c>
      <c r="F28" s="22">
        <f t="shared" si="1"/>
        <v>1.0609322625696045</v>
      </c>
      <c r="G28" s="22">
        <f>+[6]Subpartida_pais4!D16</f>
        <v>0.66971310000000006</v>
      </c>
      <c r="H28" s="25">
        <f>+[6]Subpartida_pais4!F16</f>
        <v>1.3425555200000001</v>
      </c>
      <c r="I28" s="22">
        <f t="shared" si="2"/>
        <v>100.46726277267086</v>
      </c>
      <c r="J28" s="22">
        <f t="shared" si="3"/>
        <v>1.5338656744250172</v>
      </c>
      <c r="K28" s="16"/>
    </row>
    <row r="29" spans="1:11">
      <c r="A29" s="14"/>
      <c r="B29" s="9" t="str">
        <f>+[6]Subpartida_pais4!B17</f>
        <v>Propulsores a reacción</v>
      </c>
      <c r="C29" s="22">
        <f>+[6]Subpartida_pais4!C17</f>
        <v>5.5357241300000002</v>
      </c>
      <c r="D29" s="25">
        <f>+[6]Subpartida_pais4!E17</f>
        <v>8.9433174299999987</v>
      </c>
      <c r="E29" s="22">
        <f t="shared" si="0"/>
        <v>61.556414661870051</v>
      </c>
      <c r="F29" s="22">
        <f t="shared" si="1"/>
        <v>1.0374886199153881</v>
      </c>
      <c r="G29" s="22">
        <f>+[6]Subpartida_pais4!D17</f>
        <v>0</v>
      </c>
      <c r="H29" s="25">
        <f>+[6]Subpartida_pais4!F17</f>
        <v>0</v>
      </c>
      <c r="I29" s="22" t="str">
        <f t="shared" si="2"/>
        <v/>
      </c>
      <c r="J29" s="22">
        <f t="shared" si="3"/>
        <v>0</v>
      </c>
      <c r="K29" s="16"/>
    </row>
    <row r="30" spans="1:11">
      <c r="A30" s="14"/>
      <c r="B30" s="9" t="str">
        <f>+[6]Subpartida_pais4!B18</f>
        <v>Máquinas de afeitar</v>
      </c>
      <c r="C30" s="22">
        <f>+[6]Subpartida_pais4!C18</f>
        <v>3.9368503100000005</v>
      </c>
      <c r="D30" s="25">
        <f>+[6]Subpartida_pais4!E18</f>
        <v>8.733811240000005</v>
      </c>
      <c r="E30" s="22">
        <f t="shared" si="0"/>
        <v>121.84768411984663</v>
      </c>
      <c r="F30" s="22">
        <f t="shared" si="1"/>
        <v>1.0131844073423557</v>
      </c>
      <c r="G30" s="22">
        <f>+[6]Subpartida_pais4!D18</f>
        <v>0</v>
      </c>
      <c r="H30" s="25">
        <f>+[6]Subpartida_pais4!F18</f>
        <v>0.77820828000000009</v>
      </c>
      <c r="I30" s="22" t="str">
        <f t="shared" si="2"/>
        <v/>
      </c>
      <c r="J30" s="22">
        <f t="shared" si="3"/>
        <v>0.88910063715304122</v>
      </c>
      <c r="K30" s="16"/>
    </row>
    <row r="31" spans="1:11">
      <c r="A31" s="14"/>
      <c r="B31" s="9" t="str">
        <f>+[6]Subpartida_pais4!B19</f>
        <v>Azúcares de caña</v>
      </c>
      <c r="C31" s="22">
        <f>+[6]Subpartida_pais4!C19</f>
        <v>7.2680476899999986</v>
      </c>
      <c r="D31" s="25">
        <f>+[6]Subpartida_pais4!E19</f>
        <v>8.6753375700000017</v>
      </c>
      <c r="E31" s="22">
        <f t="shared" si="0"/>
        <v>19.362694633061817</v>
      </c>
      <c r="F31" s="22">
        <f t="shared" si="1"/>
        <v>1.0064010444946734</v>
      </c>
      <c r="G31" s="22">
        <f>+[6]Subpartida_pais4!D19</f>
        <v>1.13188697</v>
      </c>
      <c r="H31" s="25">
        <f>+[6]Subpartida_pais4!F19</f>
        <v>1.12657578</v>
      </c>
      <c r="I31" s="22">
        <f t="shared" si="2"/>
        <v>-0.46923324861668503</v>
      </c>
      <c r="J31" s="22">
        <f t="shared" si="3"/>
        <v>1.2871094661177138</v>
      </c>
      <c r="K31" s="16"/>
    </row>
    <row r="32" spans="1:11">
      <c r="A32" s="14"/>
      <c r="B32" s="9" t="str">
        <f>+[6]Subpartida_pais4!B20</f>
        <v>Tubos para oleoductos</v>
      </c>
      <c r="C32" s="22">
        <f>+[6]Subpartida_pais4!C20</f>
        <v>5.2634501</v>
      </c>
      <c r="D32" s="25">
        <f>+[6]Subpartida_pais4!E20</f>
        <v>8.4633397100000014</v>
      </c>
      <c r="E32" s="22">
        <f t="shared" si="0"/>
        <v>60.794527338636705</v>
      </c>
      <c r="F32" s="22">
        <f t="shared" si="1"/>
        <v>0.98180778042706729</v>
      </c>
      <c r="G32" s="22">
        <f>+[6]Subpartida_pais4!D20</f>
        <v>0.18752039000000001</v>
      </c>
      <c r="H32" s="25">
        <f>+[6]Subpartida_pais4!F20</f>
        <v>0</v>
      </c>
      <c r="I32" s="22" t="str">
        <f t="shared" si="2"/>
        <v/>
      </c>
      <c r="J32" s="22">
        <f t="shared" si="3"/>
        <v>0</v>
      </c>
      <c r="K32" s="16"/>
    </row>
    <row r="33" spans="1:11">
      <c r="A33" s="14"/>
      <c r="B33" s="9" t="str">
        <f>+[6]Subpartida_pais4!B21</f>
        <v>Medicamentos sin antibióticos</v>
      </c>
      <c r="C33" s="22">
        <f>+[6]Subpartida_pais4!C21</f>
        <v>5.8057468899999991</v>
      </c>
      <c r="D33" s="25">
        <f>+[6]Subpartida_pais4!E21</f>
        <v>8.4516334699999973</v>
      </c>
      <c r="E33" s="22">
        <f t="shared" si="0"/>
        <v>45.573577872596481</v>
      </c>
      <c r="F33" s="22">
        <f t="shared" si="1"/>
        <v>0.98044977307945125</v>
      </c>
      <c r="G33" s="22">
        <f>+[6]Subpartida_pais4!D21</f>
        <v>0.68166367000000017</v>
      </c>
      <c r="H33" s="25">
        <f>+[6]Subpartida_pais4!F21</f>
        <v>0.43323708999999999</v>
      </c>
      <c r="I33" s="22">
        <f t="shared" si="2"/>
        <v>-36.444157277737879</v>
      </c>
      <c r="J33" s="22">
        <f t="shared" si="3"/>
        <v>0.49497208222627676</v>
      </c>
      <c r="K33" s="16"/>
    </row>
    <row r="34" spans="1:11">
      <c r="A34" s="14"/>
      <c r="B34" s="9" t="str">
        <f>+[6]Subpartida_pais4!B22</f>
        <v>Laminados de acero</v>
      </c>
      <c r="C34" s="22">
        <f>+[6]Subpartida_pais4!C22</f>
        <v>4.5047157999999996</v>
      </c>
      <c r="D34" s="25">
        <f>+[6]Subpartida_pais4!E22</f>
        <v>7.93664551</v>
      </c>
      <c r="E34" s="22">
        <f t="shared" si="0"/>
        <v>76.185265894021569</v>
      </c>
      <c r="F34" s="22">
        <f t="shared" si="1"/>
        <v>0.92070749600213642</v>
      </c>
      <c r="G34" s="22">
        <f>+[6]Subpartida_pais4!D22</f>
        <v>1.6795678500000002</v>
      </c>
      <c r="H34" s="25">
        <f>+[6]Subpartida_pais4!F22</f>
        <v>0</v>
      </c>
      <c r="I34" s="22" t="str">
        <f t="shared" si="2"/>
        <v/>
      </c>
      <c r="J34" s="22">
        <f t="shared" si="3"/>
        <v>0</v>
      </c>
      <c r="K34" s="16"/>
    </row>
    <row r="35" spans="1:11">
      <c r="A35" s="14"/>
      <c r="B35" s="9" t="str">
        <f>+[6]Subpartida_pais4!B23</f>
        <v>Tarjetas inteligentes</v>
      </c>
      <c r="C35" s="22">
        <f>+[6]Subpartida_pais4!C23</f>
        <v>4.4675232200000154</v>
      </c>
      <c r="D35" s="25">
        <f>+[6]Subpartida_pais4!E23</f>
        <v>7.4887643699999957</v>
      </c>
      <c r="E35" s="22">
        <f t="shared" si="0"/>
        <v>67.626758747993023</v>
      </c>
      <c r="F35" s="22">
        <f t="shared" si="1"/>
        <v>0.86875008875792814</v>
      </c>
      <c r="G35" s="22">
        <f>+[6]Subpartida_pais4!D23</f>
        <v>0.56371181000000015</v>
      </c>
      <c r="H35" s="25">
        <f>+[6]Subpartida_pais4!F23</f>
        <v>1.3229682800000024</v>
      </c>
      <c r="I35" s="22">
        <f t="shared" si="2"/>
        <v>134.68876410448135</v>
      </c>
      <c r="J35" s="22">
        <f t="shared" si="3"/>
        <v>1.5114873111877776</v>
      </c>
      <c r="K35" s="16"/>
    </row>
    <row r="36" spans="1:11">
      <c r="A36" s="14"/>
      <c r="B36" s="9" t="str">
        <f>+[6]Subpartida_pais4!B24</f>
        <v>Fungicidas</v>
      </c>
      <c r="C36" s="22">
        <f>+[6]Subpartida_pais4!C24</f>
        <v>4.5719689500000005</v>
      </c>
      <c r="D36" s="25">
        <f>+[6]Subpartida_pais4!E24</f>
        <v>7.0915851800000018</v>
      </c>
      <c r="E36" s="22">
        <f t="shared" si="0"/>
        <v>55.110090587994939</v>
      </c>
      <c r="F36" s="22">
        <f t="shared" si="1"/>
        <v>0.82267446940107336</v>
      </c>
      <c r="G36" s="22">
        <f>+[6]Subpartida_pais4!D24</f>
        <v>0.57091199999999998</v>
      </c>
      <c r="H36" s="25">
        <f>+[6]Subpartida_pais4!F24</f>
        <v>0.76222619000000003</v>
      </c>
      <c r="I36" s="22">
        <f t="shared" si="2"/>
        <v>33.510276539992169</v>
      </c>
      <c r="J36" s="22">
        <f t="shared" si="3"/>
        <v>0.87084114703037485</v>
      </c>
      <c r="K36" s="16"/>
    </row>
    <row r="37" spans="1:11">
      <c r="A37" s="14"/>
      <c r="B37" s="9" t="str">
        <f>+[6]Subpartida_pais4!B25</f>
        <v>Polietileno</v>
      </c>
      <c r="C37" s="22">
        <f>+[6]Subpartida_pais4!C25</f>
        <v>4.1693662000000007</v>
      </c>
      <c r="D37" s="25">
        <f>+[6]Subpartida_pais4!E25</f>
        <v>6.3719393800000015</v>
      </c>
      <c r="E37" s="22">
        <f t="shared" si="0"/>
        <v>52.827529997245158</v>
      </c>
      <c r="F37" s="22">
        <f t="shared" si="1"/>
        <v>0.7391904229369074</v>
      </c>
      <c r="G37" s="22">
        <f>+[6]Subpartida_pais4!D25</f>
        <v>0.42995791</v>
      </c>
      <c r="H37" s="25">
        <f>+[6]Subpartida_pais4!F25</f>
        <v>0.49101050000000002</v>
      </c>
      <c r="I37" s="22">
        <f t="shared" si="2"/>
        <v>14.199666660394739</v>
      </c>
      <c r="J37" s="22">
        <f t="shared" si="3"/>
        <v>0.56097803071284891</v>
      </c>
      <c r="K37" s="16"/>
    </row>
    <row r="38" spans="1:11">
      <c r="A38" s="14"/>
      <c r="B38" s="9" t="str">
        <f>+[6]Subpartida_pais4!B26</f>
        <v>Laminados sin enrollar</v>
      </c>
      <c r="C38" s="22">
        <f>+[6]Subpartida_pais4!C26</f>
        <v>6.4557412000000012</v>
      </c>
      <c r="D38" s="25">
        <f>+[6]Subpartida_pais4!E26</f>
        <v>6.2853316000000001</v>
      </c>
      <c r="E38" s="22">
        <f t="shared" si="0"/>
        <v>-2.6396597187012594</v>
      </c>
      <c r="F38" s="22">
        <f t="shared" si="1"/>
        <v>0.72914330263178173</v>
      </c>
      <c r="G38" s="22">
        <f>+[6]Subpartida_pais4!D26</f>
        <v>0</v>
      </c>
      <c r="H38" s="25">
        <f>+[6]Subpartida_pais4!F26</f>
        <v>0</v>
      </c>
      <c r="I38" s="22" t="str">
        <f t="shared" si="2"/>
        <v/>
      </c>
      <c r="J38" s="22">
        <f t="shared" si="3"/>
        <v>0</v>
      </c>
      <c r="K38" s="16"/>
    </row>
    <row r="39" spans="1:11">
      <c r="A39" s="14"/>
      <c r="B39" s="9" t="str">
        <f>+[6]Subpartida_pais4!B27</f>
        <v>Calzados suela de caucho</v>
      </c>
      <c r="C39" s="22">
        <f>+[6]Subpartida_pais4!C27</f>
        <v>3.2775288800000002</v>
      </c>
      <c r="D39" s="25">
        <f>+[6]Subpartida_pais4!E27</f>
        <v>6.176024250000002</v>
      </c>
      <c r="E39" s="22">
        <f t="shared" si="0"/>
        <v>88.435387638750626</v>
      </c>
      <c r="F39" s="22">
        <f t="shared" si="1"/>
        <v>0.71646287027703903</v>
      </c>
      <c r="G39" s="22">
        <f>+[6]Subpartida_pais4!D27</f>
        <v>0.82001775999999993</v>
      </c>
      <c r="H39" s="25">
        <f>+[6]Subpartida_pais4!F27</f>
        <v>2.0623817800000004</v>
      </c>
      <c r="I39" s="22">
        <f t="shared" si="2"/>
        <v>151.50452595075507</v>
      </c>
      <c r="J39" s="22">
        <f t="shared" si="3"/>
        <v>2.3562650279830275</v>
      </c>
      <c r="K39" s="16"/>
    </row>
    <row r="40" spans="1:11">
      <c r="A40" s="14"/>
      <c r="B40" s="9" t="str">
        <f>+[6]Subpartida_pais4!B28</f>
        <v>Diuron</v>
      </c>
      <c r="C40" s="22">
        <f>+[6]Subpartida_pais4!C28</f>
        <v>5.08625536</v>
      </c>
      <c r="D40" s="25">
        <f>+[6]Subpartida_pais4!E28</f>
        <v>5.9854330699999991</v>
      </c>
      <c r="E40" s="22">
        <f t="shared" si="0"/>
        <v>17.678579747911026</v>
      </c>
      <c r="F40" s="22">
        <f t="shared" si="1"/>
        <v>0.69435293379609186</v>
      </c>
      <c r="G40" s="22">
        <f>+[6]Subpartida_pais4!D28</f>
        <v>0.20629285</v>
      </c>
      <c r="H40" s="25">
        <f>+[6]Subpartida_pais4!F28</f>
        <v>0.30949167</v>
      </c>
      <c r="I40" s="22">
        <f t="shared" si="2"/>
        <v>50.025398359661999</v>
      </c>
      <c r="J40" s="22">
        <f t="shared" si="3"/>
        <v>0.35359330922379645</v>
      </c>
      <c r="K40" s="16"/>
    </row>
    <row r="41" spans="1:11">
      <c r="A41" s="14"/>
      <c r="B41" s="9" t="str">
        <f>+[6]Subpartida_pais4!B29</f>
        <v>Calzados</v>
      </c>
      <c r="C41" s="22">
        <f>+[6]Subpartida_pais4!C29</f>
        <v>4.9375691800000041</v>
      </c>
      <c r="D41" s="25">
        <f>+[6]Subpartida_pais4!E29</f>
        <v>5.9379618600000024</v>
      </c>
      <c r="E41" s="22">
        <f t="shared" si="0"/>
        <v>20.260833692258217</v>
      </c>
      <c r="F41" s="22">
        <f t="shared" si="1"/>
        <v>0.6888459347955419</v>
      </c>
      <c r="G41" s="22">
        <f>+[6]Subpartida_pais4!D29</f>
        <v>0.90514216000000003</v>
      </c>
      <c r="H41" s="25">
        <f>+[6]Subpartida_pais4!F29</f>
        <v>0.72663039999999979</v>
      </c>
      <c r="I41" s="22">
        <f t="shared" si="2"/>
        <v>-19.721958371710389</v>
      </c>
      <c r="J41" s="22">
        <f t="shared" si="3"/>
        <v>0.83017306319944184</v>
      </c>
      <c r="K41" s="16"/>
    </row>
    <row r="42" spans="1:11">
      <c r="A42" s="14"/>
      <c r="B42" s="9" t="str">
        <f>+[6]Subpartida_pais4!B30</f>
        <v>Alambre de cobre</v>
      </c>
      <c r="C42" s="22">
        <f>+[6]Subpartida_pais4!C30</f>
        <v>8.1509216000000002</v>
      </c>
      <c r="D42" s="25">
        <f>+[6]Subpartida_pais4!E30</f>
        <v>5.6609056600000001</v>
      </c>
      <c r="E42" s="22">
        <f t="shared" si="0"/>
        <v>-30.548888361286654</v>
      </c>
      <c r="F42" s="22">
        <f t="shared" si="1"/>
        <v>0.65670543918786184</v>
      </c>
      <c r="G42" s="22">
        <f>+[6]Subpartida_pais4!D30</f>
        <v>0.66857708000000005</v>
      </c>
      <c r="H42" s="25">
        <f>+[6]Subpartida_pais4!F30</f>
        <v>0.19652386999999999</v>
      </c>
      <c r="I42" s="22">
        <f t="shared" si="2"/>
        <v>-70.605652529997002</v>
      </c>
      <c r="J42" s="22">
        <f t="shared" si="3"/>
        <v>0.22452793490295611</v>
      </c>
      <c r="K42" s="16"/>
    </row>
    <row r="43" spans="1:11">
      <c r="A43" s="14"/>
      <c r="B43" s="9" t="str">
        <f>+[6]Subpartida_pais4!B31</f>
        <v>Partes de bombas</v>
      </c>
      <c r="C43" s="22">
        <f>+[6]Subpartida_pais4!C31</f>
        <v>3.0927937800000032</v>
      </c>
      <c r="D43" s="25">
        <f>+[6]Subpartida_pais4!E31</f>
        <v>5.1793679199999971</v>
      </c>
      <c r="E43" s="22">
        <f t="shared" si="0"/>
        <v>67.465673058874032</v>
      </c>
      <c r="F43" s="22">
        <f t="shared" si="1"/>
        <v>0.60084362625098409</v>
      </c>
      <c r="G43" s="22">
        <f>+[6]Subpartida_pais4!D31</f>
        <v>0.5017488200000001</v>
      </c>
      <c r="H43" s="25">
        <f>+[6]Subpartida_pais4!F31</f>
        <v>0.14383221000000002</v>
      </c>
      <c r="I43" s="22">
        <f t="shared" si="2"/>
        <v>-71.333821970921633</v>
      </c>
      <c r="J43" s="22">
        <f t="shared" si="3"/>
        <v>0.16432787062369733</v>
      </c>
      <c r="K43" s="16"/>
    </row>
    <row r="44" spans="1:11">
      <c r="A44" s="14"/>
      <c r="B44" s="9" t="s">
        <v>3</v>
      </c>
      <c r="C44" s="22">
        <f>+C13-SUM(C14:C43)</f>
        <v>422.39457433000399</v>
      </c>
      <c r="D44" s="25">
        <f>+D13-SUM(D14:D43)</f>
        <v>486.59182782999915</v>
      </c>
      <c r="E44" s="22">
        <f t="shared" si="0"/>
        <v>15.198408644766292</v>
      </c>
      <c r="F44" s="22">
        <f t="shared" si="1"/>
        <v>56.448123178990414</v>
      </c>
      <c r="G44" s="22">
        <f>+G13-SUM(G14:G43)</f>
        <v>37.518403779999858</v>
      </c>
      <c r="H44" s="25">
        <f>+H13-SUM(H14:H43)</f>
        <v>50.322348269999544</v>
      </c>
      <c r="I44" s="22">
        <f t="shared" si="2"/>
        <v>34.127103501202669</v>
      </c>
      <c r="J44" s="22">
        <f t="shared" si="3"/>
        <v>57.493132699505381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855468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f>+Principales_paises!C18</f>
        <v>657.45659859001228</v>
      </c>
      <c r="D13" s="25">
        <f>+Principales_paises!D18</f>
        <v>772.42440864999708</v>
      </c>
      <c r="E13" s="25">
        <f>IF(OR(OR(D13=0,C13=0),D13=""),"",(D13/C13-1)*100)</f>
        <v>17.486752784373284</v>
      </c>
      <c r="F13" s="23">
        <f>(D13/D$13)*100</f>
        <v>100</v>
      </c>
      <c r="G13" s="25">
        <f>+Principales_paises!G18</f>
        <v>60.017827650000129</v>
      </c>
      <c r="H13" s="25">
        <f>+Principales_paises!H18</f>
        <v>89.018608949999944</v>
      </c>
      <c r="I13" s="25">
        <f>IF(OR(OR(H13=0,G13=0),H13=""),"",(H13/G13-1)*100)</f>
        <v>48.320278216533794</v>
      </c>
      <c r="J13" s="23">
        <f>(H13/H$13)*100</f>
        <v>100</v>
      </c>
      <c r="K13" s="16"/>
    </row>
    <row r="14" spans="1:14">
      <c r="A14" s="14"/>
      <c r="B14" s="9" t="str">
        <f>+[6]Subpartida_pais5!B2</f>
        <v>Medicamentos uso humano</v>
      </c>
      <c r="C14" s="22">
        <f>+[6]Subpartida_pais5!C2</f>
        <v>24.294837249999997</v>
      </c>
      <c r="D14" s="25">
        <f>+[6]Subpartida_pais5!E2</f>
        <v>34.978430599999989</v>
      </c>
      <c r="E14" s="22">
        <f t="shared" ref="E14:E44" si="0">IF(OR(OR(D14=0,C14=0),D14=""),"",(D14/C14-1)*100)</f>
        <v>43.974747556705672</v>
      </c>
      <c r="F14" s="22">
        <f t="shared" ref="F14:F44" si="1">(D14/D$13)*100</f>
        <v>4.5283952977526249</v>
      </c>
      <c r="G14" s="22">
        <f>+[6]Subpartida_pais5!D2</f>
        <v>1.9843611499999998</v>
      </c>
      <c r="H14" s="25">
        <f>+[6]Subpartida_pais5!F2</f>
        <v>3.4634915199999989</v>
      </c>
      <c r="I14" s="22">
        <f t="shared" ref="I14:I44" si="2">IF(OR(OR(H14=0,G14=0),H14=""),"",(H14/G14-1)*100)</f>
        <v>74.539373540950422</v>
      </c>
      <c r="J14" s="22">
        <f>(H14/H$13)*100</f>
        <v>3.8907499913252699</v>
      </c>
      <c r="K14" s="16"/>
    </row>
    <row r="15" spans="1:14">
      <c r="A15" s="14"/>
      <c r="B15" s="9" t="str">
        <f>+[6]Subpartida_pais5!B3</f>
        <v>Reactivos de laboratorio</v>
      </c>
      <c r="C15" s="22">
        <f>+[6]Subpartida_pais5!C3</f>
        <v>16.002071409999999</v>
      </c>
      <c r="D15" s="25">
        <f>+[6]Subpartida_pais5!E3</f>
        <v>20.356425149999989</v>
      </c>
      <c r="E15" s="22">
        <f t="shared" si="0"/>
        <v>27.21118802956266</v>
      </c>
      <c r="F15" s="22">
        <f t="shared" si="1"/>
        <v>2.6353938226237417</v>
      </c>
      <c r="G15" s="22">
        <f>+[6]Subpartida_pais5!D3</f>
        <v>1.8069640799999998</v>
      </c>
      <c r="H15" s="25">
        <f>+[6]Subpartida_pais5!F3</f>
        <v>2.8055353499999991</v>
      </c>
      <c r="I15" s="22">
        <f t="shared" si="2"/>
        <v>55.262375221094558</v>
      </c>
      <c r="J15" s="22">
        <f t="shared" ref="J15:J44" si="3">(H15/H$13)*100</f>
        <v>3.1516279383514236</v>
      </c>
      <c r="K15" s="16"/>
    </row>
    <row r="16" spans="1:14">
      <c r="A16" s="14"/>
      <c r="B16" s="9" t="str">
        <f>+[6]Subpartida_pais5!B4</f>
        <v>Productos inmunológicos</v>
      </c>
      <c r="C16" s="22">
        <f>+[6]Subpartida_pais5!C4</f>
        <v>9.6185042599999981</v>
      </c>
      <c r="D16" s="25">
        <f>+[6]Subpartida_pais5!E4</f>
        <v>16.610324130000002</v>
      </c>
      <c r="E16" s="22">
        <f t="shared" si="0"/>
        <v>72.69134244787459</v>
      </c>
      <c r="F16" s="22">
        <f t="shared" si="1"/>
        <v>2.1504141950965345</v>
      </c>
      <c r="G16" s="22">
        <f>+[6]Subpartida_pais5!D4</f>
        <v>2.7956710200000003</v>
      </c>
      <c r="H16" s="25">
        <f>+[6]Subpartida_pais5!F4</f>
        <v>3.3163159999999997E-2</v>
      </c>
      <c r="I16" s="22">
        <f t="shared" si="2"/>
        <v>-98.813767436770874</v>
      </c>
      <c r="J16" s="22">
        <f t="shared" si="3"/>
        <v>3.7254188075020483E-2</v>
      </c>
      <c r="K16" s="16"/>
    </row>
    <row r="17" spans="1:11">
      <c r="A17" s="14"/>
      <c r="B17" s="9" t="str">
        <f>+[6]Subpartida_pais5!B5</f>
        <v>Propulsores a reacción</v>
      </c>
      <c r="C17" s="22">
        <f>+[6]Subpartida_pais5!C5</f>
        <v>0</v>
      </c>
      <c r="D17" s="25">
        <f>+[6]Subpartida_pais5!E5</f>
        <v>15.487494380000001</v>
      </c>
      <c r="E17" s="22" t="str">
        <f t="shared" si="0"/>
        <v/>
      </c>
      <c r="F17" s="22">
        <f t="shared" si="1"/>
        <v>2.0050498413259921</v>
      </c>
      <c r="G17" s="22">
        <f>+[6]Subpartida_pais5!D5</f>
        <v>0</v>
      </c>
      <c r="H17" s="25">
        <f>+[6]Subpartida_pais5!F5</f>
        <v>0</v>
      </c>
      <c r="I17" s="22" t="str">
        <f t="shared" si="2"/>
        <v/>
      </c>
      <c r="J17" s="22">
        <f t="shared" si="3"/>
        <v>0</v>
      </c>
      <c r="K17" s="16"/>
    </row>
    <row r="18" spans="1:11">
      <c r="A18" s="14"/>
      <c r="B18" s="9" t="str">
        <f>+[6]Subpartida_pais5!B6</f>
        <v>Aparatos de medicina</v>
      </c>
      <c r="C18" s="22">
        <f>+[6]Subpartida_pais5!C6</f>
        <v>9.2470483400000045</v>
      </c>
      <c r="D18" s="25">
        <f>+[6]Subpartida_pais5!E6</f>
        <v>13.897775969999984</v>
      </c>
      <c r="E18" s="22">
        <f t="shared" si="0"/>
        <v>50.29418533352208</v>
      </c>
      <c r="F18" s="22">
        <f t="shared" si="1"/>
        <v>1.7992409113909007</v>
      </c>
      <c r="G18" s="22">
        <f>+[6]Subpartida_pais5!D6</f>
        <v>1.0381287100000001</v>
      </c>
      <c r="H18" s="25">
        <f>+[6]Subpartida_pais5!F6</f>
        <v>1.8969782199999996</v>
      </c>
      <c r="I18" s="22">
        <f t="shared" si="2"/>
        <v>82.730542150211733</v>
      </c>
      <c r="J18" s="22">
        <f t="shared" si="3"/>
        <v>2.1309906348519738</v>
      </c>
      <c r="K18" s="16"/>
    </row>
    <row r="19" spans="1:11">
      <c r="A19" s="14"/>
      <c r="B19" s="9" t="str">
        <f>+[6]Subpartida_pais5!B7</f>
        <v>Reactivos de diagnóstico</v>
      </c>
      <c r="C19" s="22">
        <f>+[6]Subpartida_pais5!C7</f>
        <v>9.5583658499999906</v>
      </c>
      <c r="D19" s="25">
        <f>+[6]Subpartida_pais5!E7</f>
        <v>12.531035950000012</v>
      </c>
      <c r="E19" s="22">
        <f t="shared" si="0"/>
        <v>31.100191671362154</v>
      </c>
      <c r="F19" s="22">
        <f t="shared" si="1"/>
        <v>1.6222993227131572</v>
      </c>
      <c r="G19" s="22">
        <f>+[6]Subpartida_pais5!D7</f>
        <v>0.95227700000000037</v>
      </c>
      <c r="H19" s="25">
        <f>+[6]Subpartida_pais5!F7</f>
        <v>1.5342226999999995</v>
      </c>
      <c r="I19" s="22">
        <f t="shared" si="2"/>
        <v>61.11096876224029</v>
      </c>
      <c r="J19" s="22">
        <f t="shared" si="3"/>
        <v>1.7234853679433961</v>
      </c>
      <c r="K19" s="16"/>
    </row>
    <row r="20" spans="1:11">
      <c r="A20" s="14"/>
      <c r="B20" s="9" t="str">
        <f>+[6]Subpartida_pais5!B8</f>
        <v>Máquinas autopropulsadas</v>
      </c>
      <c r="C20" s="22">
        <f>+[6]Subpartida_pais5!C8</f>
        <v>0</v>
      </c>
      <c r="D20" s="25">
        <f>+[6]Subpartida_pais5!E8</f>
        <v>11.650565290000001</v>
      </c>
      <c r="E20" s="22" t="str">
        <f t="shared" si="0"/>
        <v/>
      </c>
      <c r="F20" s="22">
        <f t="shared" si="1"/>
        <v>1.5083113841990374</v>
      </c>
      <c r="G20" s="22">
        <f>+[6]Subpartida_pais5!D8</f>
        <v>0</v>
      </c>
      <c r="H20" s="25">
        <f>+[6]Subpartida_pais5!F8</f>
        <v>11.573354800000001</v>
      </c>
      <c r="I20" s="22" t="str">
        <f t="shared" si="2"/>
        <v/>
      </c>
      <c r="J20" s="22">
        <f t="shared" si="3"/>
        <v>13.00105105720146</v>
      </c>
      <c r="K20" s="16"/>
    </row>
    <row r="21" spans="1:11">
      <c r="A21" s="14"/>
      <c r="B21" s="9" t="str">
        <f>+[6]Subpartida_pais5!B9</f>
        <v>Aparatos telecomunicación</v>
      </c>
      <c r="C21" s="22">
        <f>+[6]Subpartida_pais5!C9</f>
        <v>9.1929496499999974</v>
      </c>
      <c r="D21" s="25">
        <f>+[6]Subpartida_pais5!E9</f>
        <v>10.679385089999997</v>
      </c>
      <c r="E21" s="22">
        <f t="shared" si="0"/>
        <v>16.169298175151003</v>
      </c>
      <c r="F21" s="22">
        <f t="shared" si="1"/>
        <v>1.3825799612760641</v>
      </c>
      <c r="G21" s="22">
        <f>+[6]Subpartida_pais5!D9</f>
        <v>2.0615782999999999</v>
      </c>
      <c r="H21" s="25">
        <f>+[6]Subpartida_pais5!F9</f>
        <v>1.2110339700000001</v>
      </c>
      <c r="I21" s="22">
        <f t="shared" si="2"/>
        <v>-41.256950075580434</v>
      </c>
      <c r="J21" s="22">
        <f t="shared" si="3"/>
        <v>1.3604278748954781</v>
      </c>
      <c r="K21" s="16"/>
    </row>
    <row r="22" spans="1:11">
      <c r="A22" s="14"/>
      <c r="B22" s="9" t="str">
        <f>+[6]Subpartida_pais5!B10</f>
        <v>Máquinas para imprimir</v>
      </c>
      <c r="C22" s="22">
        <f>+[6]Subpartida_pais5!C10</f>
        <v>1.603737</v>
      </c>
      <c r="D22" s="25">
        <f>+[6]Subpartida_pais5!E10</f>
        <v>7.9971729700000003</v>
      </c>
      <c r="E22" s="22">
        <f t="shared" si="0"/>
        <v>398.6586310598309</v>
      </c>
      <c r="F22" s="22">
        <f t="shared" si="1"/>
        <v>1.0353340573451117</v>
      </c>
      <c r="G22" s="22">
        <f>+[6]Subpartida_pais5!D10</f>
        <v>0</v>
      </c>
      <c r="H22" s="25">
        <f>+[6]Subpartida_pais5!F10</f>
        <v>0</v>
      </c>
      <c r="I22" s="22" t="str">
        <f t="shared" si="2"/>
        <v/>
      </c>
      <c r="J22" s="22">
        <f t="shared" si="3"/>
        <v>0</v>
      </c>
      <c r="K22" s="16"/>
    </row>
    <row r="23" spans="1:11">
      <c r="A23" s="14"/>
      <c r="B23" s="9" t="str">
        <f>+[6]Subpartida_pais5!B11</f>
        <v>Aparatos electromédicos</v>
      </c>
      <c r="C23" s="22">
        <f>+[6]Subpartida_pais5!C11</f>
        <v>4.4673645699999955</v>
      </c>
      <c r="D23" s="25">
        <f>+[6]Subpartida_pais5!E11</f>
        <v>7.662088270000007</v>
      </c>
      <c r="E23" s="22">
        <f t="shared" si="0"/>
        <v>71.512491312076065</v>
      </c>
      <c r="F23" s="22">
        <f t="shared" si="1"/>
        <v>0.99195315220442137</v>
      </c>
      <c r="G23" s="22">
        <f>+[6]Subpartida_pais5!D11</f>
        <v>1.1793471699999998</v>
      </c>
      <c r="H23" s="25">
        <f>+[6]Subpartida_pais5!F11</f>
        <v>0.34688333999999993</v>
      </c>
      <c r="I23" s="22">
        <f t="shared" si="2"/>
        <v>-70.586834070242446</v>
      </c>
      <c r="J23" s="22">
        <f t="shared" si="3"/>
        <v>0.38967508489695418</v>
      </c>
      <c r="K23" s="16"/>
    </row>
    <row r="24" spans="1:11">
      <c r="A24" s="14"/>
      <c r="B24" s="9" t="str">
        <f>+[6]Subpartida_pais5!B12</f>
        <v>Escopolamina</v>
      </c>
      <c r="C24" s="22">
        <f>+[6]Subpartida_pais5!C12</f>
        <v>7.3595580200000024</v>
      </c>
      <c r="D24" s="25">
        <f>+[6]Subpartida_pais5!E12</f>
        <v>7.3733279000000005</v>
      </c>
      <c r="E24" s="22">
        <f t="shared" si="0"/>
        <v>0.18710199664948579</v>
      </c>
      <c r="F24" s="22">
        <f t="shared" si="1"/>
        <v>0.95456951093592668</v>
      </c>
      <c r="G24" s="22">
        <f>+[6]Subpartida_pais5!D12</f>
        <v>0.86855852</v>
      </c>
      <c r="H24" s="25">
        <f>+[6]Subpartida_pais5!F12</f>
        <v>0.46479090000000001</v>
      </c>
      <c r="I24" s="22">
        <f t="shared" si="2"/>
        <v>-46.487094502279483</v>
      </c>
      <c r="J24" s="22">
        <f t="shared" si="3"/>
        <v>0.52212779494348671</v>
      </c>
      <c r="K24" s="16"/>
    </row>
    <row r="25" spans="1:11">
      <c r="A25" s="14"/>
      <c r="B25" s="9" t="str">
        <f>+[6]Subpartida_pais5!B13</f>
        <v>Tintas de imprenta</v>
      </c>
      <c r="C25" s="22">
        <f>+[6]Subpartida_pais5!C13</f>
        <v>4.8184719899999999</v>
      </c>
      <c r="D25" s="25">
        <f>+[6]Subpartida_pais5!E13</f>
        <v>7.2241836299999997</v>
      </c>
      <c r="E25" s="22">
        <f t="shared" si="0"/>
        <v>49.926857414397887</v>
      </c>
      <c r="F25" s="22">
        <f t="shared" si="1"/>
        <v>0.93526091991655846</v>
      </c>
      <c r="G25" s="22">
        <f>+[6]Subpartida_pais5!D13</f>
        <v>0.45438189000000001</v>
      </c>
      <c r="H25" s="25">
        <f>+[6]Subpartida_pais5!F13</f>
        <v>0.30064250000000003</v>
      </c>
      <c r="I25" s="22">
        <f t="shared" si="2"/>
        <v>-33.834840996853984</v>
      </c>
      <c r="J25" s="22">
        <f t="shared" si="3"/>
        <v>0.3377299460710122</v>
      </c>
      <c r="K25" s="16"/>
    </row>
    <row r="26" spans="1:11">
      <c r="A26" s="14"/>
      <c r="B26" s="9" t="str">
        <f>+[6]Subpartida_pais5!B14</f>
        <v>Tubos de hierro</v>
      </c>
      <c r="C26" s="22">
        <f>+[6]Subpartida_pais5!C14</f>
        <v>5.1489759999999996E-2</v>
      </c>
      <c r="D26" s="25">
        <f>+[6]Subpartida_pais5!E14</f>
        <v>6.6507153700000003</v>
      </c>
      <c r="E26" s="22">
        <f t="shared" si="0"/>
        <v>12816.578694482167</v>
      </c>
      <c r="F26" s="22">
        <f t="shared" si="1"/>
        <v>0.8610182815977776</v>
      </c>
      <c r="G26" s="22">
        <f>+[6]Subpartida_pais5!D14</f>
        <v>0</v>
      </c>
      <c r="H26" s="25">
        <f>+[6]Subpartida_pais5!F14</f>
        <v>6.6507153700000003</v>
      </c>
      <c r="I26" s="22" t="str">
        <f t="shared" si="2"/>
        <v/>
      </c>
      <c r="J26" s="22">
        <f t="shared" si="3"/>
        <v>7.4711517607914777</v>
      </c>
      <c r="K26" s="16"/>
    </row>
    <row r="27" spans="1:11">
      <c r="A27" s="14"/>
      <c r="B27" s="9" t="str">
        <f>+[6]Subpartida_pais5!B15</f>
        <v>Insulina</v>
      </c>
      <c r="C27" s="22">
        <f>+[6]Subpartida_pais5!C15</f>
        <v>6.1305362600000004</v>
      </c>
      <c r="D27" s="25">
        <f>+[6]Subpartida_pais5!E15</f>
        <v>6.4958773599999997</v>
      </c>
      <c r="E27" s="22">
        <f t="shared" si="0"/>
        <v>5.9593661060900249</v>
      </c>
      <c r="F27" s="22">
        <f t="shared" si="1"/>
        <v>0.84097256472683901</v>
      </c>
      <c r="G27" s="22">
        <f>+[6]Subpartida_pais5!D15</f>
        <v>0.92131874000000002</v>
      </c>
      <c r="H27" s="25">
        <f>+[6]Subpartida_pais5!F15</f>
        <v>0.99137229999999987</v>
      </c>
      <c r="I27" s="22">
        <f t="shared" si="2"/>
        <v>7.6036182657046369</v>
      </c>
      <c r="J27" s="22">
        <f t="shared" si="3"/>
        <v>1.1136686044564399</v>
      </c>
      <c r="K27" s="16"/>
    </row>
    <row r="28" spans="1:11">
      <c r="A28" s="14"/>
      <c r="B28" s="9" t="str">
        <f>+[6]Subpartida_pais5!B16</f>
        <v>Aparatos ópticos</v>
      </c>
      <c r="C28" s="22">
        <f>+[6]Subpartida_pais5!C16</f>
        <v>7.6116800200000005</v>
      </c>
      <c r="D28" s="25">
        <f>+[6]Subpartida_pais5!E16</f>
        <v>6.05793274</v>
      </c>
      <c r="E28" s="22">
        <f t="shared" si="0"/>
        <v>-20.41267205028937</v>
      </c>
      <c r="F28" s="22">
        <f t="shared" si="1"/>
        <v>0.78427515652796864</v>
      </c>
      <c r="G28" s="22">
        <f>+[6]Subpartida_pais5!D16</f>
        <v>0.25888127999999999</v>
      </c>
      <c r="H28" s="25">
        <f>+[6]Subpartida_pais5!F16</f>
        <v>0.51808122000000001</v>
      </c>
      <c r="I28" s="22">
        <f t="shared" si="2"/>
        <v>100.12309117136628</v>
      </c>
      <c r="J28" s="22">
        <f t="shared" si="3"/>
        <v>0.58199204201336863</v>
      </c>
      <c r="K28" s="16"/>
    </row>
    <row r="29" spans="1:11">
      <c r="A29" s="14"/>
      <c r="B29" s="9" t="str">
        <f>+[6]Subpartida_pais5!B17</f>
        <v>Papel y cartón kraft</v>
      </c>
      <c r="C29" s="22">
        <f>+[6]Subpartida_pais5!C17</f>
        <v>6.8220360299999996</v>
      </c>
      <c r="D29" s="25">
        <f>+[6]Subpartida_pais5!E17</f>
        <v>6.0134100000000004</v>
      </c>
      <c r="E29" s="22">
        <f t="shared" si="0"/>
        <v>-11.853148040321903</v>
      </c>
      <c r="F29" s="22">
        <f t="shared" si="1"/>
        <v>0.7785111310127969</v>
      </c>
      <c r="G29" s="22">
        <f>+[6]Subpartida_pais5!D17</f>
        <v>0.18092068</v>
      </c>
      <c r="H29" s="25">
        <f>+[6]Subpartida_pais5!F17</f>
        <v>0.54590890999999997</v>
      </c>
      <c r="I29" s="22">
        <f t="shared" si="2"/>
        <v>201.73936445518552</v>
      </c>
      <c r="J29" s="22">
        <f t="shared" si="3"/>
        <v>0.61325257318571069</v>
      </c>
      <c r="K29" s="16"/>
    </row>
    <row r="30" spans="1:11">
      <c r="A30" s="14"/>
      <c r="B30" s="9" t="str">
        <f>+[6]Subpartida_pais5!B18</f>
        <v>Plasma humano</v>
      </c>
      <c r="C30" s="22">
        <f>+[6]Subpartida_pais5!C18</f>
        <v>2.9693824900000019</v>
      </c>
      <c r="D30" s="25">
        <f>+[6]Subpartida_pais5!E18</f>
        <v>5.927668559999999</v>
      </c>
      <c r="E30" s="22">
        <f t="shared" si="0"/>
        <v>99.62630546797611</v>
      </c>
      <c r="F30" s="22">
        <f t="shared" si="1"/>
        <v>0.76741082928232007</v>
      </c>
      <c r="G30" s="22">
        <f>+[6]Subpartida_pais5!D18</f>
        <v>0.60690105000000005</v>
      </c>
      <c r="H30" s="25">
        <f>+[6]Subpartida_pais5!F18</f>
        <v>0.61667263999999999</v>
      </c>
      <c r="I30" s="22">
        <f t="shared" si="2"/>
        <v>1.6100796002906703</v>
      </c>
      <c r="J30" s="22">
        <f t="shared" si="3"/>
        <v>0.69274576099742613</v>
      </c>
      <c r="K30" s="16"/>
    </row>
    <row r="31" spans="1:11">
      <c r="A31" s="14"/>
      <c r="B31" s="9" t="str">
        <f>+[6]Subpartida_pais5!B19</f>
        <v>Papeles y cartones</v>
      </c>
      <c r="C31" s="22">
        <f>+[6]Subpartida_pais5!C19</f>
        <v>6.0216464400000005</v>
      </c>
      <c r="D31" s="25">
        <f>+[6]Subpartida_pais5!E19</f>
        <v>5.5017938599999985</v>
      </c>
      <c r="E31" s="22">
        <f t="shared" si="0"/>
        <v>-8.6330638170115108</v>
      </c>
      <c r="F31" s="22">
        <f t="shared" si="1"/>
        <v>0.71227602317950389</v>
      </c>
      <c r="G31" s="22">
        <f>+[6]Subpartida_pais5!D19</f>
        <v>0.90489279000000011</v>
      </c>
      <c r="H31" s="25">
        <f>+[6]Subpartida_pais5!F19</f>
        <v>0.15760178999999999</v>
      </c>
      <c r="I31" s="22">
        <f t="shared" si="2"/>
        <v>-82.583374324377147</v>
      </c>
      <c r="J31" s="22">
        <f t="shared" si="3"/>
        <v>0.17704364498497377</v>
      </c>
      <c r="K31" s="16"/>
    </row>
    <row r="32" spans="1:11">
      <c r="A32" s="14"/>
      <c r="B32" s="9" t="str">
        <f>+[6]Subpartida_pais5!B20</f>
        <v>Cortadoras de rocas</v>
      </c>
      <c r="C32" s="22">
        <f>+[6]Subpartida_pais5!C20</f>
        <v>0.89235039000000005</v>
      </c>
      <c r="D32" s="25">
        <f>+[6]Subpartida_pais5!E20</f>
        <v>5.4652124300000002</v>
      </c>
      <c r="E32" s="22">
        <f t="shared" si="0"/>
        <v>512.45139703474547</v>
      </c>
      <c r="F32" s="22">
        <f t="shared" si="1"/>
        <v>0.7075400995615625</v>
      </c>
      <c r="G32" s="22">
        <f>+[6]Subpartida_pais5!D20</f>
        <v>0</v>
      </c>
      <c r="H32" s="25">
        <f>+[6]Subpartida_pais5!F20</f>
        <v>0</v>
      </c>
      <c r="I32" s="22" t="str">
        <f t="shared" si="2"/>
        <v/>
      </c>
      <c r="J32" s="22">
        <f t="shared" si="3"/>
        <v>0</v>
      </c>
      <c r="K32" s="16"/>
    </row>
    <row r="33" spans="1:11">
      <c r="A33" s="14"/>
      <c r="B33" s="9" t="str">
        <f>+[6]Subpartida_pais5!B21</f>
        <v>Partes de Teléfonos</v>
      </c>
      <c r="C33" s="22">
        <f>+[6]Subpartida_pais5!C21</f>
        <v>2.1636299900000004</v>
      </c>
      <c r="D33" s="25">
        <f>+[6]Subpartida_pais5!E21</f>
        <v>5.2620833399999993</v>
      </c>
      <c r="E33" s="22">
        <f t="shared" si="0"/>
        <v>143.20624895756774</v>
      </c>
      <c r="F33" s="22">
        <f t="shared" si="1"/>
        <v>0.68124249843383289</v>
      </c>
      <c r="G33" s="22">
        <f>+[6]Subpartida_pais5!D21</f>
        <v>0.10192772999999999</v>
      </c>
      <c r="H33" s="25">
        <f>+[6]Subpartida_pais5!F21</f>
        <v>8.9968619999999985E-2</v>
      </c>
      <c r="I33" s="22">
        <f t="shared" si="2"/>
        <v>-11.732930773598127</v>
      </c>
      <c r="J33" s="22">
        <f t="shared" si="3"/>
        <v>0.10106720500489247</v>
      </c>
      <c r="K33" s="16"/>
    </row>
    <row r="34" spans="1:11">
      <c r="A34" s="14"/>
      <c r="B34" s="9" t="str">
        <f>+[6]Subpartida_pais5!B22</f>
        <v>Helicopteros</v>
      </c>
      <c r="C34" s="22">
        <f>+[6]Subpartida_pais5!C22</f>
        <v>0</v>
      </c>
      <c r="D34" s="25">
        <f>+[6]Subpartida_pais5!E22</f>
        <v>5.1873750000000003</v>
      </c>
      <c r="E34" s="22" t="str">
        <f t="shared" si="0"/>
        <v/>
      </c>
      <c r="F34" s="22">
        <f t="shared" si="1"/>
        <v>0.67157056948345573</v>
      </c>
      <c r="G34" s="22">
        <f>+[6]Subpartida_pais5!D22</f>
        <v>0</v>
      </c>
      <c r="H34" s="25">
        <f>+[6]Subpartida_pais5!F22</f>
        <v>5.1873750000000003</v>
      </c>
      <c r="I34" s="22" t="str">
        <f t="shared" si="2"/>
        <v/>
      </c>
      <c r="J34" s="22">
        <f t="shared" si="3"/>
        <v>5.8272928112296718</v>
      </c>
      <c r="K34" s="16"/>
    </row>
    <row r="35" spans="1:11">
      <c r="A35" s="14"/>
      <c r="B35" s="9" t="str">
        <f>+[6]Subpartida_pais5!B23</f>
        <v>Bebidas no alcohólicas</v>
      </c>
      <c r="C35" s="22">
        <f>+[6]Subpartida_pais5!C23</f>
        <v>4.4361477000000002</v>
      </c>
      <c r="D35" s="25">
        <f>+[6]Subpartida_pais5!E23</f>
        <v>5.1638865599999999</v>
      </c>
      <c r="E35" s="22">
        <f t="shared" si="0"/>
        <v>16.404748200786901</v>
      </c>
      <c r="F35" s="22">
        <f t="shared" si="1"/>
        <v>0.66852969716805943</v>
      </c>
      <c r="G35" s="22">
        <f>+[6]Subpartida_pais5!D23</f>
        <v>0.40524464999999998</v>
      </c>
      <c r="H35" s="25">
        <f>+[6]Subpartida_pais5!F23</f>
        <v>0.8320708</v>
      </c>
      <c r="I35" s="22">
        <f t="shared" si="2"/>
        <v>105.32554840637624</v>
      </c>
      <c r="J35" s="22">
        <f t="shared" si="3"/>
        <v>0.93471557218711232</v>
      </c>
      <c r="K35" s="16"/>
    </row>
    <row r="36" spans="1:11">
      <c r="A36" s="14"/>
      <c r="B36" s="9" t="str">
        <f>+[6]Subpartida_pais5!B24</f>
        <v>Medicamentos para VIH</v>
      </c>
      <c r="C36" s="22">
        <f>+[6]Subpartida_pais5!C24</f>
        <v>3.2961213099999997</v>
      </c>
      <c r="D36" s="25">
        <f>+[6]Subpartida_pais5!E24</f>
        <v>5.0840574399999987</v>
      </c>
      <c r="E36" s="22">
        <f t="shared" si="0"/>
        <v>54.243638563169249</v>
      </c>
      <c r="F36" s="22">
        <f t="shared" si="1"/>
        <v>0.65819481920381673</v>
      </c>
      <c r="G36" s="22">
        <f>+[6]Subpartida_pais5!D24</f>
        <v>0</v>
      </c>
      <c r="H36" s="25">
        <f>+[6]Subpartida_pais5!F24</f>
        <v>0</v>
      </c>
      <c r="I36" s="22" t="str">
        <f t="shared" si="2"/>
        <v/>
      </c>
      <c r="J36" s="22">
        <f t="shared" si="3"/>
        <v>0</v>
      </c>
      <c r="K36" s="16"/>
    </row>
    <row r="37" spans="1:11">
      <c r="A37" s="14"/>
      <c r="B37" s="9" t="str">
        <f>+[6]Subpartida_pais5!B25</f>
        <v>Aparatos trabajar caucho</v>
      </c>
      <c r="C37" s="22">
        <f>+[6]Subpartida_pais5!C25</f>
        <v>0.59050479999999994</v>
      </c>
      <c r="D37" s="25">
        <f>+[6]Subpartida_pais5!E25</f>
        <v>4.9825494399999997</v>
      </c>
      <c r="E37" s="22">
        <f t="shared" si="0"/>
        <v>743.77797437040306</v>
      </c>
      <c r="F37" s="22">
        <f t="shared" si="1"/>
        <v>0.64505333909738027</v>
      </c>
      <c r="G37" s="22">
        <f>+[6]Subpartida_pais5!D25</f>
        <v>1.1518509999999999E-2</v>
      </c>
      <c r="H37" s="25">
        <f>+[6]Subpartida_pais5!F25</f>
        <v>4.821868E-2</v>
      </c>
      <c r="I37" s="22">
        <f t="shared" si="2"/>
        <v>318.61907486298139</v>
      </c>
      <c r="J37" s="22">
        <f t="shared" si="3"/>
        <v>5.4166966400343901E-2</v>
      </c>
      <c r="K37" s="16"/>
    </row>
    <row r="38" spans="1:11">
      <c r="A38" s="14"/>
      <c r="B38" s="9" t="str">
        <f>+[6]Subpartida_pais5!B26</f>
        <v>Aparatos control líquido</v>
      </c>
      <c r="C38" s="22">
        <f>+[6]Subpartida_pais5!C26</f>
        <v>3.8192317300000029</v>
      </c>
      <c r="D38" s="25">
        <f>+[6]Subpartida_pais5!E26</f>
        <v>4.8617334200000029</v>
      </c>
      <c r="E38" s="22">
        <f t="shared" si="0"/>
        <v>27.296109890666397</v>
      </c>
      <c r="F38" s="22">
        <f t="shared" si="1"/>
        <v>0.62941219432683204</v>
      </c>
      <c r="G38" s="22">
        <f>+[6]Subpartida_pais5!D26</f>
        <v>1.0464348100000005</v>
      </c>
      <c r="H38" s="25">
        <f>+[6]Subpartida_pais5!F26</f>
        <v>0.36236118</v>
      </c>
      <c r="I38" s="22">
        <f t="shared" si="2"/>
        <v>-65.371834295153093</v>
      </c>
      <c r="J38" s="22">
        <f t="shared" si="3"/>
        <v>0.40706228088054197</v>
      </c>
      <c r="K38" s="16"/>
    </row>
    <row r="39" spans="1:11">
      <c r="A39" s="14"/>
      <c r="B39" s="9" t="str">
        <f>+[6]Subpartida_pais5!B27</f>
        <v>Cateteres</v>
      </c>
      <c r="C39" s="22">
        <f>+[6]Subpartida_pais5!C27</f>
        <v>5.4412853900000027</v>
      </c>
      <c r="D39" s="25">
        <f>+[6]Subpartida_pais5!E27</f>
        <v>4.7216029599999993</v>
      </c>
      <c r="E39" s="22">
        <f t="shared" si="0"/>
        <v>-13.226331251116441</v>
      </c>
      <c r="F39" s="22">
        <f t="shared" si="1"/>
        <v>0.61127055374287942</v>
      </c>
      <c r="G39" s="22">
        <f>+[6]Subpartida_pais5!D27</f>
        <v>0.64439159000000001</v>
      </c>
      <c r="H39" s="25">
        <f>+[6]Subpartida_pais5!F27</f>
        <v>0.37919544000000005</v>
      </c>
      <c r="I39" s="22">
        <f t="shared" si="2"/>
        <v>-41.154502031908876</v>
      </c>
      <c r="J39" s="22">
        <f t="shared" si="3"/>
        <v>0.42597322568024731</v>
      </c>
      <c r="K39" s="16"/>
    </row>
    <row r="40" spans="1:11">
      <c r="A40" s="14"/>
      <c r="B40" s="9" t="str">
        <f>+[6]Subpartida_pais5!B28</f>
        <v>Sueros con anticuerpos</v>
      </c>
      <c r="C40" s="22">
        <f>+[6]Subpartida_pais5!C28</f>
        <v>2.3956430000000001E-2</v>
      </c>
      <c r="D40" s="25">
        <f>+[6]Subpartida_pais5!E28</f>
        <v>4.6177740900000046</v>
      </c>
      <c r="E40" s="22">
        <f t="shared" si="0"/>
        <v>19175.718836237305</v>
      </c>
      <c r="F40" s="22">
        <f t="shared" si="1"/>
        <v>0.5978286079890599</v>
      </c>
      <c r="G40" s="22">
        <f>+[6]Subpartida_pais5!D28</f>
        <v>2.2751649999999998E-2</v>
      </c>
      <c r="H40" s="25">
        <f>+[6]Subpartida_pais5!F28</f>
        <v>9.2466489999999985E-2</v>
      </c>
      <c r="I40" s="22">
        <f t="shared" si="2"/>
        <v>306.41663351888758</v>
      </c>
      <c r="J40" s="22">
        <f t="shared" si="3"/>
        <v>0.10387321380402233</v>
      </c>
      <c r="K40" s="16"/>
    </row>
    <row r="41" spans="1:11">
      <c r="A41" s="14"/>
      <c r="B41" s="9" t="str">
        <f>+[6]Subpartida_pais5!B29</f>
        <v>Guata de celulosa</v>
      </c>
      <c r="C41" s="22">
        <f>+[6]Subpartida_pais5!C29</f>
        <v>2.9469056900000012</v>
      </c>
      <c r="D41" s="25">
        <f>+[6]Subpartida_pais5!E29</f>
        <v>4.5791206500000001</v>
      </c>
      <c r="E41" s="22">
        <f t="shared" si="0"/>
        <v>55.387417572905015</v>
      </c>
      <c r="F41" s="22">
        <f t="shared" si="1"/>
        <v>0.59282443676309349</v>
      </c>
      <c r="G41" s="22">
        <f>+[6]Subpartida_pais5!D29</f>
        <v>0.46294163999999999</v>
      </c>
      <c r="H41" s="25">
        <f>+[6]Subpartida_pais5!F29</f>
        <v>0.27806546999999998</v>
      </c>
      <c r="I41" s="22">
        <f t="shared" si="2"/>
        <v>-39.935092034494893</v>
      </c>
      <c r="J41" s="22">
        <f t="shared" si="3"/>
        <v>0.31236779958692013</v>
      </c>
      <c r="K41" s="16"/>
    </row>
    <row r="42" spans="1:11">
      <c r="A42" s="14"/>
      <c r="B42" s="9" t="str">
        <f>+[6]Subpartida_pais5!B30</f>
        <v>Aparatos para fracturas</v>
      </c>
      <c r="C42" s="22">
        <f>+[6]Subpartida_pais5!C30</f>
        <v>2.1156775599999995</v>
      </c>
      <c r="D42" s="25">
        <f>+[6]Subpartida_pais5!E30</f>
        <v>4.2345899599999992</v>
      </c>
      <c r="E42" s="22">
        <f t="shared" si="0"/>
        <v>100.15289853525698</v>
      </c>
      <c r="F42" s="22">
        <f t="shared" si="1"/>
        <v>0.54822063008094135</v>
      </c>
      <c r="G42" s="22">
        <f>+[6]Subpartida_pais5!D30</f>
        <v>0.16840356999999997</v>
      </c>
      <c r="H42" s="25">
        <f>+[6]Subpartida_pais5!F30</f>
        <v>0.22715449000000004</v>
      </c>
      <c r="I42" s="22">
        <f t="shared" si="2"/>
        <v>34.886980127559106</v>
      </c>
      <c r="J42" s="22">
        <f t="shared" si="3"/>
        <v>0.25517640938153552</v>
      </c>
      <c r="K42" s="16"/>
    </row>
    <row r="43" spans="1:11">
      <c r="A43" s="14"/>
      <c r="B43" s="9" t="str">
        <f>+[6]Subpartida_pais5!B31</f>
        <v>Papel estucado</v>
      </c>
      <c r="C43" s="22">
        <f>+[6]Subpartida_pais5!C31</f>
        <v>0.8582598199999999</v>
      </c>
      <c r="D43" s="25">
        <f>+[6]Subpartida_pais5!E31</f>
        <v>4.1039113</v>
      </c>
      <c r="E43" s="22">
        <f t="shared" si="0"/>
        <v>378.16654168897247</v>
      </c>
      <c r="F43" s="22">
        <f t="shared" si="1"/>
        <v>0.53130264321561271</v>
      </c>
      <c r="G43" s="22">
        <f>+[6]Subpartida_pais5!D31</f>
        <v>0.30217474</v>
      </c>
      <c r="H43" s="25">
        <f>+[6]Subpartida_pais5!F31</f>
        <v>0.26925007000000001</v>
      </c>
      <c r="I43" s="22">
        <f t="shared" si="2"/>
        <v>-10.895904138115576</v>
      </c>
      <c r="J43" s="22">
        <f t="shared" si="3"/>
        <v>0.30246492635178407</v>
      </c>
      <c r="K43" s="16"/>
    </row>
    <row r="44" spans="1:11">
      <c r="A44" s="14"/>
      <c r="B44" s="9" t="s">
        <v>3</v>
      </c>
      <c r="C44" s="22">
        <f>+C13-SUM(C14:C43)</f>
        <v>505.10284844001234</v>
      </c>
      <c r="D44" s="25">
        <f>+D13-SUM(D14:D43)</f>
        <v>511.06490483999698</v>
      </c>
      <c r="E44" s="22">
        <f t="shared" si="0"/>
        <v>1.180364834290315</v>
      </c>
      <c r="F44" s="22">
        <f t="shared" si="1"/>
        <v>66.163743547826186</v>
      </c>
      <c r="G44" s="22">
        <f>+G13-SUM(G14:G43)</f>
        <v>40.837856380000126</v>
      </c>
      <c r="H44" s="25">
        <f>+H13-SUM(H14:H43)</f>
        <v>48.142034019999961</v>
      </c>
      <c r="I44" s="22">
        <f t="shared" si="2"/>
        <v>17.885800792367192</v>
      </c>
      <c r="J44" s="22">
        <f t="shared" si="3"/>
        <v>54.080865324508075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54</v>
      </c>
      <c r="C13" s="25">
        <f>+'Resumen importaciones totales'!C13</f>
        <v>16196.148383640118</v>
      </c>
      <c r="D13" s="25">
        <f>+'Resumen importaciones totales'!D13</f>
        <v>23038.904279779941</v>
      </c>
      <c r="E13" s="25">
        <f>IF(OR(OR(D13=0,C13=0),D13=""),"",(D13/C13-1)*100)</f>
        <v>42.249278865904657</v>
      </c>
      <c r="F13" s="23">
        <f>(D13/D$13)*100</f>
        <v>100</v>
      </c>
      <c r="G13" s="25">
        <f>+'Resumen importaciones totales'!G13</f>
        <v>1755.104618940001</v>
      </c>
      <c r="H13" s="25">
        <f>+'Resumen importaciones totales'!H13</f>
        <v>2635.0607067600013</v>
      </c>
      <c r="I13" s="25">
        <f>IF(OR(OR(H13=0,G13=0),H13=""),"",(H13/G13-1)*100)</f>
        <v>50.136959262944188</v>
      </c>
      <c r="J13" s="23">
        <f>(H13/H$13)*100</f>
        <v>100</v>
      </c>
      <c r="K13" s="16"/>
    </row>
    <row r="14" spans="1:14">
      <c r="A14" s="14"/>
      <c r="B14" s="9" t="str">
        <f>+[6]ciiu_desagregado!A2</f>
        <v>Productos químicos</v>
      </c>
      <c r="C14" s="22">
        <f>+[6]ciiu_desagregado!B2</f>
        <v>2742.2591353300331</v>
      </c>
      <c r="D14" s="25">
        <f>+[6]ciiu_desagregado!C2</f>
        <v>3222.6243551999887</v>
      </c>
      <c r="E14" s="22">
        <f t="shared" ref="E14:E48" si="0">IF(OR(OR(D14=0,C14=0),D14=""),"",(D14/C14-1)*100)</f>
        <v>17.517134456082072</v>
      </c>
      <c r="F14" s="22">
        <f t="shared" ref="F14:F48" si="1">(D14/D$13)*100</f>
        <v>13.987750094644561</v>
      </c>
      <c r="G14" s="22">
        <f>+[6]ciiu_desagregado!D2</f>
        <v>272.64417519000017</v>
      </c>
      <c r="H14" s="25">
        <f>+[6]ciiu_desagregado!E2</f>
        <v>317.69908119000024</v>
      </c>
      <c r="I14" s="22">
        <f t="shared" ref="I14" si="2">IF(OR(OR(H14=0,G14=0),H14=""),"",(H14/G14-1)*100)</f>
        <v>16.52516726924469</v>
      </c>
      <c r="J14" s="22">
        <f>(H14/H$13)*100</f>
        <v>12.056613359038487</v>
      </c>
      <c r="K14" s="16"/>
    </row>
    <row r="15" spans="1:14">
      <c r="A15" s="14"/>
      <c r="B15" s="9" t="str">
        <f>+[6]ciiu_desagregado!A3</f>
        <v>Vehículos automotores</v>
      </c>
      <c r="C15" s="22">
        <f>+[6]ciiu_desagregado!B3</f>
        <v>1548.5719187300242</v>
      </c>
      <c r="D15" s="25">
        <f>+[6]ciiu_desagregado!C3</f>
        <v>2995.4643144099832</v>
      </c>
      <c r="E15" s="22">
        <f t="shared" si="0"/>
        <v>93.433981217129912</v>
      </c>
      <c r="F15" s="22">
        <f t="shared" si="1"/>
        <v>13.00176552683952</v>
      </c>
      <c r="G15" s="22">
        <f>+[6]ciiu_desagregado!D3</f>
        <v>204.12505373000107</v>
      </c>
      <c r="H15" s="25">
        <f>+[6]ciiu_desagregado!E3</f>
        <v>380.84883988000234</v>
      </c>
      <c r="I15" s="22">
        <f t="shared" ref="I15:I48" si="3">IF(OR(OR(H15=0,G15=0),H15=""),"",(H15/G15-1)*100)</f>
        <v>86.576234970037618</v>
      </c>
      <c r="J15" s="22">
        <f t="shared" ref="J15:J48" si="4">(H15/H$13)*100</f>
        <v>14.453133428879658</v>
      </c>
      <c r="K15" s="16"/>
    </row>
    <row r="16" spans="1:14">
      <c r="A16" s="14"/>
      <c r="B16" s="9" t="str">
        <f>+[6]ciiu_desagregado!A4</f>
        <v>Equipos de transporte</v>
      </c>
      <c r="C16" s="22">
        <f>+[6]ciiu_desagregado!B4</f>
        <v>1980.8414367799996</v>
      </c>
      <c r="D16" s="25">
        <f>+[6]ciiu_desagregado!C4</f>
        <v>2750.6237202599964</v>
      </c>
      <c r="E16" s="22">
        <f t="shared" si="0"/>
        <v>38.861378260106136</v>
      </c>
      <c r="F16" s="22">
        <f t="shared" si="1"/>
        <v>11.939038796537199</v>
      </c>
      <c r="G16" s="22">
        <f>+[6]ciiu_desagregado!D4</f>
        <v>180.91700156999988</v>
      </c>
      <c r="H16" s="25">
        <f>+[6]ciiu_desagregado!E4</f>
        <v>194.92312416000016</v>
      </c>
      <c r="I16" s="22">
        <f t="shared" si="3"/>
        <v>7.741739288433358</v>
      </c>
      <c r="J16" s="22">
        <f t="shared" si="4"/>
        <v>7.3972915940776307</v>
      </c>
      <c r="K16" s="16"/>
    </row>
    <row r="17" spans="1:11">
      <c r="A17" s="14"/>
      <c r="B17" s="9" t="str">
        <f>+[6]ciiu_desagregado!A5</f>
        <v>Maquinaria y equipo</v>
      </c>
      <c r="C17" s="22">
        <f>+[6]ciiu_desagregado!B5</f>
        <v>1756.7698112300445</v>
      </c>
      <c r="D17" s="25">
        <f>+[6]ciiu_desagregado!C5</f>
        <v>2438.3305887899583</v>
      </c>
      <c r="E17" s="22">
        <f t="shared" si="0"/>
        <v>38.796248273568779</v>
      </c>
      <c r="F17" s="22">
        <f t="shared" si="1"/>
        <v>10.583535393781531</v>
      </c>
      <c r="G17" s="22">
        <f>+[6]ciiu_desagregado!D5</f>
        <v>230.16523317999983</v>
      </c>
      <c r="H17" s="25">
        <f>+[6]ciiu_desagregado!E5</f>
        <v>274.10431349999948</v>
      </c>
      <c r="I17" s="22">
        <f t="shared" si="3"/>
        <v>19.090233443570192</v>
      </c>
      <c r="J17" s="22">
        <f t="shared" si="4"/>
        <v>10.402201087694509</v>
      </c>
      <c r="K17" s="16"/>
    </row>
    <row r="18" spans="1:11">
      <c r="A18" s="14"/>
      <c r="B18" s="9" t="str">
        <f>+[6]ciiu_desagregado!A6</f>
        <v>Equipo de radio</v>
      </c>
      <c r="C18" s="22">
        <f>+[6]ciiu_desagregado!B6</f>
        <v>1684.4235624600178</v>
      </c>
      <c r="D18" s="25">
        <f>+[6]ciiu_desagregado!C6</f>
        <v>2045.1518745300057</v>
      </c>
      <c r="E18" s="22">
        <f t="shared" si="0"/>
        <v>21.415534673663792</v>
      </c>
      <c r="F18" s="22">
        <f t="shared" si="1"/>
        <v>8.8769493969595157</v>
      </c>
      <c r="G18" s="22">
        <f>+[6]ciiu_desagregado!D6</f>
        <v>194.90066587999993</v>
      </c>
      <c r="H18" s="25">
        <f>+[6]ciiu_desagregado!E6</f>
        <v>271.90726780999944</v>
      </c>
      <c r="I18" s="22">
        <f t="shared" si="3"/>
        <v>39.510692065778976</v>
      </c>
      <c r="J18" s="22">
        <f t="shared" si="4"/>
        <v>10.318823665521133</v>
      </c>
      <c r="K18" s="16"/>
    </row>
    <row r="19" spans="1:11">
      <c r="A19" s="14"/>
      <c r="B19" s="9" t="str">
        <f>+[6]ciiu_desagregado!A7</f>
        <v>Refinación del petróleo</v>
      </c>
      <c r="C19" s="22">
        <f>+[6]ciiu_desagregado!B7</f>
        <v>122.23421632000044</v>
      </c>
      <c r="D19" s="25">
        <f>+[6]ciiu_desagregado!C7</f>
        <v>1520.6896781499954</v>
      </c>
      <c r="E19" s="22">
        <f t="shared" si="0"/>
        <v>1144.0785599417914</v>
      </c>
      <c r="F19" s="22">
        <f t="shared" si="1"/>
        <v>6.6005295203410626</v>
      </c>
      <c r="G19" s="22">
        <f>+[6]ciiu_desagregado!D7</f>
        <v>5.3818058899999999</v>
      </c>
      <c r="H19" s="25">
        <f>+[6]ciiu_desagregado!E7</f>
        <v>364.50557859999941</v>
      </c>
      <c r="I19" s="22">
        <f t="shared" si="3"/>
        <v>6672.9231795091637</v>
      </c>
      <c r="J19" s="22">
        <f t="shared" si="4"/>
        <v>13.832910098233961</v>
      </c>
      <c r="K19" s="16"/>
    </row>
    <row r="20" spans="1:11">
      <c r="A20" s="14"/>
      <c r="B20" s="9" t="str">
        <f>+[6]ciiu_desagregado!A8</f>
        <v>Instrumentos médicos</v>
      </c>
      <c r="C20" s="22">
        <f>+[6]ciiu_desagregado!B8</f>
        <v>849.62792709000121</v>
      </c>
      <c r="D20" s="25">
        <f>+[6]ciiu_desagregado!C8</f>
        <v>1020.6081671299989</v>
      </c>
      <c r="E20" s="22">
        <f t="shared" si="0"/>
        <v>20.124131350720752</v>
      </c>
      <c r="F20" s="22">
        <f t="shared" si="1"/>
        <v>4.4299336233005411</v>
      </c>
      <c r="G20" s="22">
        <f>+[6]ciiu_desagregado!D8</f>
        <v>81.827291599999882</v>
      </c>
      <c r="H20" s="25">
        <f>+[6]ciiu_desagregado!E8</f>
        <v>103.55813563000027</v>
      </c>
      <c r="I20" s="22">
        <f t="shared" si="3"/>
        <v>26.556963581574067</v>
      </c>
      <c r="J20" s="22">
        <f t="shared" si="4"/>
        <v>3.9300094819193951</v>
      </c>
      <c r="K20" s="16"/>
    </row>
    <row r="21" spans="1:11">
      <c r="A21" s="14"/>
      <c r="B21" s="9" t="str">
        <f>+[6]ciiu_desagregado!A9</f>
        <v>Maquinaria de oficina</v>
      </c>
      <c r="C21" s="22">
        <f>+[6]ciiu_desagregado!B9</f>
        <v>941.9652240599969</v>
      </c>
      <c r="D21" s="25">
        <f>+[6]ciiu_desagregado!C9</f>
        <v>990.84263076000752</v>
      </c>
      <c r="E21" s="22">
        <f t="shared" si="0"/>
        <v>5.1888759214849145</v>
      </c>
      <c r="F21" s="22">
        <f t="shared" si="1"/>
        <v>4.3007367829971805</v>
      </c>
      <c r="G21" s="22">
        <f>+[6]ciiu_desagregado!D9</f>
        <v>94.898507549999835</v>
      </c>
      <c r="H21" s="25">
        <f>+[6]ciiu_desagregado!E9</f>
        <v>98.494721330000104</v>
      </c>
      <c r="I21" s="22">
        <f t="shared" si="3"/>
        <v>3.7895367091052679</v>
      </c>
      <c r="J21" s="22">
        <f t="shared" si="4"/>
        <v>3.7378539734329892</v>
      </c>
      <c r="K21" s="16"/>
    </row>
    <row r="22" spans="1:11">
      <c r="A22" s="14"/>
      <c r="B22" s="9" t="str">
        <f>+[6]ciiu_desagregado!A10</f>
        <v>Productos metalúrgicos</v>
      </c>
      <c r="C22" s="22">
        <f>+[6]ciiu_desagregado!B10</f>
        <v>577.54842295000162</v>
      </c>
      <c r="D22" s="25">
        <f>+[6]ciiu_desagregado!C10</f>
        <v>813.9386366899995</v>
      </c>
      <c r="E22" s="22">
        <f t="shared" si="0"/>
        <v>40.929938399375068</v>
      </c>
      <c r="F22" s="22">
        <f t="shared" si="1"/>
        <v>3.5328877919092339</v>
      </c>
      <c r="G22" s="22">
        <f>+[6]ciiu_desagregado!D10</f>
        <v>49.744059630000052</v>
      </c>
      <c r="H22" s="25">
        <f>+[6]ciiu_desagregado!E10</f>
        <v>76.80759248000021</v>
      </c>
      <c r="I22" s="22">
        <f t="shared" si="3"/>
        <v>54.405557269150705</v>
      </c>
      <c r="J22" s="22">
        <f t="shared" si="4"/>
        <v>2.9148319916485237</v>
      </c>
      <c r="K22" s="16"/>
    </row>
    <row r="23" spans="1:11">
      <c r="A23" s="14"/>
      <c r="B23" s="9" t="str">
        <f>+[6]ciiu_desagregado!A11</f>
        <v>Aparatos eléctricos</v>
      </c>
      <c r="C23" s="22">
        <f>+[6]ciiu_desagregado!B11</f>
        <v>624.58248973001082</v>
      </c>
      <c r="D23" s="25">
        <f>+[6]ciiu_desagregado!C11</f>
        <v>810.77927376000048</v>
      </c>
      <c r="E23" s="22">
        <f t="shared" si="0"/>
        <v>29.811399949825244</v>
      </c>
      <c r="F23" s="22">
        <f t="shared" si="1"/>
        <v>3.5191746270311111</v>
      </c>
      <c r="G23" s="22">
        <f>+[6]ciiu_desagregado!D11</f>
        <v>69.743605479999815</v>
      </c>
      <c r="H23" s="25">
        <f>+[6]ciiu_desagregado!E11</f>
        <v>76.984479989999713</v>
      </c>
      <c r="I23" s="22">
        <f t="shared" si="3"/>
        <v>10.382133903410473</v>
      </c>
      <c r="J23" s="22">
        <f t="shared" si="4"/>
        <v>2.9215448354758298</v>
      </c>
      <c r="K23" s="16"/>
    </row>
    <row r="24" spans="1:11">
      <c r="A24" s="14"/>
      <c r="B24" s="9" t="str">
        <f>+[6]ciiu_desagregado!A12</f>
        <v>Alimentos y bebidas</v>
      </c>
      <c r="C24" s="22">
        <f>+[6]ciiu_desagregado!B12</f>
        <v>595.34658170000296</v>
      </c>
      <c r="D24" s="25">
        <f>+[6]ciiu_desagregado!C12</f>
        <v>706.5057009100027</v>
      </c>
      <c r="E24" s="22">
        <f t="shared" si="0"/>
        <v>18.671329042082775</v>
      </c>
      <c r="F24" s="22">
        <f t="shared" si="1"/>
        <v>3.0665768316510884</v>
      </c>
      <c r="G24" s="22">
        <f>+[6]ciiu_desagregado!D12</f>
        <v>52.639436000000075</v>
      </c>
      <c r="H24" s="25">
        <f>+[6]ciiu_desagregado!E12</f>
        <v>73.347954189999982</v>
      </c>
      <c r="I24" s="22">
        <f t="shared" si="3"/>
        <v>39.340311681910656</v>
      </c>
      <c r="J24" s="22">
        <f t="shared" si="4"/>
        <v>2.783539445669418</v>
      </c>
      <c r="K24" s="16"/>
    </row>
    <row r="25" spans="1:11">
      <c r="A25" s="14"/>
      <c r="B25" s="9" t="str">
        <f>+[6]ciiu_desagregado!A13</f>
        <v>Textiles</v>
      </c>
      <c r="C25" s="22">
        <f>+[6]ciiu_desagregado!B13</f>
        <v>434.85819716999833</v>
      </c>
      <c r="D25" s="25">
        <f>+[6]ciiu_desagregado!C13</f>
        <v>622.39508342999648</v>
      </c>
      <c r="E25" s="22">
        <f t="shared" si="0"/>
        <v>43.125986236539696</v>
      </c>
      <c r="F25" s="22">
        <f t="shared" si="1"/>
        <v>2.7014960254695817</v>
      </c>
      <c r="G25" s="22">
        <f>+[6]ciiu_desagregado!D13</f>
        <v>36.965834289999862</v>
      </c>
      <c r="H25" s="25">
        <f>+[6]ciiu_desagregado!E13</f>
        <v>55.208914650000139</v>
      </c>
      <c r="I25" s="22">
        <f t="shared" si="3"/>
        <v>49.351193366506728</v>
      </c>
      <c r="J25" s="22">
        <f t="shared" si="4"/>
        <v>2.0951667074829374</v>
      </c>
      <c r="K25" s="16"/>
    </row>
    <row r="26" spans="1:11">
      <c r="A26" s="14"/>
      <c r="B26" s="9" t="str">
        <f>+[6]ciiu_desagregado!A14</f>
        <v>Caucho y de plástico</v>
      </c>
      <c r="C26" s="22">
        <f>+[6]ciiu_desagregado!B14</f>
        <v>413.93113479999568</v>
      </c>
      <c r="D26" s="25">
        <f>+[6]ciiu_desagregado!C14</f>
        <v>578.54939610999963</v>
      </c>
      <c r="E26" s="22">
        <f t="shared" si="0"/>
        <v>39.769480348354236</v>
      </c>
      <c r="F26" s="22">
        <f t="shared" si="1"/>
        <v>2.5111845124412562</v>
      </c>
      <c r="G26" s="22">
        <f>+[6]ciiu_desagregado!D14</f>
        <v>43.990448860000242</v>
      </c>
      <c r="H26" s="25">
        <f>+[6]ciiu_desagregado!E14</f>
        <v>58.486314060000034</v>
      </c>
      <c r="I26" s="22">
        <f t="shared" si="3"/>
        <v>32.952301182770213</v>
      </c>
      <c r="J26" s="22">
        <f t="shared" si="4"/>
        <v>2.2195433262679254</v>
      </c>
      <c r="K26" s="16"/>
    </row>
    <row r="27" spans="1:11">
      <c r="A27" s="14"/>
      <c r="B27" s="9" t="str">
        <f>+[6]ciiu_desagregado!A15</f>
        <v>Agricultura</v>
      </c>
      <c r="C27" s="22">
        <f>+[6]ciiu_desagregado!B15</f>
        <v>380.2087167899989</v>
      </c>
      <c r="D27" s="25">
        <f>+[6]ciiu_desagregado!C15</f>
        <v>481.10870963000048</v>
      </c>
      <c r="E27" s="22">
        <f t="shared" si="0"/>
        <v>26.538053543820194</v>
      </c>
      <c r="F27" s="22">
        <f t="shared" si="1"/>
        <v>2.0882447523871384</v>
      </c>
      <c r="G27" s="22">
        <f>+[6]ciiu_desagregado!D15</f>
        <v>37.908923680000001</v>
      </c>
      <c r="H27" s="25">
        <f>+[6]ciiu_desagregado!E15</f>
        <v>52.571827719999966</v>
      </c>
      <c r="I27" s="22">
        <f t="shared" si="3"/>
        <v>38.679293993608745</v>
      </c>
      <c r="J27" s="22">
        <f t="shared" si="4"/>
        <v>1.9950898127368326</v>
      </c>
      <c r="K27" s="16"/>
    </row>
    <row r="28" spans="1:11">
      <c r="A28" s="14"/>
      <c r="B28" s="9" t="str">
        <f>+[6]ciiu_desagregado!A16</f>
        <v>Productos de metal</v>
      </c>
      <c r="C28" s="22">
        <f>+[6]ciiu_desagregado!B16</f>
        <v>288.43629661999904</v>
      </c>
      <c r="D28" s="25">
        <f>+[6]ciiu_desagregado!C16</f>
        <v>427.88371866999637</v>
      </c>
      <c r="E28" s="22">
        <f t="shared" si="0"/>
        <v>48.346003496818078</v>
      </c>
      <c r="F28" s="22">
        <f t="shared" si="1"/>
        <v>1.8572225201071209</v>
      </c>
      <c r="G28" s="22">
        <f>+[6]ciiu_desagregado!D16</f>
        <v>31.838517000000046</v>
      </c>
      <c r="H28" s="25">
        <f>+[6]ciiu_desagregado!E16</f>
        <v>42.10527569999995</v>
      </c>
      <c r="I28" s="22">
        <f t="shared" si="3"/>
        <v>32.246347089595574</v>
      </c>
      <c r="J28" s="22">
        <f t="shared" si="4"/>
        <v>1.5978863633761002</v>
      </c>
      <c r="K28" s="16"/>
    </row>
    <row r="29" spans="1:11">
      <c r="A29" s="14"/>
      <c r="B29" s="9" t="str">
        <f>+[6]ciiu_desagregado!A17</f>
        <v>Muebles industrias</v>
      </c>
      <c r="C29" s="22">
        <f>+[6]ciiu_desagregado!B17</f>
        <v>291.59718059999818</v>
      </c>
      <c r="D29" s="25">
        <f>+[6]ciiu_desagregado!C17</f>
        <v>392.07165573000248</v>
      </c>
      <c r="E29" s="22">
        <f t="shared" si="0"/>
        <v>34.456600342728038</v>
      </c>
      <c r="F29" s="22">
        <f t="shared" si="1"/>
        <v>1.7017808267648542</v>
      </c>
      <c r="G29" s="22">
        <f>+[6]ciiu_desagregado!D17</f>
        <v>42.573675109999897</v>
      </c>
      <c r="H29" s="25">
        <f>+[6]ciiu_desagregado!E17</f>
        <v>44.88416356999997</v>
      </c>
      <c r="I29" s="22">
        <f t="shared" si="3"/>
        <v>5.4270354955975542</v>
      </c>
      <c r="J29" s="22">
        <f t="shared" si="4"/>
        <v>1.7033445739923128</v>
      </c>
      <c r="K29" s="16"/>
    </row>
    <row r="30" spans="1:11">
      <c r="A30" s="14"/>
      <c r="B30" s="9" t="str">
        <f>+[6]ciiu_desagregado!A18</f>
        <v>Cueros</v>
      </c>
      <c r="C30" s="22">
        <f>+[6]ciiu_desagregado!B18</f>
        <v>176.25906204999779</v>
      </c>
      <c r="D30" s="25">
        <f>+[6]ciiu_desagregado!C18</f>
        <v>264.18735342000048</v>
      </c>
      <c r="E30" s="22">
        <f t="shared" si="0"/>
        <v>49.885827342630961</v>
      </c>
      <c r="F30" s="22">
        <f t="shared" si="1"/>
        <v>1.1467010332251959</v>
      </c>
      <c r="G30" s="22">
        <f>+[6]ciiu_desagregado!D18</f>
        <v>33.886635400000095</v>
      </c>
      <c r="H30" s="25">
        <f>+[6]ciiu_desagregado!E18</f>
        <v>46.619827730000068</v>
      </c>
      <c r="I30" s="22">
        <f t="shared" si="3"/>
        <v>37.575853075103268</v>
      </c>
      <c r="J30" s="22">
        <f t="shared" si="4"/>
        <v>1.7692126640726442</v>
      </c>
      <c r="K30" s="16"/>
    </row>
    <row r="31" spans="1:11">
      <c r="A31" s="14"/>
      <c r="B31" s="9" t="str">
        <f>+[6]ciiu_desagregado!A19</f>
        <v>Papel</v>
      </c>
      <c r="C31" s="22">
        <f>+[6]ciiu_desagregado!B19</f>
        <v>247.65272719999882</v>
      </c>
      <c r="D31" s="25">
        <f>+[6]ciiu_desagregado!C19</f>
        <v>260.1981455299985</v>
      </c>
      <c r="E31" s="22">
        <f t="shared" si="0"/>
        <v>5.0657299323290994</v>
      </c>
      <c r="F31" s="22">
        <f t="shared" si="1"/>
        <v>1.1293859394101524</v>
      </c>
      <c r="G31" s="22">
        <f>+[6]ciiu_desagregado!D19</f>
        <v>26.347603060000026</v>
      </c>
      <c r="H31" s="25">
        <f>+[6]ciiu_desagregado!E19</f>
        <v>22.336802759999983</v>
      </c>
      <c r="I31" s="22">
        <f t="shared" si="3"/>
        <v>-15.222638244801455</v>
      </c>
      <c r="J31" s="22">
        <f t="shared" si="4"/>
        <v>0.84767697012433185</v>
      </c>
      <c r="K31" s="16"/>
    </row>
    <row r="32" spans="1:11">
      <c r="A32" s="14"/>
      <c r="B32" s="9" t="str">
        <f>+[6]ciiu_desagregado!A20</f>
        <v>Prendas de vestir</v>
      </c>
      <c r="C32" s="22">
        <f>+[6]ciiu_desagregado!B20</f>
        <v>124.78231010999809</v>
      </c>
      <c r="D32" s="25">
        <f>+[6]ciiu_desagregado!C20</f>
        <v>216.19091802000023</v>
      </c>
      <c r="E32" s="22">
        <f t="shared" si="0"/>
        <v>73.254460371364829</v>
      </c>
      <c r="F32" s="22">
        <f t="shared" si="1"/>
        <v>0.93837326373954266</v>
      </c>
      <c r="G32" s="22">
        <f>+[6]ciiu_desagregado!D20</f>
        <v>18.542909710000025</v>
      </c>
      <c r="H32" s="25">
        <f>+[6]ciiu_desagregado!E20</f>
        <v>27.085014359999928</v>
      </c>
      <c r="I32" s="22">
        <f t="shared" si="3"/>
        <v>46.06668955192734</v>
      </c>
      <c r="J32" s="22">
        <f t="shared" si="4"/>
        <v>1.0278706023931767</v>
      </c>
      <c r="K32" s="16"/>
    </row>
    <row r="33" spans="1:11">
      <c r="A33" s="14"/>
      <c r="B33" s="9" t="str">
        <f>+[6]ciiu_desagregado!A21</f>
        <v>Minerales no metálicos</v>
      </c>
      <c r="C33" s="22">
        <f>+[6]ciiu_desagregado!B21</f>
        <v>150.62087338999976</v>
      </c>
      <c r="D33" s="25">
        <f>+[6]ciiu_desagregado!C21</f>
        <v>201.22502341999962</v>
      </c>
      <c r="E33" s="22">
        <f t="shared" si="0"/>
        <v>33.597036646422509</v>
      </c>
      <c r="F33" s="22">
        <f t="shared" si="1"/>
        <v>0.87341403469697321</v>
      </c>
      <c r="G33" s="22">
        <f>+[6]ciiu_desagregado!D21</f>
        <v>16.434586370000002</v>
      </c>
      <c r="H33" s="25">
        <f>+[6]ciiu_desagregado!E21</f>
        <v>20.980405160000014</v>
      </c>
      <c r="I33" s="22">
        <f t="shared" si="3"/>
        <v>27.660074234043599</v>
      </c>
      <c r="J33" s="22">
        <f t="shared" si="4"/>
        <v>0.79620196628399309</v>
      </c>
      <c r="K33" s="16"/>
    </row>
    <row r="34" spans="1:11">
      <c r="A34" s="14"/>
      <c r="B34" s="9" t="str">
        <f>+[6]ciiu_desagregado!A22</f>
        <v>Edición</v>
      </c>
      <c r="C34" s="22">
        <f>+[6]ciiu_desagregado!B22</f>
        <v>119.38545435000061</v>
      </c>
      <c r="D34" s="25">
        <f>+[6]ciiu_desagregado!C22</f>
        <v>124.14760464999992</v>
      </c>
      <c r="E34" s="22">
        <f t="shared" si="0"/>
        <v>3.988886523845836</v>
      </c>
      <c r="F34" s="22">
        <f t="shared" si="1"/>
        <v>0.53886071638813948</v>
      </c>
      <c r="G34" s="22">
        <f>+[6]ciiu_desagregado!D22</f>
        <v>13.961248910000005</v>
      </c>
      <c r="H34" s="25">
        <f>+[6]ciiu_desagregado!E22</f>
        <v>17.369330810000019</v>
      </c>
      <c r="I34" s="22">
        <f t="shared" si="3"/>
        <v>24.411010232465035</v>
      </c>
      <c r="J34" s="22">
        <f t="shared" si="4"/>
        <v>0.65916245365583526</v>
      </c>
      <c r="K34" s="16"/>
    </row>
    <row r="35" spans="1:11">
      <c r="A35" s="14"/>
      <c r="B35" s="9" t="str">
        <f>+[6]ciiu_desagregado!A23</f>
        <v>Madera</v>
      </c>
      <c r="C35" s="22">
        <f>+[6]ciiu_desagregado!B23</f>
        <v>84.173661740000057</v>
      </c>
      <c r="D35" s="25">
        <f>+[6]ciiu_desagregado!C23</f>
        <v>77.774258039999921</v>
      </c>
      <c r="E35" s="22">
        <f t="shared" si="0"/>
        <v>-7.6026200686943435</v>
      </c>
      <c r="F35" s="22">
        <f t="shared" si="1"/>
        <v>0.33757793814985543</v>
      </c>
      <c r="G35" s="22">
        <f>+[6]ciiu_desagregado!D23</f>
        <v>10.583562919999997</v>
      </c>
      <c r="H35" s="25">
        <f>+[6]ciiu_desagregado!E23</f>
        <v>7.4140970100000025</v>
      </c>
      <c r="I35" s="22">
        <f t="shared" si="3"/>
        <v>-29.947059737421533</v>
      </c>
      <c r="J35" s="22">
        <f t="shared" si="4"/>
        <v>0.28136342327825054</v>
      </c>
      <c r="K35" s="16"/>
    </row>
    <row r="36" spans="1:11">
      <c r="A36" s="14"/>
      <c r="B36" s="9" t="str">
        <f>+[6]ciiu_desagregado!A24</f>
        <v>Minerales no metálicos</v>
      </c>
      <c r="C36" s="22">
        <f>+[6]ciiu_desagregado!B24</f>
        <v>23.349894940000024</v>
      </c>
      <c r="D36" s="25">
        <f>+[6]ciiu_desagregado!C24</f>
        <v>37.259250849999994</v>
      </c>
      <c r="E36" s="22">
        <f t="shared" si="0"/>
        <v>59.569244083288183</v>
      </c>
      <c r="F36" s="22">
        <f t="shared" si="1"/>
        <v>0.16172318959934442</v>
      </c>
      <c r="G36" s="22">
        <f>+[6]ciiu_desagregado!D24</f>
        <v>2.1221125100000005</v>
      </c>
      <c r="H36" s="25">
        <f>+[6]ciiu_desagregado!E24</f>
        <v>2.4883792899999988</v>
      </c>
      <c r="I36" s="22">
        <f t="shared" si="3"/>
        <v>17.259536347580283</v>
      </c>
      <c r="J36" s="22">
        <f t="shared" si="4"/>
        <v>9.443347106259431E-2</v>
      </c>
      <c r="K36" s="16"/>
    </row>
    <row r="37" spans="1:11">
      <c r="A37" s="14"/>
      <c r="B37" s="9" t="str">
        <f>+[6]ciiu_desagregado!A25</f>
        <v>Tabaco</v>
      </c>
      <c r="C37" s="22">
        <f>+[6]ciiu_desagregado!B25</f>
        <v>17.395187650000004</v>
      </c>
      <c r="D37" s="25">
        <f>+[6]ciiu_desagregado!C25</f>
        <v>18.117031989999983</v>
      </c>
      <c r="E37" s="22">
        <f t="shared" si="0"/>
        <v>4.1496783738344867</v>
      </c>
      <c r="F37" s="22">
        <f t="shared" si="1"/>
        <v>7.8636691094291181E-2</v>
      </c>
      <c r="G37" s="22">
        <f>+[6]ciiu_desagregado!D25</f>
        <v>1.0608164099999999</v>
      </c>
      <c r="H37" s="25">
        <f>+[6]ciiu_desagregado!E25</f>
        <v>2.5355191200000005</v>
      </c>
      <c r="I37" s="22">
        <f t="shared" si="3"/>
        <v>139.01582744180971</v>
      </c>
      <c r="J37" s="22">
        <f t="shared" si="4"/>
        <v>9.6222417703522495E-2</v>
      </c>
      <c r="K37" s="16"/>
    </row>
    <row r="38" spans="1:11">
      <c r="A38" s="14"/>
      <c r="B38" s="9" t="str">
        <f>+[6]ciiu_desagregado!A26</f>
        <v>Sin información</v>
      </c>
      <c r="C38" s="22">
        <f>+[6]ciiu_desagregado!B26</f>
        <v>9.643440110000002</v>
      </c>
      <c r="D38" s="25">
        <f>+[6]ciiu_desagregado!C26</f>
        <v>10.661927569999998</v>
      </c>
      <c r="E38" s="22">
        <f t="shared" si="0"/>
        <v>10.561453676098953</v>
      </c>
      <c r="F38" s="22">
        <f t="shared" si="1"/>
        <v>4.6277928153716154E-2</v>
      </c>
      <c r="G38" s="22">
        <f>+[6]ciiu_desagregado!D26</f>
        <v>0.97334857000000019</v>
      </c>
      <c r="H38" s="25">
        <f>+[6]ciiu_desagregado!E26</f>
        <v>1.0031435700000002</v>
      </c>
      <c r="I38" s="22">
        <f t="shared" si="3"/>
        <v>3.0610822184697906</v>
      </c>
      <c r="J38" s="22">
        <f t="shared" si="4"/>
        <v>3.8069087646691757E-2</v>
      </c>
      <c r="K38" s="16"/>
    </row>
    <row r="39" spans="1:11">
      <c r="A39" s="14"/>
      <c r="B39" s="9" t="str">
        <f>+[6]ciiu_desagregado!A27</f>
        <v>Minerales metalíferos</v>
      </c>
      <c r="C39" s="22">
        <f>+[6]ciiu_desagregado!B27</f>
        <v>2.8233240099999994</v>
      </c>
      <c r="D39" s="25">
        <f>+[6]ciiu_desagregado!C27</f>
        <v>3.2943163499999994</v>
      </c>
      <c r="E39" s="22">
        <f t="shared" si="0"/>
        <v>16.68219227873886</v>
      </c>
      <c r="F39" s="22">
        <f t="shared" si="1"/>
        <v>1.4298928065304093E-2</v>
      </c>
      <c r="G39" s="22">
        <f>+[6]ciiu_desagregado!D27</f>
        <v>0.36372838000000002</v>
      </c>
      <c r="H39" s="25">
        <f>+[6]ciiu_desagregado!E27</f>
        <v>0.21869827999999999</v>
      </c>
      <c r="I39" s="22">
        <f t="shared" si="3"/>
        <v>-39.873187789195882</v>
      </c>
      <c r="J39" s="22">
        <f t="shared" si="4"/>
        <v>8.2995537612833761E-3</v>
      </c>
      <c r="K39" s="16"/>
    </row>
    <row r="40" spans="1:11">
      <c r="A40" s="14"/>
      <c r="B40" s="9" t="str">
        <f>+[6]ciiu_desagregado!A28</f>
        <v>Silvicultura</v>
      </c>
      <c r="C40" s="22">
        <f>+[6]ciiu_desagregado!B28</f>
        <v>1.9627176299999993</v>
      </c>
      <c r="D40" s="25">
        <f>+[6]ciiu_desagregado!C28</f>
        <v>2.0932336900000008</v>
      </c>
      <c r="E40" s="22">
        <f t="shared" si="0"/>
        <v>6.6497624520752696</v>
      </c>
      <c r="F40" s="22">
        <f t="shared" si="1"/>
        <v>9.0856477572899344E-3</v>
      </c>
      <c r="G40" s="22">
        <f>+[6]ciiu_desagregado!D28</f>
        <v>0.14166332000000001</v>
      </c>
      <c r="H40" s="25">
        <f>+[6]ciiu_desagregado!E28</f>
        <v>4.3795190000000005E-2</v>
      </c>
      <c r="I40" s="22">
        <f t="shared" si="3"/>
        <v>-69.085017914305553</v>
      </c>
      <c r="J40" s="22">
        <f t="shared" si="4"/>
        <v>1.6620182558848664E-3</v>
      </c>
      <c r="K40" s="16"/>
    </row>
    <row r="41" spans="1:11">
      <c r="A41" s="14"/>
      <c r="B41" s="9" t="str">
        <f>+[6]ciiu_desagregado!A29</f>
        <v>Esparcimiento</v>
      </c>
      <c r="C41" s="22">
        <f>+[6]ciiu_desagregado!B29</f>
        <v>0.9649329099999997</v>
      </c>
      <c r="D41" s="25">
        <f>+[6]ciiu_desagregado!C29</f>
        <v>1.5561722399999998</v>
      </c>
      <c r="E41" s="22">
        <f t="shared" si="0"/>
        <v>61.272584225570689</v>
      </c>
      <c r="F41" s="22">
        <f t="shared" si="1"/>
        <v>6.754541019408514E-3</v>
      </c>
      <c r="G41" s="22">
        <f>+[6]ciiu_desagregado!D29</f>
        <v>0.10757014000000001</v>
      </c>
      <c r="H41" s="25">
        <f>+[6]ciiu_desagregado!E29</f>
        <v>0.21564088999999997</v>
      </c>
      <c r="I41" s="22">
        <f t="shared" si="3"/>
        <v>100.46538007666435</v>
      </c>
      <c r="J41" s="22">
        <f t="shared" si="4"/>
        <v>8.1835264533676021E-3</v>
      </c>
      <c r="K41" s="16"/>
    </row>
    <row r="42" spans="1:11">
      <c r="A42" s="14"/>
      <c r="B42" s="9" t="str">
        <f>+[6]ciiu_desagregado!A30</f>
        <v>Pesca</v>
      </c>
      <c r="C42" s="22">
        <f>+[6]ciiu_desagregado!B30</f>
        <v>1.4817365100000008</v>
      </c>
      <c r="D42" s="25">
        <f>+[6]ciiu_desagregado!C30</f>
        <v>1.4669635300000008</v>
      </c>
      <c r="E42" s="22">
        <f t="shared" si="0"/>
        <v>-0.99700452140442097</v>
      </c>
      <c r="F42" s="22">
        <f t="shared" si="1"/>
        <v>6.367332023196429E-3</v>
      </c>
      <c r="G42" s="22">
        <f>+[6]ciiu_desagregado!D30</f>
        <v>0.12228386000000002</v>
      </c>
      <c r="H42" s="25">
        <f>+[6]ciiu_desagregado!E30</f>
        <v>0.13007294999999999</v>
      </c>
      <c r="I42" s="22">
        <f t="shared" si="3"/>
        <v>6.3696795308881837</v>
      </c>
      <c r="J42" s="22">
        <f t="shared" si="4"/>
        <v>4.9362411145333403E-3</v>
      </c>
      <c r="K42" s="16"/>
    </row>
    <row r="43" spans="1:11">
      <c r="A43" s="14"/>
      <c r="B43" s="9" t="str">
        <f>+[6]ciiu_desagregado!A31</f>
        <v>Reciclaje</v>
      </c>
      <c r="C43" s="22">
        <f>+[6]ciiu_desagregado!B31</f>
        <v>0.95774861000000011</v>
      </c>
      <c r="D43" s="25">
        <f>+[6]ciiu_desagregado!C31</f>
        <v>1.3016081400000001</v>
      </c>
      <c r="E43" s="22">
        <f t="shared" si="0"/>
        <v>35.902900449001947</v>
      </c>
      <c r="F43" s="22">
        <f t="shared" si="1"/>
        <v>5.649609565600542E-3</v>
      </c>
      <c r="G43" s="22">
        <f>+[6]ciiu_desagregado!D31</f>
        <v>9.9218229999999991E-2</v>
      </c>
      <c r="H43" s="25">
        <f>+[6]ciiu_desagregado!E31</f>
        <v>5.1804230000000007E-2</v>
      </c>
      <c r="I43" s="22">
        <f t="shared" si="3"/>
        <v>-47.787589034797328</v>
      </c>
      <c r="J43" s="22">
        <f t="shared" si="4"/>
        <v>1.9659596405920028E-3</v>
      </c>
      <c r="K43" s="16"/>
    </row>
    <row r="44" spans="1:11">
      <c r="A44" s="14"/>
      <c r="B44" s="9" t="str">
        <f>+[6]ciiu_desagregado!A32</f>
        <v>Carbón</v>
      </c>
      <c r="C44" s="22">
        <f>+[6]ciiu_desagregado!B32</f>
        <v>0.92022150000000003</v>
      </c>
      <c r="D44" s="25">
        <f>+[6]ciiu_desagregado!C32</f>
        <v>1.0531310199999999</v>
      </c>
      <c r="E44" s="22">
        <f t="shared" si="0"/>
        <v>14.443209596819884</v>
      </c>
      <c r="F44" s="22">
        <f t="shared" si="1"/>
        <v>4.5710985523051929E-3</v>
      </c>
      <c r="G44" s="22">
        <f>+[6]ciiu_desagregado!D32</f>
        <v>8.1800420000000013E-2</v>
      </c>
      <c r="H44" s="25">
        <f>+[6]ciiu_desagregado!E32</f>
        <v>0.10288521999999999</v>
      </c>
      <c r="I44" s="22">
        <f t="shared" si="3"/>
        <v>25.775906774072755</v>
      </c>
      <c r="J44" s="22">
        <f t="shared" si="4"/>
        <v>3.9044724751903289E-3</v>
      </c>
      <c r="K44" s="16"/>
    </row>
    <row r="45" spans="1:11">
      <c r="A45" s="14"/>
      <c r="B45" s="9" t="str">
        <f>+[6]ciiu_desagregado!A33</f>
        <v>Activ. empresariales</v>
      </c>
      <c r="C45" s="22">
        <f>+[6]ciiu_desagregado!B33</f>
        <v>0.52165759</v>
      </c>
      <c r="D45" s="25">
        <f>+[6]ciiu_desagregado!C33</f>
        <v>0.57967379000000008</v>
      </c>
      <c r="E45" s="22">
        <f t="shared" si="0"/>
        <v>11.121509801093875</v>
      </c>
      <c r="F45" s="22">
        <f t="shared" si="1"/>
        <v>2.516064926354809E-3</v>
      </c>
      <c r="G45" s="22">
        <f>+[6]ciiu_desagregado!D33</f>
        <v>8.20917E-3</v>
      </c>
      <c r="H45" s="25">
        <f>+[6]ciiu_desagregado!E33</f>
        <v>3.50446E-3</v>
      </c>
      <c r="I45" s="22">
        <f t="shared" si="3"/>
        <v>-57.310422369131111</v>
      </c>
      <c r="J45" s="22">
        <f t="shared" si="4"/>
        <v>1.329935204532342E-4</v>
      </c>
      <c r="K45" s="16"/>
    </row>
    <row r="46" spans="1:11">
      <c r="A46" s="14"/>
      <c r="B46" s="9" t="str">
        <f>+[6]ciiu_desagregado!A34</f>
        <v>Comercio al por mayor</v>
      </c>
      <c r="C46" s="22">
        <f>+[6]ciiu_desagregado!B34</f>
        <v>4.3550210000000013E-2</v>
      </c>
      <c r="D46" s="25">
        <f>+[6]ciiu_desagregado!C34</f>
        <v>0.21855941000000012</v>
      </c>
      <c r="E46" s="22">
        <f t="shared" ref="E46" si="5">IF(OR(OR(D46=0,C46=0),D46=""),"",(D46/C46-1)*100)</f>
        <v>401.85615637674317</v>
      </c>
      <c r="F46" s="22">
        <f t="shared" ref="F46" si="6">(D46/D$13)*100</f>
        <v>9.4865366575535637E-4</v>
      </c>
      <c r="G46" s="22">
        <f>+[6]ciiu_desagregado!D34</f>
        <v>2.7364900000000003E-3</v>
      </c>
      <c r="H46" s="25">
        <f>+[6]ciiu_desagregado!E34</f>
        <v>2.3918479999999999E-2</v>
      </c>
      <c r="I46" s="22">
        <f t="shared" ref="I46" si="7">IF(OR(OR(H46=0,G46=0),H46=""),"",(H46/G46-1)*100)</f>
        <v>774.05691232198899</v>
      </c>
      <c r="J46" s="22">
        <f t="shared" ref="J46" si="8">(H46/H$13)*100</f>
        <v>9.0770128895472431E-4</v>
      </c>
      <c r="K46" s="16"/>
    </row>
    <row r="47" spans="1:11">
      <c r="A47" s="14"/>
      <c r="B47" s="9" t="str">
        <f>+[6]ciiu_desagregado!A35</f>
        <v>Petróleo</v>
      </c>
      <c r="C47" s="22">
        <f>+[6]ciiu_desagregado!B35</f>
        <v>7.6307699999999985E-3</v>
      </c>
      <c r="D47" s="25">
        <f>+[6]ciiu_desagregado!C35</f>
        <v>7.3902099999999995E-3</v>
      </c>
      <c r="E47" s="22">
        <f t="shared" si="0"/>
        <v>-3.1524996822076767</v>
      </c>
      <c r="F47" s="22">
        <f t="shared" si="1"/>
        <v>3.2077089735929873E-5</v>
      </c>
      <c r="G47" s="22">
        <f>+[6]ciiu_desagregado!D35</f>
        <v>3.5042999999999999E-4</v>
      </c>
      <c r="H47" s="25">
        <f>+[6]ciiu_desagregado!E35</f>
        <v>2.8278999999999999E-4</v>
      </c>
      <c r="I47" s="22">
        <f t="shared" si="3"/>
        <v>-19.302000399509179</v>
      </c>
      <c r="J47" s="22">
        <f t="shared" si="4"/>
        <v>1.0731821064863088E-5</v>
      </c>
      <c r="K47" s="16"/>
    </row>
    <row r="48" spans="1:11">
      <c r="A48" s="14"/>
      <c r="B48" s="9" t="str">
        <f>+[6]ciiu_desagregado!A36</f>
        <v>Otras actividades</v>
      </c>
      <c r="C48" s="22">
        <f>+[6]ciiu_desagregado!B36</f>
        <v>0</v>
      </c>
      <c r="D48" s="25">
        <f>+[6]ciiu_desagregado!C36</f>
        <v>4.2137499999999996E-3</v>
      </c>
      <c r="E48" s="22" t="str">
        <f t="shared" si="0"/>
        <v/>
      </c>
      <c r="F48" s="22">
        <f t="shared" si="1"/>
        <v>1.8289715295610612E-5</v>
      </c>
      <c r="G48" s="22">
        <f>+[6]ciiu_desagregado!D36</f>
        <v>0</v>
      </c>
      <c r="H48" s="25">
        <f>+[6]ciiu_desagregado!E36</f>
        <v>0</v>
      </c>
      <c r="I48" s="22" t="str">
        <f t="shared" si="3"/>
        <v/>
      </c>
      <c r="J48" s="22">
        <f t="shared" si="4"/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23">
        <f>+'Resumen importaciones totales'!C13</f>
        <v>16196.148383640118</v>
      </c>
      <c r="D13" s="23">
        <f>+'Resumen importaciones totales'!D13</f>
        <v>23038.904279779941</v>
      </c>
      <c r="E13" s="25">
        <f>IF(OR(OR(D13=0,C13=0),D13=""),"",(D13/C13-1)*100)</f>
        <v>42.249278865904657</v>
      </c>
      <c r="F13" s="23">
        <f>(D13/D$13)*100</f>
        <v>100</v>
      </c>
      <c r="G13" s="23">
        <f>+'Resumen importaciones totales'!G13</f>
        <v>1755.104618940001</v>
      </c>
      <c r="H13" s="23">
        <f>+'Resumen importaciones totales'!H13</f>
        <v>2635.0607067600013</v>
      </c>
      <c r="I13" s="25">
        <f>IF(OR(OR(H13=0,G13=0),H13=""),"",(H13/G13-1)*100)</f>
        <v>50.136959262944188</v>
      </c>
      <c r="J13" s="23">
        <f>(H13/H$13)*100</f>
        <v>100</v>
      </c>
      <c r="K13" s="16"/>
    </row>
    <row r="14" spans="1:14">
      <c r="A14" s="14"/>
      <c r="B14" s="9" t="str">
        <f>+[6]capitulos!A2</f>
        <v>Equipo rodante de transporte</v>
      </c>
      <c r="C14" s="21">
        <f>+[6]capitulos!B2</f>
        <v>2048.3789459700006</v>
      </c>
      <c r="D14" s="23">
        <f>+[6]capitulos!C2</f>
        <v>3410.5657294599951</v>
      </c>
      <c r="E14" s="22">
        <f t="shared" ref="E14:E46" si="0">IF(OR(OR(D14=0,C14=0),D14=""),"",(D14/C14-1)*100)</f>
        <v>66.500721761955873</v>
      </c>
      <c r="F14" s="22">
        <f t="shared" ref="F14:F46" si="1">(D14/D$13)*100</f>
        <v>14.803506660050985</v>
      </c>
      <c r="G14" s="21">
        <f>+[6]capitulos!D2</f>
        <v>214.49811645999984</v>
      </c>
      <c r="H14" s="23">
        <f>+[6]capitulos!E2</f>
        <v>331.82821710000002</v>
      </c>
      <c r="I14" s="22">
        <f t="shared" ref="I14:I46" si="2">IF(OR(OR(H14=0,G14=0),H14=""),"",(H14/G14-1)*100)</f>
        <v>54.699827940857574</v>
      </c>
      <c r="J14" s="22">
        <f>(H14/H$13)*100</f>
        <v>12.592811097244393</v>
      </c>
      <c r="K14" s="16"/>
    </row>
    <row r="15" spans="1:14">
      <c r="A15" s="14"/>
      <c r="B15" s="9" t="str">
        <f>+[6]capitulos!A3</f>
        <v>Químicos y farmacéuticos</v>
      </c>
      <c r="C15" s="21">
        <f>+[6]capitulos!B3</f>
        <v>1906.0899956599892</v>
      </c>
      <c r="D15" s="23">
        <f>+[6]capitulos!C3</f>
        <v>2238.3834758300409</v>
      </c>
      <c r="E15" s="22">
        <f t="shared" si="0"/>
        <v>17.433252413404233</v>
      </c>
      <c r="F15" s="22">
        <f t="shared" si="1"/>
        <v>9.7156681092449109</v>
      </c>
      <c r="G15" s="21">
        <f>+[6]capitulos!D3</f>
        <v>190.37077471000052</v>
      </c>
      <c r="H15" s="23">
        <f>+[6]capitulos!E3</f>
        <v>222.44389194999968</v>
      </c>
      <c r="I15" s="22">
        <f t="shared" si="2"/>
        <v>16.84771062620165</v>
      </c>
      <c r="J15" s="22">
        <f t="shared" ref="J15:J46" si="3">(H15/H$13)*100</f>
        <v>8.4416989475552011</v>
      </c>
      <c r="K15" s="16"/>
    </row>
    <row r="16" spans="1:14">
      <c r="A16" s="14"/>
      <c r="B16" s="9" t="str">
        <f>+[6]capitulos!A4</f>
        <v>Otro equipo fijo</v>
      </c>
      <c r="C16" s="21">
        <f>+[6]capitulos!B4</f>
        <v>1414.851509910038</v>
      </c>
      <c r="D16" s="23">
        <f>+[6]capitulos!C4</f>
        <v>1808.938672430002</v>
      </c>
      <c r="E16" s="22">
        <f t="shared" si="0"/>
        <v>27.853605820798943</v>
      </c>
      <c r="F16" s="22">
        <f t="shared" si="1"/>
        <v>7.8516697255329726</v>
      </c>
      <c r="G16" s="21">
        <f>+[6]capitulos!D4</f>
        <v>158.89736582000023</v>
      </c>
      <c r="H16" s="23">
        <f>+[6]capitulos!E4</f>
        <v>222.60398637000017</v>
      </c>
      <c r="I16" s="22">
        <f t="shared" si="2"/>
        <v>40.092936859738202</v>
      </c>
      <c r="J16" s="22">
        <f t="shared" si="3"/>
        <v>8.4477744971465185</v>
      </c>
      <c r="K16" s="16"/>
    </row>
    <row r="17" spans="1:11">
      <c r="A17" s="14"/>
      <c r="B17" s="9" t="str">
        <f>+[6]capitulos!A5</f>
        <v>Maquinaria industrial</v>
      </c>
      <c r="C17" s="21">
        <f>+[6]capitulos!B5</f>
        <v>1162.2726417300055</v>
      </c>
      <c r="D17" s="23">
        <f>+[6]capitulos!C5</f>
        <v>1792.1168359400078</v>
      </c>
      <c r="E17" s="22">
        <f t="shared" si="0"/>
        <v>54.190744202022991</v>
      </c>
      <c r="F17" s="22">
        <f t="shared" si="1"/>
        <v>7.7786548100417106</v>
      </c>
      <c r="G17" s="21">
        <f>+[6]capitulos!D5</f>
        <v>147.34749587999906</v>
      </c>
      <c r="H17" s="23">
        <f>+[6]capitulos!E5</f>
        <v>208.20928704999969</v>
      </c>
      <c r="I17" s="22">
        <f t="shared" si="2"/>
        <v>41.304937560368813</v>
      </c>
      <c r="J17" s="22">
        <f t="shared" si="3"/>
        <v>7.9014986833456353</v>
      </c>
      <c r="K17" s="16"/>
    </row>
    <row r="18" spans="1:11">
      <c r="A18" s="14"/>
      <c r="B18" s="9" t="str">
        <f>+[6]capitulos!A6</f>
        <v>Aparatos de oficina</v>
      </c>
      <c r="C18" s="21">
        <f>+[6]capitulos!B6</f>
        <v>1520.3150679900039</v>
      </c>
      <c r="D18" s="23">
        <f>+[6]capitulos!C6</f>
        <v>1690.7586373300371</v>
      </c>
      <c r="E18" s="22">
        <f t="shared" si="0"/>
        <v>11.211068871755337</v>
      </c>
      <c r="F18" s="22">
        <f t="shared" si="1"/>
        <v>7.3387111504861311</v>
      </c>
      <c r="G18" s="21">
        <f>+[6]capitulos!D6</f>
        <v>146.60859668000049</v>
      </c>
      <c r="H18" s="23">
        <f>+[6]capitulos!E6</f>
        <v>166.88901777000055</v>
      </c>
      <c r="I18" s="22">
        <f t="shared" si="2"/>
        <v>13.833036772233553</v>
      </c>
      <c r="J18" s="22">
        <f t="shared" si="3"/>
        <v>6.3334031486205395</v>
      </c>
      <c r="K18" s="16"/>
    </row>
    <row r="19" spans="1:11">
      <c r="A19" s="14"/>
      <c r="B19" s="9" t="str">
        <f>+[6]capitulos!A7</f>
        <v>Vehículos particulares</v>
      </c>
      <c r="C19" s="21">
        <f>+[6]capitulos!B7</f>
        <v>874.81991956000331</v>
      </c>
      <c r="D19" s="23">
        <f>+[6]capitulos!C7</f>
        <v>1472.2536822200034</v>
      </c>
      <c r="E19" s="22">
        <f t="shared" si="0"/>
        <v>68.292199263190483</v>
      </c>
      <c r="F19" s="22">
        <f t="shared" si="1"/>
        <v>6.3902938453202589</v>
      </c>
      <c r="G19" s="21">
        <f>+[6]capitulos!D7</f>
        <v>113.05923555000025</v>
      </c>
      <c r="H19" s="23">
        <f>+[6]capitulos!E7</f>
        <v>177.43228245000026</v>
      </c>
      <c r="I19" s="22">
        <f t="shared" si="2"/>
        <v>56.937451051074127</v>
      </c>
      <c r="J19" s="22">
        <f t="shared" si="3"/>
        <v>6.7335178273052447</v>
      </c>
      <c r="K19" s="16"/>
    </row>
    <row r="20" spans="1:11">
      <c r="A20" s="14"/>
      <c r="B20" s="9" t="str">
        <f>+[6]capitulos!A8</f>
        <v>Productos mineros</v>
      </c>
      <c r="C20" s="21">
        <f>+[6]capitulos!B8</f>
        <v>1098.520157459986</v>
      </c>
      <c r="D20" s="23">
        <f>+[6]capitulos!C8</f>
        <v>1411.0654968399965</v>
      </c>
      <c r="E20" s="22">
        <f t="shared" si="0"/>
        <v>28.45148878311732</v>
      </c>
      <c r="F20" s="22">
        <f t="shared" si="1"/>
        <v>6.1247074934827346</v>
      </c>
      <c r="G20" s="21">
        <f>+[6]capitulos!D8</f>
        <v>113.77999226000044</v>
      </c>
      <c r="H20" s="23">
        <f>+[6]capitulos!E8</f>
        <v>131.76024679999966</v>
      </c>
      <c r="I20" s="22">
        <f t="shared" si="2"/>
        <v>15.802650521290484</v>
      </c>
      <c r="J20" s="22">
        <f t="shared" si="3"/>
        <v>5.0002736734672224</v>
      </c>
      <c r="K20" s="16"/>
    </row>
    <row r="21" spans="1:11">
      <c r="A21" s="14"/>
      <c r="B21" s="9" t="str">
        <f>+[6]capitulos!A9</f>
        <v>Partes equipo de transporte</v>
      </c>
      <c r="C21" s="21">
        <f>+[6]capitulos!B9</f>
        <v>767.00775639000415</v>
      </c>
      <c r="D21" s="23">
        <f>+[6]capitulos!C9</f>
        <v>1135.3773226399981</v>
      </c>
      <c r="E21" s="22">
        <f t="shared" si="0"/>
        <v>48.026837170951268</v>
      </c>
      <c r="F21" s="22">
        <f t="shared" si="1"/>
        <v>4.928087329380765</v>
      </c>
      <c r="G21" s="21">
        <f>+[6]capitulos!D9</f>
        <v>73.792197580000192</v>
      </c>
      <c r="H21" s="23">
        <f>+[6]capitulos!E9</f>
        <v>92.916674259999638</v>
      </c>
      <c r="I21" s="22">
        <f t="shared" si="2"/>
        <v>25.916665050212195</v>
      </c>
      <c r="J21" s="22">
        <f t="shared" si="3"/>
        <v>3.5261682594875561</v>
      </c>
      <c r="K21" s="16"/>
    </row>
    <row r="22" spans="1:11">
      <c r="A22" s="14"/>
      <c r="B22" s="9" t="str">
        <f>+[6]capitulos!A10</f>
        <v>Farmacéuticos</v>
      </c>
      <c r="C22" s="21">
        <f>+[6]capitulos!B10</f>
        <v>900.87544797999283</v>
      </c>
      <c r="D22" s="23">
        <f>+[6]capitulos!C10</f>
        <v>1062.0060785400071</v>
      </c>
      <c r="E22" s="22">
        <f t="shared" si="0"/>
        <v>17.886005320859045</v>
      </c>
      <c r="F22" s="22">
        <f t="shared" si="1"/>
        <v>4.609620603667663</v>
      </c>
      <c r="G22" s="21">
        <f>+[6]capitulos!D10</f>
        <v>93.575182740000059</v>
      </c>
      <c r="H22" s="23">
        <f>+[6]capitulos!E10</f>
        <v>95.917225730000055</v>
      </c>
      <c r="I22" s="22">
        <f t="shared" si="2"/>
        <v>2.5028462904607807</v>
      </c>
      <c r="J22" s="22">
        <f t="shared" si="3"/>
        <v>3.6400385571358336</v>
      </c>
      <c r="K22" s="16"/>
    </row>
    <row r="23" spans="1:11">
      <c r="A23" s="14"/>
      <c r="B23" s="9" t="str">
        <f>+[6]capitulos!A11</f>
        <v>Combustibles</v>
      </c>
      <c r="C23" s="21">
        <f>+[6]capitulos!B11</f>
        <v>36.803829840000006</v>
      </c>
      <c r="D23" s="23">
        <f>+[6]capitulos!C11</f>
        <v>916.2782442000007</v>
      </c>
      <c r="E23" s="22">
        <f t="shared" si="0"/>
        <v>2389.6274332954054</v>
      </c>
      <c r="F23" s="22">
        <f t="shared" si="1"/>
        <v>3.9770912412886354</v>
      </c>
      <c r="G23" s="21">
        <f>+[6]capitulos!D11</f>
        <v>1.07356856</v>
      </c>
      <c r="H23" s="23">
        <f>+[6]capitulos!E11</f>
        <v>221.12120487999996</v>
      </c>
      <c r="I23" s="22">
        <f t="shared" si="2"/>
        <v>20496.840585570051</v>
      </c>
      <c r="J23" s="22">
        <f t="shared" si="3"/>
        <v>8.3915032512432912</v>
      </c>
      <c r="K23" s="16"/>
    </row>
    <row r="24" spans="1:11">
      <c r="A24" s="14"/>
      <c r="B24" s="9" t="str">
        <f>+[6]capitulos!A12</f>
        <v>Agropecuarios no alimenticios</v>
      </c>
      <c r="C24" s="21">
        <f>+[6]capitulos!B12</f>
        <v>676.29508567999608</v>
      </c>
      <c r="D24" s="23">
        <f>+[6]capitulos!C12</f>
        <v>795.35594053998864</v>
      </c>
      <c r="E24" s="22">
        <f t="shared" si="0"/>
        <v>17.604867665167223</v>
      </c>
      <c r="F24" s="22">
        <f t="shared" si="1"/>
        <v>3.4522298928861455</v>
      </c>
      <c r="G24" s="21">
        <f>+[6]capitulos!D12</f>
        <v>62.965283330000098</v>
      </c>
      <c r="H24" s="23">
        <f>+[6]capitulos!E12</f>
        <v>69.364892349999835</v>
      </c>
      <c r="I24" s="22">
        <f t="shared" si="2"/>
        <v>10.16371035203556</v>
      </c>
      <c r="J24" s="22">
        <f t="shared" si="3"/>
        <v>2.6323830859778941</v>
      </c>
      <c r="K24" s="16"/>
    </row>
    <row r="25" spans="1:11">
      <c r="A25" s="14"/>
      <c r="B25" s="9" t="str">
        <f>+[6]capitulos!A13</f>
        <v>Materiales de construcción</v>
      </c>
      <c r="C25" s="21">
        <f>+[6]capitulos!B13</f>
        <v>416.26575212999745</v>
      </c>
      <c r="D25" s="23">
        <f>+[6]capitulos!C13</f>
        <v>622.18060137000077</v>
      </c>
      <c r="E25" s="22">
        <f t="shared" si="0"/>
        <v>49.467160866911122</v>
      </c>
      <c r="F25" s="22">
        <f t="shared" si="1"/>
        <v>2.7005650694770957</v>
      </c>
      <c r="G25" s="21">
        <f>+[6]capitulos!D13</f>
        <v>38.118922170000019</v>
      </c>
      <c r="H25" s="23">
        <f>+[6]capitulos!E13</f>
        <v>64.574049420000151</v>
      </c>
      <c r="I25" s="22">
        <f t="shared" si="2"/>
        <v>69.401561597196974</v>
      </c>
      <c r="J25" s="22">
        <f t="shared" si="3"/>
        <v>2.4505716036955612</v>
      </c>
      <c r="K25" s="16"/>
    </row>
    <row r="26" spans="1:11">
      <c r="A26" s="14"/>
      <c r="B26" s="9" t="str">
        <f>+[6]capitulos!A14</f>
        <v>Lubricantes</v>
      </c>
      <c r="C26" s="21">
        <f>+[6]capitulos!B14</f>
        <v>86.506934269999832</v>
      </c>
      <c r="D26" s="23">
        <f>+[6]capitulos!C14</f>
        <v>604.46065435000344</v>
      </c>
      <c r="E26" s="22">
        <f t="shared" si="0"/>
        <v>598.74242966858594</v>
      </c>
      <c r="F26" s="22">
        <f t="shared" si="1"/>
        <v>2.6236519194209573</v>
      </c>
      <c r="G26" s="21">
        <f>+[6]capitulos!D14</f>
        <v>4.2514993900000055</v>
      </c>
      <c r="H26" s="23">
        <f>+[6]capitulos!E14</f>
        <v>144.33678897999974</v>
      </c>
      <c r="I26" s="22">
        <f t="shared" si="2"/>
        <v>3294.9620060982661</v>
      </c>
      <c r="J26" s="22">
        <f t="shared" si="3"/>
        <v>5.4775508059346496</v>
      </c>
      <c r="K26" s="16"/>
    </row>
    <row r="27" spans="1:11">
      <c r="A27" s="14"/>
      <c r="B27" s="9" t="str">
        <f>+[6]capitulos!A15</f>
        <v>Otros consumo no duradero</v>
      </c>
      <c r="C27" s="21">
        <f>+[6]capitulos!B15</f>
        <v>430.20392628999599</v>
      </c>
      <c r="D27" s="23">
        <f>+[6]capitulos!C15</f>
        <v>560.78211369999542</v>
      </c>
      <c r="E27" s="22">
        <f t="shared" si="0"/>
        <v>30.352625680588986</v>
      </c>
      <c r="F27" s="22">
        <f t="shared" si="1"/>
        <v>2.4340659038727157</v>
      </c>
      <c r="G27" s="21">
        <f>+[6]capitulos!D15</f>
        <v>59.572297539999894</v>
      </c>
      <c r="H27" s="23">
        <f>+[6]capitulos!E15</f>
        <v>80.465552869999769</v>
      </c>
      <c r="I27" s="22">
        <f t="shared" si="2"/>
        <v>35.072099268911153</v>
      </c>
      <c r="J27" s="22">
        <f t="shared" si="3"/>
        <v>3.0536508196404331</v>
      </c>
      <c r="K27" s="16"/>
    </row>
    <row r="28" spans="1:11">
      <c r="A28" s="14"/>
      <c r="B28" s="9" t="str">
        <f>+[6]capitulos!A16</f>
        <v>Aparatos domésticos</v>
      </c>
      <c r="C28" s="21">
        <f>+[6]capitulos!B16</f>
        <v>485.20249191999864</v>
      </c>
      <c r="D28" s="23">
        <f>+[6]capitulos!C16</f>
        <v>556.95210033000114</v>
      </c>
      <c r="E28" s="22">
        <f t="shared" si="0"/>
        <v>14.787559751822709</v>
      </c>
      <c r="F28" s="22">
        <f t="shared" si="1"/>
        <v>2.4174417913564112</v>
      </c>
      <c r="G28" s="21">
        <f>+[6]capitulos!D16</f>
        <v>58.136831750000049</v>
      </c>
      <c r="H28" s="23">
        <f>+[6]capitulos!E16</f>
        <v>77.947727149999949</v>
      </c>
      <c r="I28" s="22">
        <f t="shared" si="2"/>
        <v>34.076324429220172</v>
      </c>
      <c r="J28" s="22">
        <f t="shared" si="3"/>
        <v>2.9580998627482229</v>
      </c>
      <c r="K28" s="16"/>
    </row>
    <row r="29" spans="1:11">
      <c r="A29" s="14"/>
      <c r="B29" s="9" t="str">
        <f>+[6]capitulos!A17</f>
        <v>Productos alimenticios</v>
      </c>
      <c r="C29" s="21">
        <f>+[6]capitulos!B17</f>
        <v>424.76266584999996</v>
      </c>
      <c r="D29" s="23">
        <f>+[6]capitulos!C17</f>
        <v>495.38207535999931</v>
      </c>
      <c r="E29" s="22">
        <f t="shared" si="0"/>
        <v>16.625615946891557</v>
      </c>
      <c r="F29" s="22">
        <f t="shared" si="1"/>
        <v>2.1501980708117729</v>
      </c>
      <c r="G29" s="21">
        <f>+[6]capitulos!D17</f>
        <v>37.990572319999998</v>
      </c>
      <c r="H29" s="23">
        <f>+[6]capitulos!E17</f>
        <v>53.410964370000009</v>
      </c>
      <c r="I29" s="22">
        <f t="shared" si="2"/>
        <v>40.590049342010047</v>
      </c>
      <c r="J29" s="22">
        <f t="shared" si="3"/>
        <v>2.0269348722395346</v>
      </c>
      <c r="K29" s="16"/>
    </row>
    <row r="30" spans="1:11">
      <c r="A30" s="14"/>
      <c r="B30" s="9" t="str">
        <f>+[6]capitulos!A18</f>
        <v>Alimentos</v>
      </c>
      <c r="C30" s="21">
        <f>+[6]capitulos!B18</f>
        <v>323.14951866000149</v>
      </c>
      <c r="D30" s="23">
        <f>+[6]capitulos!C18</f>
        <v>425.86691864999909</v>
      </c>
      <c r="E30" s="22">
        <f t="shared" si="0"/>
        <v>31.786338539489112</v>
      </c>
      <c r="F30" s="22">
        <f t="shared" si="1"/>
        <v>1.8484686314867871</v>
      </c>
      <c r="G30" s="21">
        <f>+[6]capitulos!D18</f>
        <v>35.604890430000083</v>
      </c>
      <c r="H30" s="23">
        <f>+[6]capitulos!E18</f>
        <v>47.179309409999924</v>
      </c>
      <c r="I30" s="22">
        <f t="shared" si="2"/>
        <v>32.507947195499383</v>
      </c>
      <c r="J30" s="22">
        <f t="shared" si="3"/>
        <v>1.790444876240074</v>
      </c>
      <c r="K30" s="16"/>
    </row>
    <row r="31" spans="1:11">
      <c r="A31" s="14"/>
      <c r="B31" s="9" t="str">
        <f>+[6]capitulos!A19</f>
        <v>Objetos de adorno</v>
      </c>
      <c r="C31" s="21">
        <f>+[6]capitulos!B19</f>
        <v>331.73836977999963</v>
      </c>
      <c r="D31" s="23">
        <f>+[6]capitulos!C19</f>
        <v>417.52271837999632</v>
      </c>
      <c r="E31" s="22">
        <f t="shared" si="0"/>
        <v>25.859037245793015</v>
      </c>
      <c r="F31" s="22">
        <f t="shared" si="1"/>
        <v>1.8122507620574408</v>
      </c>
      <c r="G31" s="21">
        <f>+[6]capitulos!D19</f>
        <v>49.801167460000009</v>
      </c>
      <c r="H31" s="23">
        <f>+[6]capitulos!E19</f>
        <v>51.914285990000138</v>
      </c>
      <c r="I31" s="22">
        <f t="shared" si="2"/>
        <v>4.2431104284801568</v>
      </c>
      <c r="J31" s="22">
        <f t="shared" si="3"/>
        <v>1.970136242281588</v>
      </c>
      <c r="K31" s="16"/>
    </row>
    <row r="32" spans="1:11">
      <c r="A32" s="14"/>
      <c r="B32" s="9" t="str">
        <f>+[6]capitulos!A20</f>
        <v>Partes maquinaria industrial</v>
      </c>
      <c r="C32" s="21">
        <f>+[6]capitulos!B20</f>
        <v>278.36477593999905</v>
      </c>
      <c r="D32" s="23">
        <f>+[6]capitulos!C20</f>
        <v>324.80853542999841</v>
      </c>
      <c r="E32" s="22">
        <f t="shared" si="0"/>
        <v>16.684495850153901</v>
      </c>
      <c r="F32" s="22">
        <f t="shared" si="1"/>
        <v>1.409826315894138</v>
      </c>
      <c r="G32" s="21">
        <f>+[6]capitulos!D20</f>
        <v>30.919357620000024</v>
      </c>
      <c r="H32" s="23">
        <f>+[6]capitulos!E20</f>
        <v>30.777432189999963</v>
      </c>
      <c r="I32" s="22">
        <f t="shared" si="2"/>
        <v>-0.45901804217386433</v>
      </c>
      <c r="J32" s="22">
        <f t="shared" si="3"/>
        <v>1.1679970829910424</v>
      </c>
      <c r="K32" s="16"/>
    </row>
    <row r="33" spans="1:11">
      <c r="A33" s="14"/>
      <c r="B33" s="9" t="str">
        <f>+[6]capitulos!A21</f>
        <v>Vestuario</v>
      </c>
      <c r="C33" s="21">
        <f>+[6]capitulos!B21</f>
        <v>193.45793868000138</v>
      </c>
      <c r="D33" s="23">
        <f>+[6]capitulos!C21</f>
        <v>305.48205180999435</v>
      </c>
      <c r="E33" s="22">
        <f t="shared" si="0"/>
        <v>57.906185651699694</v>
      </c>
      <c r="F33" s="22">
        <f t="shared" si="1"/>
        <v>1.3259400191097639</v>
      </c>
      <c r="G33" s="21">
        <f>+[6]capitulos!D21</f>
        <v>26.554834809999974</v>
      </c>
      <c r="H33" s="23">
        <f>+[6]capitulos!E21</f>
        <v>36.342856759999869</v>
      </c>
      <c r="I33" s="22">
        <f t="shared" si="2"/>
        <v>36.859660472502512</v>
      </c>
      <c r="J33" s="22">
        <f t="shared" si="3"/>
        <v>1.3792037757143765</v>
      </c>
      <c r="K33" s="16"/>
    </row>
    <row r="34" spans="1:11">
      <c r="A34" s="14"/>
      <c r="B34" s="9" t="str">
        <f>+[6]capitulos!A22</f>
        <v>Materias primas agricultura</v>
      </c>
      <c r="C34" s="21">
        <f>+[6]capitulos!B22</f>
        <v>142.14915319000011</v>
      </c>
      <c r="D34" s="23">
        <f>+[6]capitulos!C22</f>
        <v>218.44033452999963</v>
      </c>
      <c r="E34" s="22">
        <f t="shared" si="0"/>
        <v>53.669810637582074</v>
      </c>
      <c r="F34" s="22">
        <f t="shared" si="1"/>
        <v>0.94813682055927218</v>
      </c>
      <c r="G34" s="21">
        <f>+[6]capitulos!D22</f>
        <v>9.3436964700000065</v>
      </c>
      <c r="H34" s="23">
        <f>+[6]capitulos!E22</f>
        <v>29.182131219999984</v>
      </c>
      <c r="I34" s="22">
        <f t="shared" si="2"/>
        <v>212.31891268830955</v>
      </c>
      <c r="J34" s="22">
        <f t="shared" si="3"/>
        <v>1.1074557464705068</v>
      </c>
      <c r="K34" s="16"/>
    </row>
    <row r="35" spans="1:11">
      <c r="A35" s="14"/>
      <c r="B35" s="9" t="str">
        <f>+[6]capitulos!A23</f>
        <v>Muebles</v>
      </c>
      <c r="C35" s="21">
        <f>+[6]capitulos!B23</f>
        <v>164.82934012000052</v>
      </c>
      <c r="D35" s="23">
        <f>+[6]capitulos!C23</f>
        <v>208.45363346999966</v>
      </c>
      <c r="E35" s="22">
        <f t="shared" si="0"/>
        <v>26.466339862939069</v>
      </c>
      <c r="F35" s="22">
        <f t="shared" si="1"/>
        <v>0.90478970240328949</v>
      </c>
      <c r="G35" s="21">
        <f>+[6]capitulos!D23</f>
        <v>17.882898409999978</v>
      </c>
      <c r="H35" s="23">
        <f>+[6]capitulos!E23</f>
        <v>22.250630910000005</v>
      </c>
      <c r="I35" s="22">
        <f t="shared" si="2"/>
        <v>24.424074889099767</v>
      </c>
      <c r="J35" s="22">
        <f t="shared" si="3"/>
        <v>0.84440676652792457</v>
      </c>
      <c r="K35" s="16"/>
    </row>
    <row r="36" spans="1:11">
      <c r="A36" s="14"/>
      <c r="B36" s="9" t="str">
        <f>+[6]capitulos!A24</f>
        <v>Herramientas</v>
      </c>
      <c r="C36" s="21">
        <f>+[6]capitulos!B24</f>
        <v>97.206756580000189</v>
      </c>
      <c r="D36" s="23">
        <f>+[6]capitulos!C24</f>
        <v>123.03222621999952</v>
      </c>
      <c r="E36" s="22">
        <f t="shared" si="0"/>
        <v>26.567566441480039</v>
      </c>
      <c r="F36" s="22">
        <f t="shared" si="1"/>
        <v>0.53401943393626827</v>
      </c>
      <c r="G36" s="21">
        <f>+[6]capitulos!D24</f>
        <v>8.9588923999999981</v>
      </c>
      <c r="H36" s="23">
        <f>+[6]capitulos!E24</f>
        <v>12.03037917000001</v>
      </c>
      <c r="I36" s="22">
        <f t="shared" si="2"/>
        <v>34.28422435344811</v>
      </c>
      <c r="J36" s="22">
        <f t="shared" si="3"/>
        <v>0.45655036102725072</v>
      </c>
      <c r="K36" s="16"/>
    </row>
    <row r="37" spans="1:11">
      <c r="A37" s="14"/>
      <c r="B37" s="9" t="str">
        <f>+[6]capitulos!A25</f>
        <v>Utensilios domésticos</v>
      </c>
      <c r="C37" s="21">
        <f>+[6]capitulos!B25</f>
        <v>66.153522469999942</v>
      </c>
      <c r="D37" s="23">
        <f>+[6]capitulos!C25</f>
        <v>92.318344310000469</v>
      </c>
      <c r="E37" s="22">
        <f t="shared" si="0"/>
        <v>39.551668396593762</v>
      </c>
      <c r="F37" s="22">
        <f t="shared" si="1"/>
        <v>0.40070631480084545</v>
      </c>
      <c r="G37" s="21">
        <f>+[6]capitulos!D25</f>
        <v>7.1743009300000011</v>
      </c>
      <c r="H37" s="23">
        <f>+[6]capitulos!E25</f>
        <v>10.237882639999993</v>
      </c>
      <c r="I37" s="22">
        <f t="shared" si="2"/>
        <v>42.702163456642062</v>
      </c>
      <c r="J37" s="22">
        <f t="shared" si="3"/>
        <v>0.38852549445011514</v>
      </c>
      <c r="K37" s="16"/>
    </row>
    <row r="38" spans="1:11">
      <c r="A38" s="14"/>
      <c r="B38" s="9" t="str">
        <f>+[6]capitulos!A26</f>
        <v>Alimentos para animales</v>
      </c>
      <c r="C38" s="21">
        <f>+[6]capitulos!B26</f>
        <v>70.166328059999998</v>
      </c>
      <c r="D38" s="23">
        <f>+[6]capitulos!C26</f>
        <v>78.875288610000069</v>
      </c>
      <c r="E38" s="22">
        <f t="shared" si="0"/>
        <v>12.41188015789132</v>
      </c>
      <c r="F38" s="22">
        <f t="shared" si="1"/>
        <v>0.34235694394209903</v>
      </c>
      <c r="G38" s="21">
        <f>+[6]capitulos!D26</f>
        <v>4.8654347899999992</v>
      </c>
      <c r="H38" s="23">
        <f>+[6]capitulos!E26</f>
        <v>6.9251055899999985</v>
      </c>
      <c r="I38" s="22">
        <f t="shared" si="2"/>
        <v>42.332718223523848</v>
      </c>
      <c r="J38" s="22">
        <f t="shared" si="3"/>
        <v>0.26280630166258745</v>
      </c>
      <c r="K38" s="16"/>
    </row>
    <row r="39" spans="1:11">
      <c r="A39" s="14"/>
      <c r="B39" s="9" t="str">
        <f>+[6]capitulos!A27</f>
        <v>Bebidas</v>
      </c>
      <c r="C39" s="21">
        <f>+[6]capitulos!B27</f>
        <v>43.182265239999971</v>
      </c>
      <c r="D39" s="23">
        <f>+[6]capitulos!C27</f>
        <v>66.974252890000017</v>
      </c>
      <c r="E39" s="22">
        <f t="shared" si="0"/>
        <v>55.096664146190719</v>
      </c>
      <c r="F39" s="22">
        <f t="shared" si="1"/>
        <v>0.29070068644184555</v>
      </c>
      <c r="G39" s="21">
        <f>+[6]capitulos!D27</f>
        <v>4.2949158099999982</v>
      </c>
      <c r="H39" s="23">
        <f>+[6]capitulos!E27</f>
        <v>6.7688017300000007</v>
      </c>
      <c r="I39" s="22">
        <f t="shared" si="2"/>
        <v>57.600335593074249</v>
      </c>
      <c r="J39" s="22">
        <f t="shared" si="3"/>
        <v>0.25687460302661241</v>
      </c>
      <c r="K39" s="16"/>
    </row>
    <row r="40" spans="1:11">
      <c r="A40" s="14"/>
      <c r="B40" s="9" t="str">
        <f>+[6]capitulos!A28</f>
        <v>Armas y equipo militar</v>
      </c>
      <c r="C40" s="21">
        <f>+[6]capitulos!B28</f>
        <v>131.98226508000002</v>
      </c>
      <c r="D40" s="23">
        <f>+[6]capitulos!C28</f>
        <v>63.260631830000008</v>
      </c>
      <c r="E40" s="22">
        <f t="shared" si="0"/>
        <v>-52.068839103757568</v>
      </c>
      <c r="F40" s="22">
        <f t="shared" si="1"/>
        <v>0.27458177290801372</v>
      </c>
      <c r="G40" s="21">
        <f>+[6]capitulos!D28</f>
        <v>34.055354389999998</v>
      </c>
      <c r="H40" s="23">
        <f>+[6]capitulos!E28</f>
        <v>6.0034843500000008</v>
      </c>
      <c r="I40" s="22">
        <f t="shared" si="2"/>
        <v>-82.371393698481484</v>
      </c>
      <c r="J40" s="22">
        <f t="shared" si="3"/>
        <v>0.22783096930551255</v>
      </c>
      <c r="K40" s="16"/>
    </row>
    <row r="41" spans="1:11">
      <c r="A41" s="14"/>
      <c r="B41" s="9" t="str">
        <f>+[6]capitulos!A29</f>
        <v>Material de transporte</v>
      </c>
      <c r="C41" s="21">
        <f>+[6]capitulos!B29</f>
        <v>21.568770369999992</v>
      </c>
      <c r="D41" s="23">
        <f>+[6]capitulos!C29</f>
        <v>39.496595789999986</v>
      </c>
      <c r="E41" s="22">
        <f t="shared" si="0"/>
        <v>83.119367087035286</v>
      </c>
      <c r="F41" s="22">
        <f t="shared" si="1"/>
        <v>0.17143434996022841</v>
      </c>
      <c r="G41" s="21">
        <f>+[6]capitulos!D29</f>
        <v>3.2728593999999993</v>
      </c>
      <c r="H41" s="23">
        <f>+[6]capitulos!E29</f>
        <v>4.9321264499999993</v>
      </c>
      <c r="I41" s="22">
        <f t="shared" si="2"/>
        <v>50.697779745747717</v>
      </c>
      <c r="J41" s="22">
        <f t="shared" si="3"/>
        <v>0.18717316217220695</v>
      </c>
      <c r="K41" s="16"/>
    </row>
    <row r="42" spans="1:11">
      <c r="A42" s="14"/>
      <c r="B42" s="9" t="str">
        <f>+[6]capitulos!A30</f>
        <v>Bienes no clasificados</v>
      </c>
      <c r="C42" s="21">
        <f>+[6]capitulos!B30</f>
        <v>28.25690337999993</v>
      </c>
      <c r="D42" s="23">
        <f>+[6]capitulos!C30</f>
        <v>30.373365450000094</v>
      </c>
      <c r="E42" s="22">
        <f t="shared" si="0"/>
        <v>7.4900708033640573</v>
      </c>
      <c r="F42" s="22">
        <f t="shared" si="1"/>
        <v>0.13183511282113025</v>
      </c>
      <c r="G42" s="21">
        <f>+[6]capitulos!D30</f>
        <v>1.6279268099999999</v>
      </c>
      <c r="H42" s="23">
        <f>+[6]capitulos!E30</f>
        <v>1.5933382100000009</v>
      </c>
      <c r="I42" s="22">
        <f t="shared" si="2"/>
        <v>-2.1247023998578363</v>
      </c>
      <c r="J42" s="22">
        <f t="shared" si="3"/>
        <v>6.046685019105788E-2</v>
      </c>
      <c r="K42" s="16"/>
    </row>
    <row r="43" spans="1:11">
      <c r="A43" s="14"/>
      <c r="B43" s="9" t="str">
        <f>+[6]capitulos!A31</f>
        <v>Máquinas y herramientas</v>
      </c>
      <c r="C43" s="21">
        <f>+[6]capitulos!B31</f>
        <v>17.623688960000024</v>
      </c>
      <c r="D43" s="23">
        <f>+[6]capitulos!C31</f>
        <v>26.026652840000022</v>
      </c>
      <c r="E43" s="22">
        <f t="shared" si="0"/>
        <v>47.679937492496393</v>
      </c>
      <c r="F43" s="22">
        <f t="shared" si="1"/>
        <v>0.11296827541769107</v>
      </c>
      <c r="G43" s="21">
        <f>+[6]capitulos!D31</f>
        <v>3.3483258000000005</v>
      </c>
      <c r="H43" s="23">
        <f>+[6]capitulos!E31</f>
        <v>3.0718970499999991</v>
      </c>
      <c r="I43" s="22">
        <f t="shared" si="2"/>
        <v>-8.2557303712799239</v>
      </c>
      <c r="J43" s="22">
        <f t="shared" si="3"/>
        <v>0.11657784741426773</v>
      </c>
      <c r="K43" s="16"/>
    </row>
    <row r="44" spans="1:11">
      <c r="A44" s="14"/>
      <c r="B44" s="9" t="str">
        <f>+[6]capitulos!A32</f>
        <v>Equipo fijo de transporte</v>
      </c>
      <c r="C44" s="21">
        <f>+[6]capitulos!B32</f>
        <v>17.963977859999957</v>
      </c>
      <c r="D44" s="23">
        <f>+[6]capitulos!C32</f>
        <v>24.134792900000051</v>
      </c>
      <c r="E44" s="22">
        <f t="shared" si="0"/>
        <v>34.351050129829687</v>
      </c>
      <c r="F44" s="22">
        <f t="shared" si="1"/>
        <v>0.10475668724046877</v>
      </c>
      <c r="G44" s="21">
        <f>+[6]capitulos!D32</f>
        <v>2.0393884800000017</v>
      </c>
      <c r="H44" s="23">
        <f>+[6]capitulos!E32</f>
        <v>1.8024027800000002</v>
      </c>
      <c r="I44" s="22">
        <f t="shared" si="2"/>
        <v>-11.620429473054649</v>
      </c>
      <c r="J44" s="22">
        <f t="shared" si="3"/>
        <v>6.8400806682597667E-2</v>
      </c>
      <c r="K44" s="16"/>
    </row>
    <row r="45" spans="1:11">
      <c r="A45" s="14"/>
      <c r="B45" s="9" t="str">
        <f>+[6]capitulos!A33</f>
        <v>Tabaco</v>
      </c>
      <c r="C45" s="21">
        <f>+[6]capitulos!B33</f>
        <v>17.395187650000008</v>
      </c>
      <c r="D45" s="23">
        <f>+[6]capitulos!C33</f>
        <v>18.117031989999994</v>
      </c>
      <c r="E45" s="22">
        <f t="shared" si="0"/>
        <v>4.1496783738345311</v>
      </c>
      <c r="F45" s="22">
        <f t="shared" si="1"/>
        <v>7.8636691094291222E-2</v>
      </c>
      <c r="G45" s="21">
        <f>+[6]capitulos!D33</f>
        <v>1.0608164099999999</v>
      </c>
      <c r="H45" s="23">
        <f>+[6]capitulos!E33</f>
        <v>2.5355191199999996</v>
      </c>
      <c r="I45" s="22">
        <f t="shared" si="2"/>
        <v>139.01582744180962</v>
      </c>
      <c r="J45" s="22">
        <f t="shared" si="3"/>
        <v>9.6222417703522467E-2</v>
      </c>
      <c r="K45" s="16"/>
    </row>
    <row r="46" spans="1:11">
      <c r="A46" s="14"/>
      <c r="B46" s="9" t="str">
        <f>+[6]capitulos!A34</f>
        <v>Equipo para la agricultura</v>
      </c>
      <c r="C46" s="21">
        <f>+[6]capitulos!B34</f>
        <v>1.7874929899999998</v>
      </c>
      <c r="D46" s="23">
        <f>+[6]capitulos!C34</f>
        <v>2.8632436000000023</v>
      </c>
      <c r="E46" s="22">
        <f t="shared" si="0"/>
        <v>60.182088322483573</v>
      </c>
      <c r="F46" s="22">
        <f t="shared" si="1"/>
        <v>1.2427863605097417E-2</v>
      </c>
      <c r="G46" s="21">
        <f>+[6]capitulos!D34</f>
        <v>0.26162577999999997</v>
      </c>
      <c r="H46" s="23">
        <f>+[6]capitulos!E34</f>
        <v>0.29111369000000004</v>
      </c>
      <c r="I46" s="22">
        <f t="shared" si="2"/>
        <v>11.271026119826599</v>
      </c>
      <c r="J46" s="22">
        <f t="shared" si="3"/>
        <v>1.1047703350938944E-2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21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54</v>
      </c>
      <c r="C13" s="23">
        <f>+'Resumen importaciones totales'!C13</f>
        <v>16196.148383640118</v>
      </c>
      <c r="D13" s="23">
        <f>+'Resumen importaciones totales'!D13</f>
        <v>23038.904279779941</v>
      </c>
      <c r="E13" s="25">
        <f>IF(OR(OR(D13=0,C13=0),D13=""),"",(D13/C13-1)*100)</f>
        <v>42.249278865904657</v>
      </c>
      <c r="F13" s="23">
        <f>(D13/D$13)*100</f>
        <v>100</v>
      </c>
      <c r="G13" s="23">
        <f>+'Resumen importaciones totales'!G13</f>
        <v>1755.104618940001</v>
      </c>
      <c r="H13" s="23">
        <f>+'Resumen importaciones totales'!H13</f>
        <v>2635.0607067600013</v>
      </c>
      <c r="I13" s="25">
        <f>IF(OR(OR(H13=0,G13=0),H13=""),"",(H13/G13-1)*100)</f>
        <v>50.136959262944188</v>
      </c>
      <c r="J13" s="23">
        <f>(H13/H$13)*100</f>
        <v>100</v>
      </c>
      <c r="K13" s="16"/>
    </row>
    <row r="14" spans="1:14">
      <c r="A14" s="14"/>
      <c r="B14" s="9" t="str">
        <f>+[6]Subpartida!J2</f>
        <v>Aviones &gt; 15 mil Kg</v>
      </c>
      <c r="C14" s="21">
        <f>+[6]Subpartida!C2/1000000</f>
        <v>1414.7085219300004</v>
      </c>
      <c r="D14" s="23">
        <f>+[6]Subpartida!G2/1000000</f>
        <v>2063.0063168400002</v>
      </c>
      <c r="E14" s="22">
        <f t="shared" ref="E14:E34" si="0">IF(OR(OR(D14=0,C14=0),D14=""),"",(D14/C14-1)*100)</f>
        <v>45.825538254732969</v>
      </c>
      <c r="F14" s="22">
        <f t="shared" ref="F14:F34" si="1">(D14/D$13)*100</f>
        <v>8.9544463216967927</v>
      </c>
      <c r="G14" s="21">
        <f>+[6]Subpartida!D2/1000000</f>
        <v>114.21722697</v>
      </c>
      <c r="H14" s="23">
        <f>+[6]Subpartida!H2/1000000</f>
        <v>125.92316342000001</v>
      </c>
      <c r="I14" s="22">
        <f t="shared" ref="I14:I34" si="2">IF(OR(OR(H14=0,G14=0),H14=""),"",(H14/G14-1)*100)</f>
        <v>10.248836152426177</v>
      </c>
      <c r="J14" s="22">
        <f>(H14/H$13)*100</f>
        <v>4.7787575860000464</v>
      </c>
      <c r="K14" s="16"/>
    </row>
    <row r="15" spans="1:14">
      <c r="A15" s="14"/>
      <c r="B15" s="9" t="str">
        <f>+[6]Subpartida!J3</f>
        <v>Gasóleo</v>
      </c>
      <c r="C15" s="21">
        <f>+[6]Subpartida!C3/1000000</f>
        <v>19.38256741</v>
      </c>
      <c r="D15" s="23">
        <f>+[6]Subpartida!G3/1000000</f>
        <v>840.39392892000023</v>
      </c>
      <c r="E15" s="22">
        <f t="shared" si="0"/>
        <v>4235.823583858235</v>
      </c>
      <c r="F15" s="22">
        <f t="shared" si="1"/>
        <v>3.6477165698265028</v>
      </c>
      <c r="G15" s="21">
        <f>+[6]Subpartida!D3/1000000</f>
        <v>0</v>
      </c>
      <c r="H15" s="23">
        <f>+[6]Subpartida!H3/1000000</f>
        <v>201.18314779000002</v>
      </c>
      <c r="I15" s="22" t="str">
        <f t="shared" si="2"/>
        <v/>
      </c>
      <c r="J15" s="22">
        <f t="shared" ref="J15:J34" si="3">(H15/H$13)*100</f>
        <v>7.6348581751412219</v>
      </c>
      <c r="K15" s="16"/>
      <c r="N15" s="107"/>
    </row>
    <row r="16" spans="1:14">
      <c r="A16" s="14"/>
      <c r="B16" s="9" t="str">
        <f>+[6]Subpartida!J4</f>
        <v>Vehículos entre 1500 y 3000 cm3</v>
      </c>
      <c r="C16" s="21">
        <f>+[6]Subpartida!C4/1000000</f>
        <v>457.58959556999866</v>
      </c>
      <c r="D16" s="23">
        <f>+[6]Subpartida!G4/1000000</f>
        <v>785.50938281999356</v>
      </c>
      <c r="E16" s="22">
        <f t="shared" si="0"/>
        <v>71.662422053438533</v>
      </c>
      <c r="F16" s="22">
        <f t="shared" si="1"/>
        <v>3.4094910646831176</v>
      </c>
      <c r="G16" s="21">
        <f>+[6]Subpartida!D4/1000000</f>
        <v>48.245405810000086</v>
      </c>
      <c r="H16" s="23">
        <f>+[6]Subpartida!H4/1000000</f>
        <v>98.683459880000228</v>
      </c>
      <c r="I16" s="22">
        <f t="shared" si="2"/>
        <v>104.54478146299597</v>
      </c>
      <c r="J16" s="22">
        <f t="shared" si="3"/>
        <v>3.7450165617375366</v>
      </c>
      <c r="K16" s="16"/>
    </row>
    <row r="17" spans="1:11">
      <c r="A17" s="14"/>
      <c r="B17" s="9" t="str">
        <f>+[6]Subpartida!J5</f>
        <v>Teléfonos móviles</v>
      </c>
      <c r="C17" s="21">
        <f>+[6]Subpartida!C5/1000000</f>
        <v>583.11069705000034</v>
      </c>
      <c r="D17" s="23">
        <f>+[6]Subpartida!G5/1000000</f>
        <v>718.71098659999632</v>
      </c>
      <c r="E17" s="22">
        <f t="shared" si="0"/>
        <v>23.254639339667026</v>
      </c>
      <c r="F17" s="22">
        <f t="shared" si="1"/>
        <v>3.119553681338795</v>
      </c>
      <c r="G17" s="21">
        <f>+[6]Subpartida!D5/1000000</f>
        <v>64.961155500000018</v>
      </c>
      <c r="H17" s="23">
        <f>+[6]Subpartida!H5/1000000</f>
        <v>92.637718470000095</v>
      </c>
      <c r="I17" s="22">
        <f t="shared" si="2"/>
        <v>42.604788595547795</v>
      </c>
      <c r="J17" s="22">
        <f t="shared" si="3"/>
        <v>3.5155819458863591</v>
      </c>
      <c r="K17" s="16"/>
    </row>
    <row r="18" spans="1:11">
      <c r="A18" s="14"/>
      <c r="B18" s="9" t="str">
        <f>+[6]Subpartida!J6</f>
        <v>Aceites livianos</v>
      </c>
      <c r="C18" s="21">
        <f>+[6]Subpartida!C6/1000000</f>
        <v>43.147989200000005</v>
      </c>
      <c r="D18" s="23">
        <f>+[6]Subpartida!G6/1000000</f>
        <v>503.02652933000013</v>
      </c>
      <c r="E18" s="22">
        <f t="shared" si="0"/>
        <v>1065.8168518545938</v>
      </c>
      <c r="F18" s="22">
        <f t="shared" si="1"/>
        <v>2.1833787024823077</v>
      </c>
      <c r="G18" s="21">
        <f>+[6]Subpartida!D6/1000000</f>
        <v>1.8201459999999999E-2</v>
      </c>
      <c r="H18" s="23">
        <f>+[6]Subpartida!H6/1000000</f>
        <v>121.73380611</v>
      </c>
      <c r="I18" s="22">
        <f t="shared" si="2"/>
        <v>668713.41447334457</v>
      </c>
      <c r="J18" s="22">
        <f t="shared" si="3"/>
        <v>4.619772356579996</v>
      </c>
      <c r="K18" s="16"/>
    </row>
    <row r="19" spans="1:11">
      <c r="A19" s="14"/>
      <c r="B19" s="9" t="str">
        <f>+[6]Subpartida!J7</f>
        <v>Aparatos de telecomunicación</v>
      </c>
      <c r="C19" s="21">
        <f>+[6]Subpartida!C7/1000000</f>
        <v>315.77737497000072</v>
      </c>
      <c r="D19" s="23">
        <f>+[6]Subpartida!G7/1000000</f>
        <v>481.14596979999936</v>
      </c>
      <c r="E19" s="22">
        <f t="shared" si="0"/>
        <v>52.36872807803563</v>
      </c>
      <c r="F19" s="22">
        <f t="shared" si="1"/>
        <v>2.0884064795662889</v>
      </c>
      <c r="G19" s="21">
        <f>+[6]Subpartida!D7/1000000</f>
        <v>32.238378109999978</v>
      </c>
      <c r="H19" s="23">
        <f>+[6]Subpartida!H7/1000000</f>
        <v>69.639738009999888</v>
      </c>
      <c r="I19" s="22">
        <f t="shared" si="2"/>
        <v>116.01501717109781</v>
      </c>
      <c r="J19" s="22">
        <f t="shared" si="3"/>
        <v>2.6428134210094543</v>
      </c>
      <c r="K19" s="16"/>
    </row>
    <row r="20" spans="1:11">
      <c r="A20" s="14"/>
      <c r="B20" s="9" t="str">
        <f>+[6]Subpartida!J8</f>
        <v>Medicamentos uso humano</v>
      </c>
      <c r="C20" s="21">
        <f>+[6]Subpartida!C8/1000000</f>
        <v>403.33334208000326</v>
      </c>
      <c r="D20" s="23">
        <f>+[6]Subpartida!G8/1000000</f>
        <v>466.60978026000004</v>
      </c>
      <c r="E20" s="22">
        <f t="shared" si="0"/>
        <v>15.688372762261139</v>
      </c>
      <c r="F20" s="22">
        <f t="shared" si="1"/>
        <v>2.0253123785470972</v>
      </c>
      <c r="G20" s="21">
        <f>+[6]Subpartida!D8/1000000</f>
        <v>39.798448389999976</v>
      </c>
      <c r="H20" s="23">
        <f>+[6]Subpartida!H8/1000000</f>
        <v>41.645234019999982</v>
      </c>
      <c r="I20" s="22">
        <f t="shared" si="2"/>
        <v>4.6403458041948342</v>
      </c>
      <c r="J20" s="22">
        <f t="shared" si="3"/>
        <v>1.5804278783089529</v>
      </c>
      <c r="K20" s="16"/>
    </row>
    <row r="21" spans="1:11">
      <c r="A21" s="14"/>
      <c r="B21" s="9" t="str">
        <f>+[6]Subpartida!J9</f>
        <v>Portátiles</v>
      </c>
      <c r="C21" s="21">
        <f>+[6]Subpartida!C9/1000000</f>
        <v>424.89890659999924</v>
      </c>
      <c r="D21" s="23">
        <f>+[6]Subpartida!G9/1000000</f>
        <v>425.28773745999945</v>
      </c>
      <c r="E21" s="22">
        <f t="shared" si="0"/>
        <v>9.1511381639364231E-2</v>
      </c>
      <c r="F21" s="22">
        <f t="shared" si="1"/>
        <v>1.8459547046829505</v>
      </c>
      <c r="G21" s="21">
        <f>+[6]Subpartida!D9/1000000</f>
        <v>45.760180109999986</v>
      </c>
      <c r="H21" s="23">
        <f>+[6]Subpartida!H9/1000000</f>
        <v>47.680211629999967</v>
      </c>
      <c r="I21" s="22">
        <f t="shared" si="2"/>
        <v>4.1958565621563082</v>
      </c>
      <c r="J21" s="22">
        <f t="shared" si="3"/>
        <v>1.8094540102123968</v>
      </c>
      <c r="K21" s="16"/>
    </row>
    <row r="22" spans="1:11">
      <c r="A22" s="14"/>
      <c r="B22" s="9" t="str">
        <f>+[6]Subpartida!J10</f>
        <v>Tractores</v>
      </c>
      <c r="C22" s="21">
        <f>+[6]Subpartida!C10/1000000</f>
        <v>36.150380159999969</v>
      </c>
      <c r="D22" s="23">
        <f>+[6]Subpartida!G10/1000000</f>
        <v>351.13660184999952</v>
      </c>
      <c r="E22" s="22">
        <f t="shared" si="0"/>
        <v>871.3220173505357</v>
      </c>
      <c r="F22" s="22">
        <f t="shared" si="1"/>
        <v>1.5241028721933361</v>
      </c>
      <c r="G22" s="21">
        <f>+[6]Subpartida!D10/1000000</f>
        <v>4.2343507499999999</v>
      </c>
      <c r="H22" s="23">
        <f>+[6]Subpartida!H10/1000000</f>
        <v>52.597086240000039</v>
      </c>
      <c r="I22" s="22">
        <f t="shared" si="2"/>
        <v>1142.1523238243794</v>
      </c>
      <c r="J22" s="22">
        <f t="shared" si="3"/>
        <v>1.9960483682621484</v>
      </c>
      <c r="K22" s="16"/>
    </row>
    <row r="23" spans="1:11">
      <c r="A23" s="14"/>
      <c r="B23" s="9" t="str">
        <f>+[6]Subpartida!J11</f>
        <v>Partes de aviones o helicopteros</v>
      </c>
      <c r="C23" s="21">
        <f>+[6]Subpartida!C11/1000000</f>
        <v>97.41525999000001</v>
      </c>
      <c r="D23" s="23">
        <f>+[6]Subpartida!G11/1000000</f>
        <v>254.69239831000053</v>
      </c>
      <c r="E23" s="22">
        <f t="shared" si="0"/>
        <v>161.45020640107671</v>
      </c>
      <c r="F23" s="22">
        <f t="shared" si="1"/>
        <v>1.1054883305953527</v>
      </c>
      <c r="G23" s="21">
        <f>+[6]Subpartida!D11/1000000</f>
        <v>7.9667508300000005</v>
      </c>
      <c r="H23" s="23">
        <f>+[6]Subpartida!H11/1000000</f>
        <v>9.8308862099999956</v>
      </c>
      <c r="I23" s="22">
        <f t="shared" si="2"/>
        <v>23.398941673691009</v>
      </c>
      <c r="J23" s="22">
        <f t="shared" si="3"/>
        <v>0.37308006547172817</v>
      </c>
      <c r="K23" s="16"/>
    </row>
    <row r="24" spans="1:11">
      <c r="A24" s="14"/>
      <c r="B24" s="9" t="str">
        <f>+[6]Subpartida!J12</f>
        <v>Máquinas procesamiento de datos</v>
      </c>
      <c r="C24" s="21">
        <f>+[6]Subpartida!C12/1000000</f>
        <v>247.58292227000035</v>
      </c>
      <c r="D24" s="23">
        <f>+[6]Subpartida!G12/1000000</f>
        <v>253.64157954999894</v>
      </c>
      <c r="E24" s="22">
        <f t="shared" si="0"/>
        <v>2.4471224527317537</v>
      </c>
      <c r="F24" s="22">
        <f t="shared" si="1"/>
        <v>1.1009272683710356</v>
      </c>
      <c r="G24" s="21">
        <f>+[6]Subpartida!D12/1000000</f>
        <v>24.250661489999967</v>
      </c>
      <c r="H24" s="23">
        <f>+[6]Subpartida!H12/1000000</f>
        <v>22.340214950000011</v>
      </c>
      <c r="I24" s="22">
        <f t="shared" si="2"/>
        <v>-7.8779151685728248</v>
      </c>
      <c r="J24" s="22">
        <f t="shared" si="3"/>
        <v>0.84780646201767884</v>
      </c>
      <c r="K24" s="16"/>
    </row>
    <row r="25" spans="1:11">
      <c r="A25" s="14"/>
      <c r="B25" s="9" t="str">
        <f>+[6]Subpartida!J13</f>
        <v>Vehículos carga &lt; 4537 ton</v>
      </c>
      <c r="C25" s="21">
        <f>+[6]Subpartida!C13/1000000</f>
        <v>107.21915801999994</v>
      </c>
      <c r="D25" s="23">
        <f>+[6]Subpartida!G13/1000000</f>
        <v>243.39821505000037</v>
      </c>
      <c r="E25" s="22">
        <f t="shared" si="0"/>
        <v>127.0100041306037</v>
      </c>
      <c r="F25" s="22">
        <f t="shared" si="1"/>
        <v>1.0564661066091516</v>
      </c>
      <c r="G25" s="21">
        <f>+[6]Subpartida!D13/1000000</f>
        <v>20.269636170000009</v>
      </c>
      <c r="H25" s="23">
        <f>+[6]Subpartida!H13/1000000</f>
        <v>38.860737300000025</v>
      </c>
      <c r="I25" s="22">
        <f t="shared" si="2"/>
        <v>91.718968086441024</v>
      </c>
      <c r="J25" s="22">
        <f t="shared" si="3"/>
        <v>1.4747568130140778</v>
      </c>
      <c r="K25" s="16"/>
    </row>
    <row r="26" spans="1:11">
      <c r="A26" s="14"/>
      <c r="B26" s="9" t="str">
        <f>+[6]Subpartida!J14</f>
        <v>Vehículos entre 1000 y 1500 cm3</v>
      </c>
      <c r="C26" s="21">
        <f>+[6]Subpartida!C14/1000000</f>
        <v>108.56080771000018</v>
      </c>
      <c r="D26" s="23">
        <f>+[6]Subpartida!G14/1000000</f>
        <v>227.67432196000021</v>
      </c>
      <c r="E26" s="22">
        <f t="shared" si="0"/>
        <v>109.72054902924953</v>
      </c>
      <c r="F26" s="22">
        <f t="shared" si="1"/>
        <v>0.9882167970975001</v>
      </c>
      <c r="G26" s="21">
        <f>+[6]Subpartida!D14/1000000</f>
        <v>21.674539300000013</v>
      </c>
      <c r="H26" s="23">
        <f>+[6]Subpartida!H14/1000000</f>
        <v>21.507240819999989</v>
      </c>
      <c r="I26" s="22">
        <f t="shared" si="2"/>
        <v>-0.77186637134208924</v>
      </c>
      <c r="J26" s="22">
        <f t="shared" si="3"/>
        <v>0.81619526885377547</v>
      </c>
      <c r="K26" s="16"/>
    </row>
    <row r="27" spans="1:11">
      <c r="A27" s="14"/>
      <c r="B27" s="9" t="str">
        <f>+[6]Subpartida!J15</f>
        <v>Aparatos receptores de televisión</v>
      </c>
      <c r="C27" s="21">
        <f>+[6]Subpartida!C15/1000000</f>
        <v>139.30289706000002</v>
      </c>
      <c r="D27" s="23">
        <f>+[6]Subpartida!G15/1000000</f>
        <v>171.9827678100003</v>
      </c>
      <c r="E27" s="22">
        <f t="shared" si="0"/>
        <v>23.459577251953732</v>
      </c>
      <c r="F27" s="22">
        <f t="shared" si="1"/>
        <v>0.74648848626425657</v>
      </c>
      <c r="G27" s="21">
        <f>+[6]Subpartida!D15/1000000</f>
        <v>17.381426470000001</v>
      </c>
      <c r="H27" s="23">
        <f>+[6]Subpartida!H15/1000000</f>
        <v>20.525981419999972</v>
      </c>
      <c r="I27" s="22">
        <f t="shared" si="2"/>
        <v>18.09146651701694</v>
      </c>
      <c r="J27" s="22">
        <f t="shared" si="3"/>
        <v>0.77895668085909719</v>
      </c>
      <c r="K27" s="16"/>
    </row>
    <row r="28" spans="1:11">
      <c r="A28" s="14"/>
      <c r="B28" s="9" t="str">
        <f>+[6]Subpartida!J16</f>
        <v>Camperos entre 1500 y 3000 cm3</v>
      </c>
      <c r="C28" s="21">
        <f>+[6]Subpartida!C16/1000000</f>
        <v>78.681356560000225</v>
      </c>
      <c r="D28" s="23">
        <f>+[6]Subpartida!G16/1000000</f>
        <v>157.06684381999932</v>
      </c>
      <c r="E28" s="22">
        <f t="shared" si="0"/>
        <v>99.623965176838936</v>
      </c>
      <c r="F28" s="22">
        <f t="shared" si="1"/>
        <v>0.6817461538648294</v>
      </c>
      <c r="G28" s="21">
        <f>+[6]Subpartida!D16/1000000</f>
        <v>14.911765570000005</v>
      </c>
      <c r="H28" s="23">
        <f>+[6]Subpartida!H16/1000000</f>
        <v>19.473830609999997</v>
      </c>
      <c r="I28" s="22">
        <f t="shared" si="2"/>
        <v>30.593728278414645</v>
      </c>
      <c r="J28" s="22">
        <f t="shared" si="3"/>
        <v>0.73902777875445946</v>
      </c>
      <c r="K28" s="16"/>
    </row>
    <row r="29" spans="1:11">
      <c r="A29" s="14"/>
      <c r="B29" s="9" t="str">
        <f>+[6]Subpartida!J17</f>
        <v>Vehículos carga &gt; 20 ton</v>
      </c>
      <c r="C29" s="21">
        <f>+[6]Subpartida!C17/1000000</f>
        <v>33.656234799999993</v>
      </c>
      <c r="D29" s="23">
        <f>+[6]Subpartida!G17/1000000</f>
        <v>141.40400584000011</v>
      </c>
      <c r="E29" s="22">
        <f t="shared" si="0"/>
        <v>320.14208267883885</v>
      </c>
      <c r="F29" s="22">
        <f t="shared" si="1"/>
        <v>0.61376185309343523</v>
      </c>
      <c r="G29" s="21">
        <f>+[6]Subpartida!D17/1000000</f>
        <v>8.4143074799999962</v>
      </c>
      <c r="H29" s="23">
        <f>+[6]Subpartida!H17/1000000</f>
        <v>16.703756029999994</v>
      </c>
      <c r="I29" s="22">
        <f t="shared" si="2"/>
        <v>98.516111631328229</v>
      </c>
      <c r="J29" s="22">
        <f t="shared" si="3"/>
        <v>0.6339040306414222</v>
      </c>
      <c r="K29" s="16"/>
    </row>
    <row r="30" spans="1:11">
      <c r="A30" s="14"/>
      <c r="B30" s="9" t="str">
        <f>+[6]Subpartida!J18</f>
        <v>Medicamentos VIH</v>
      </c>
      <c r="C30" s="21">
        <f>+[6]Subpartida!C18/1000000</f>
        <v>102.67414488</v>
      </c>
      <c r="D30" s="23">
        <f>+[6]Subpartida!G18/1000000</f>
        <v>122.83933302999991</v>
      </c>
      <c r="E30" s="22">
        <f t="shared" si="0"/>
        <v>19.639986457708414</v>
      </c>
      <c r="F30" s="22">
        <f t="shared" si="1"/>
        <v>0.5331821840928852</v>
      </c>
      <c r="G30" s="21">
        <f>+[6]Subpartida!D18/1000000</f>
        <v>11.653131859999997</v>
      </c>
      <c r="H30" s="23">
        <f>+[6]Subpartida!H18/1000000</f>
        <v>11.396156080000001</v>
      </c>
      <c r="I30" s="22">
        <f t="shared" si="2"/>
        <v>-2.2052078624638205</v>
      </c>
      <c r="J30" s="22">
        <f t="shared" si="3"/>
        <v>0.43248172805902463</v>
      </c>
      <c r="K30" s="16"/>
    </row>
    <row r="31" spans="1:11">
      <c r="A31" s="14"/>
      <c r="B31" s="9" t="str">
        <f>+[6]Subpartida!J19</f>
        <v>Vehículos &lt; 1000 cm3</v>
      </c>
      <c r="C31" s="21">
        <f>+[6]Subpartida!C19/1000000</f>
        <v>15.464988809999996</v>
      </c>
      <c r="D31" s="23">
        <f>+[6]Subpartida!G19/1000000</f>
        <v>111.30430892999992</v>
      </c>
      <c r="E31" s="22">
        <f t="shared" si="0"/>
        <v>619.71800495599553</v>
      </c>
      <c r="F31" s="22">
        <f t="shared" si="1"/>
        <v>0.48311459424607262</v>
      </c>
      <c r="G31" s="21">
        <f>+[6]Subpartida!D19/1000000</f>
        <v>5.9356606199999993</v>
      </c>
      <c r="H31" s="23">
        <f>+[6]Subpartida!H19/1000000</f>
        <v>7.7428125099999994</v>
      </c>
      <c r="I31" s="22">
        <f t="shared" si="2"/>
        <v>30.445674132898802</v>
      </c>
      <c r="J31" s="22">
        <f t="shared" si="3"/>
        <v>0.29383810741576233</v>
      </c>
      <c r="K31" s="16"/>
    </row>
    <row r="32" spans="1:11">
      <c r="A32" s="14"/>
      <c r="B32" s="9" t="str">
        <f>+[6]Subpartida!J20</f>
        <v>Máquinas autopropulsadas</v>
      </c>
      <c r="C32" s="21">
        <f>+[6]Subpartida!C20/1000000</f>
        <v>48.82455925999998</v>
      </c>
      <c r="D32" s="23">
        <f>+[6]Subpartida!G20/1000000</f>
        <v>106.77771822000015</v>
      </c>
      <c r="E32" s="22">
        <f t="shared" si="0"/>
        <v>118.69673754019709</v>
      </c>
      <c r="F32" s="22">
        <f t="shared" si="1"/>
        <v>0.46346699879175007</v>
      </c>
      <c r="G32" s="21">
        <f>+[6]Subpartida!D20/1000000</f>
        <v>3.8220703500000002</v>
      </c>
      <c r="H32" s="23">
        <f>+[6]Subpartida!H20/1000000</f>
        <v>20.538446609999983</v>
      </c>
      <c r="I32" s="22">
        <f t="shared" si="2"/>
        <v>437.3644315573622</v>
      </c>
      <c r="J32" s="22">
        <f t="shared" si="3"/>
        <v>0.77942973219973732</v>
      </c>
      <c r="K32" s="16"/>
    </row>
    <row r="33" spans="1:11">
      <c r="A33" s="14"/>
      <c r="B33" s="9" t="str">
        <f>+[6]Subpartida!J21</f>
        <v>Productos para tratamiento VIH</v>
      </c>
      <c r="C33" s="21">
        <f>+[6]Subpartida!C21/1000000</f>
        <v>89.893128449999992</v>
      </c>
      <c r="D33" s="23">
        <f>+[6]Subpartida!G21/1000000</f>
        <v>106.472694</v>
      </c>
      <c r="E33" s="22">
        <f t="shared" si="0"/>
        <v>18.443640616225565</v>
      </c>
      <c r="F33" s="22">
        <f t="shared" si="1"/>
        <v>0.462143045984377</v>
      </c>
      <c r="G33" s="21">
        <f>+[6]Subpartida!D21/1000000</f>
        <v>14.779824330000002</v>
      </c>
      <c r="H33" s="23">
        <f>+[6]Subpartida!H21/1000000</f>
        <v>29.6276717</v>
      </c>
      <c r="I33" s="22">
        <f t="shared" si="2"/>
        <v>100.46024254741597</v>
      </c>
      <c r="J33" s="22">
        <f t="shared" si="3"/>
        <v>1.1243639140454331</v>
      </c>
      <c r="K33" s="16"/>
    </row>
    <row r="34" spans="1:11">
      <c r="A34" s="14"/>
      <c r="B34" s="9" t="s">
        <v>34</v>
      </c>
      <c r="C34" s="21">
        <f>+C13-SUM(C14:C33)</f>
        <v>11428.773550860114</v>
      </c>
      <c r="D34" s="23">
        <f t="shared" ref="D34" si="4">+D13-SUM(D14:D33)</f>
        <v>14506.822859379954</v>
      </c>
      <c r="E34" s="22">
        <f t="shared" si="0"/>
        <v>26.932455130219889</v>
      </c>
      <c r="F34" s="22">
        <f t="shared" si="1"/>
        <v>62.96663540597217</v>
      </c>
      <c r="G34" s="21">
        <f>+G13-SUM(G14:G33)</f>
        <v>1254.571497370001</v>
      </c>
      <c r="H34" s="23">
        <f>+H13-SUM(H14:H33)</f>
        <v>1564.789406950001</v>
      </c>
      <c r="I34" s="22">
        <f t="shared" si="2"/>
        <v>24.727001229528955</v>
      </c>
      <c r="J34" s="22">
        <f t="shared" si="3"/>
        <v>59.383429115529687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54</v>
      </c>
      <c r="C13" s="23">
        <f>+'Resumen importaciones totales'!C13</f>
        <v>16196.148383640118</v>
      </c>
      <c r="D13" s="23">
        <f>+'Resumen importaciones totales'!D13</f>
        <v>23038.904279779941</v>
      </c>
      <c r="E13" s="25">
        <f>IF(OR(OR(D13=0,C13=0),D13=""),"",(D13/C13-1)*100)</f>
        <v>42.249278865904657</v>
      </c>
      <c r="F13" s="23">
        <f>(D13/D$13)*100</f>
        <v>100</v>
      </c>
      <c r="G13" s="23">
        <f>+'Resumen importaciones totales'!G13</f>
        <v>1755.104618940001</v>
      </c>
      <c r="H13" s="23">
        <f>+'Resumen importaciones totales'!H13</f>
        <v>2635.0607067600013</v>
      </c>
      <c r="I13" s="25">
        <f>IF(OR(OR(H13=0,G13=0),H13=""),"",(H13/G13-1)*100)</f>
        <v>50.136959262944188</v>
      </c>
      <c r="J13" s="23">
        <f>(H13/H$13)*100</f>
        <v>100</v>
      </c>
      <c r="K13" s="16"/>
    </row>
    <row r="14" spans="1:14">
      <c r="A14" s="14"/>
      <c r="B14" s="10" t="s">
        <v>89</v>
      </c>
      <c r="C14" s="21">
        <f>SUM(C15:C26)</f>
        <v>3962.9901934299974</v>
      </c>
      <c r="D14" s="23">
        <f>SUM(D15:D26)</f>
        <v>5249.9895581199999</v>
      </c>
      <c r="E14" s="22">
        <f t="shared" ref="E14:E49" si="0">IF(OR(OR(D14=0,C14=0),D14=""),"",(D14/C14-1)*100)</f>
        <v>32.475461756721998</v>
      </c>
      <c r="F14" s="22">
        <f t="shared" ref="F14:F49" si="1">(D14/D$13)*100</f>
        <v>22.787496724519336</v>
      </c>
      <c r="G14" s="21">
        <f t="shared" ref="G14:H14" si="2">SUM(G15:G26)</f>
        <v>500.77272622999993</v>
      </c>
      <c r="H14" s="23">
        <f t="shared" si="2"/>
        <v>482.73949861999995</v>
      </c>
      <c r="I14" s="22">
        <f t="shared" ref="I14:I49" si="3">IF(OR(OR(H14=0,G14=0),H14=""),"",(H14/G14-1)*100)</f>
        <v>-3.6010802237096073</v>
      </c>
      <c r="J14" s="22">
        <f>(H14/H$13)*100</f>
        <v>18.319862513283926</v>
      </c>
      <c r="K14" s="16"/>
    </row>
    <row r="15" spans="1:14">
      <c r="A15" s="14"/>
      <c r="B15" s="9" t="s">
        <v>90</v>
      </c>
      <c r="C15" s="21">
        <f>+[6]cuode!C3/1000000</f>
        <v>323.14951866000206</v>
      </c>
      <c r="D15" s="23">
        <f>+[6]cuode!F3/1000000</f>
        <v>425.86691864999966</v>
      </c>
      <c r="E15" s="22">
        <f t="shared" si="0"/>
        <v>31.786338539489044</v>
      </c>
      <c r="F15" s="22">
        <f t="shared" si="1"/>
        <v>1.8484686314867895</v>
      </c>
      <c r="G15" s="21">
        <f>+[6]cuode!D3/1000000</f>
        <v>35.604890429999941</v>
      </c>
      <c r="H15" s="23">
        <f>+[6]cuode!G3/1000000</f>
        <v>47.179309409999952</v>
      </c>
      <c r="I15" s="22">
        <f t="shared" si="3"/>
        <v>32.507947195499987</v>
      </c>
      <c r="J15" s="22">
        <f t="shared" ref="J15:J49" si="4">(H15/H$13)*100</f>
        <v>1.7904448762400751</v>
      </c>
      <c r="K15" s="16"/>
    </row>
    <row r="16" spans="1:14">
      <c r="A16" s="14"/>
      <c r="B16" s="9" t="s">
        <v>91</v>
      </c>
      <c r="C16" s="21">
        <f>+[6]cuode!C4/1000000</f>
        <v>43.182265239999978</v>
      </c>
      <c r="D16" s="23">
        <f>+[6]cuode!F4/1000000</f>
        <v>66.974252890000031</v>
      </c>
      <c r="E16" s="22">
        <f t="shared" si="0"/>
        <v>55.096664146190747</v>
      </c>
      <c r="F16" s="22">
        <f t="shared" si="1"/>
        <v>0.2907006864418456</v>
      </c>
      <c r="G16" s="21">
        <f>+[6]cuode!D4/1000000</f>
        <v>4.2949158100000018</v>
      </c>
      <c r="H16" s="23">
        <f>+[6]cuode!G4/1000000</f>
        <v>6.7688017300000043</v>
      </c>
      <c r="I16" s="22">
        <f t="shared" si="3"/>
        <v>57.600335593074206</v>
      </c>
      <c r="J16" s="22">
        <f t="shared" si="4"/>
        <v>0.25687460302661252</v>
      </c>
      <c r="K16" s="16"/>
    </row>
    <row r="17" spans="1:11">
      <c r="A17" s="14"/>
      <c r="B17" s="9" t="s">
        <v>92</v>
      </c>
      <c r="C17" s="21">
        <f>+[6]cuode!C5/1000000</f>
        <v>17.395187650000015</v>
      </c>
      <c r="D17" s="23">
        <f>+[6]cuode!F5/1000000</f>
        <v>18.117031989999976</v>
      </c>
      <c r="E17" s="22">
        <f t="shared" si="0"/>
        <v>4.1496783738343979</v>
      </c>
      <c r="F17" s="22">
        <f t="shared" si="1"/>
        <v>7.8636691094291153E-2</v>
      </c>
      <c r="G17" s="21">
        <f>+[6]cuode!D5/1000000</f>
        <v>1.0608164099999999</v>
      </c>
      <c r="H17" s="23">
        <f>+[6]cuode!G5/1000000</f>
        <v>2.53551912</v>
      </c>
      <c r="I17" s="22">
        <f t="shared" si="3"/>
        <v>139.01582744180968</v>
      </c>
      <c r="J17" s="22">
        <f t="shared" si="4"/>
        <v>9.6222417703522481E-2</v>
      </c>
      <c r="K17" s="16"/>
    </row>
    <row r="18" spans="1:11">
      <c r="A18" s="14"/>
      <c r="B18" s="9" t="s">
        <v>107</v>
      </c>
      <c r="C18" s="21">
        <f>+[6]cuode!C6/1000000</f>
        <v>900.87544797999976</v>
      </c>
      <c r="D18" s="23">
        <f>+[6]cuode!F6/1000000</f>
        <v>1062.0060785400058</v>
      </c>
      <c r="E18" s="22">
        <f t="shared" si="0"/>
        <v>17.886005320858001</v>
      </c>
      <c r="F18" s="22">
        <f t="shared" si="1"/>
        <v>4.6096206036676568</v>
      </c>
      <c r="G18" s="21">
        <f>+[6]cuode!D6/1000000</f>
        <v>93.575182739999988</v>
      </c>
      <c r="H18" s="23">
        <f>+[6]cuode!E6/1000000</f>
        <v>2.0110000000000002E-3</v>
      </c>
      <c r="I18" s="22">
        <f t="shared" si="3"/>
        <v>-99.997850925917405</v>
      </c>
      <c r="J18" s="22">
        <f t="shared" si="4"/>
        <v>7.6317027339862343E-5</v>
      </c>
      <c r="K18" s="16"/>
    </row>
    <row r="19" spans="1:11">
      <c r="A19" s="14"/>
      <c r="B19" s="9" t="s">
        <v>108</v>
      </c>
      <c r="C19" s="21">
        <f>+[6]cuode!C7/1000000</f>
        <v>193.45793868000098</v>
      </c>
      <c r="D19" s="23">
        <f>+[6]cuode!F7/1000000</f>
        <v>305.4820518099994</v>
      </c>
      <c r="E19" s="22">
        <f t="shared" si="0"/>
        <v>57.906185651702643</v>
      </c>
      <c r="F19" s="22">
        <f t="shared" si="1"/>
        <v>1.3259400191097857</v>
      </c>
      <c r="G19" s="21">
        <f>+[6]cuode!D7/1000000</f>
        <v>26.554834809999868</v>
      </c>
      <c r="H19" s="23">
        <f>+[6]cuode!E7/1000000</f>
        <v>2.0110000000000002E-3</v>
      </c>
      <c r="I19" s="22">
        <f t="shared" si="3"/>
        <v>-99.992426991113334</v>
      </c>
      <c r="J19" s="22">
        <f t="shared" si="4"/>
        <v>7.6317027339862343E-5</v>
      </c>
      <c r="K19" s="16"/>
    </row>
    <row r="20" spans="1:11">
      <c r="A20" s="14"/>
      <c r="B20" s="9" t="s">
        <v>109</v>
      </c>
      <c r="C20" s="21">
        <f>+[6]cuode!C8/1000000</f>
        <v>430.20392628999969</v>
      </c>
      <c r="D20" s="23">
        <f>+[6]cuode!F8/1000000</f>
        <v>560.78211369999747</v>
      </c>
      <c r="E20" s="22">
        <f t="shared" si="0"/>
        <v>30.352625680588339</v>
      </c>
      <c r="F20" s="22">
        <f t="shared" si="1"/>
        <v>2.4340659038727246</v>
      </c>
      <c r="G20" s="21">
        <f>+[6]cuode!D8/1000000</f>
        <v>59.57229753999988</v>
      </c>
      <c r="H20" s="23">
        <f>+[6]cuode!G8/1000000</f>
        <v>80.465552869999712</v>
      </c>
      <c r="I20" s="22">
        <f t="shared" si="3"/>
        <v>35.072099268911082</v>
      </c>
      <c r="J20" s="22">
        <f t="shared" si="4"/>
        <v>3.0536508196404308</v>
      </c>
      <c r="K20" s="16"/>
    </row>
    <row r="21" spans="1:11">
      <c r="A21" s="14"/>
      <c r="B21" s="9" t="s">
        <v>93</v>
      </c>
      <c r="C21" s="21">
        <f>+[6]cuode!C9/1000000</f>
        <v>66.153522470000212</v>
      </c>
      <c r="D21" s="23">
        <f>+[6]cuode!F9/1000000</f>
        <v>92.318344310000001</v>
      </c>
      <c r="E21" s="22">
        <f t="shared" ref="E21:E36" si="5">IF(OR(OR(D21=0,C21=0),D21=""),"",(D21/C21-1)*100)</f>
        <v>39.551668396592497</v>
      </c>
      <c r="F21" s="22">
        <f t="shared" ref="F21:F36" si="6">(D21/D$13)*100</f>
        <v>0.40070631480084345</v>
      </c>
      <c r="G21" s="21">
        <f>+[6]cuode!D9/1000000</f>
        <v>7.1743009300000082</v>
      </c>
      <c r="H21" s="23">
        <f>+[6]cuode!G9/1000000</f>
        <v>10.237882640000004</v>
      </c>
      <c r="I21" s="22">
        <f t="shared" ref="I21:I36" si="7">IF(OR(OR(H21=0,G21=0),H21=""),"",(H21/G21-1)*100)</f>
        <v>42.702163456642062</v>
      </c>
      <c r="J21" s="22">
        <f t="shared" ref="J21:J36" si="8">(H21/H$13)*100</f>
        <v>0.38852549445011553</v>
      </c>
      <c r="K21" s="16"/>
    </row>
    <row r="22" spans="1:11">
      <c r="A22" s="14"/>
      <c r="B22" s="9" t="s">
        <v>110</v>
      </c>
      <c r="C22" s="21">
        <f>+[6]cuode!C10/1000000</f>
        <v>331.73836978000105</v>
      </c>
      <c r="D22" s="23">
        <f>+[6]cuode!F10/1000000</f>
        <v>417.52271837999717</v>
      </c>
      <c r="E22" s="22">
        <f t="shared" si="5"/>
        <v>25.859037245792749</v>
      </c>
      <c r="F22" s="22">
        <f t="shared" si="6"/>
        <v>1.8122507620574446</v>
      </c>
      <c r="G22" s="21">
        <f>+[6]cuode!D10/1000000</f>
        <v>49.801167459999945</v>
      </c>
      <c r="H22" s="23">
        <f>+[6]cuode!G10/1000000</f>
        <v>51.914285990000117</v>
      </c>
      <c r="I22" s="22">
        <f t="shared" si="7"/>
        <v>4.2431104284802457</v>
      </c>
      <c r="J22" s="22">
        <f t="shared" si="8"/>
        <v>1.9701362422815869</v>
      </c>
      <c r="K22" s="16"/>
    </row>
    <row r="23" spans="1:11">
      <c r="A23" s="14"/>
      <c r="B23" s="9" t="s">
        <v>111</v>
      </c>
      <c r="C23" s="21">
        <f>+[6]cuode!C11/1000000</f>
        <v>164.82934011999993</v>
      </c>
      <c r="D23" s="23">
        <f>+[6]cuode!F11/1000000</f>
        <v>208.45363346999918</v>
      </c>
      <c r="E23" s="22">
        <f t="shared" si="5"/>
        <v>26.466339862939247</v>
      </c>
      <c r="F23" s="22">
        <f t="shared" si="6"/>
        <v>0.90478970240328738</v>
      </c>
      <c r="G23" s="21">
        <f>+[6]cuode!D11/1000000</f>
        <v>17.882898409999999</v>
      </c>
      <c r="H23" s="23">
        <f>+[6]cuode!G11/1000000</f>
        <v>22.25063091000003</v>
      </c>
      <c r="I23" s="22">
        <f t="shared" si="7"/>
        <v>24.424074889099767</v>
      </c>
      <c r="J23" s="22">
        <f t="shared" si="8"/>
        <v>0.84440676652792568</v>
      </c>
      <c r="K23" s="16"/>
    </row>
    <row r="24" spans="1:11">
      <c r="A24" s="14"/>
      <c r="B24" s="9" t="s">
        <v>112</v>
      </c>
      <c r="C24" s="21">
        <f>+[6]cuode!C12/1000000</f>
        <v>485.2024919199992</v>
      </c>
      <c r="D24" s="23">
        <f>+[6]cuode!F12/1000000</f>
        <v>556.95210032999626</v>
      </c>
      <c r="E24" s="22">
        <f t="shared" si="5"/>
        <v>14.787559751821554</v>
      </c>
      <c r="F24" s="22">
        <f t="shared" si="6"/>
        <v>2.4174417913563904</v>
      </c>
      <c r="G24" s="21">
        <f>+[6]cuode!D12/1000000</f>
        <v>58.136831750000034</v>
      </c>
      <c r="H24" s="23">
        <f>+[6]cuode!G12/1000000</f>
        <v>77.947727150000048</v>
      </c>
      <c r="I24" s="22">
        <f t="shared" si="7"/>
        <v>34.076324429220371</v>
      </c>
      <c r="J24" s="22">
        <f t="shared" si="8"/>
        <v>2.9580998627482264</v>
      </c>
      <c r="K24" s="16"/>
    </row>
    <row r="25" spans="1:11">
      <c r="A25" s="14"/>
      <c r="B25" s="9" t="s">
        <v>113</v>
      </c>
      <c r="C25" s="21">
        <f>+[6]cuode!C13/1000000</f>
        <v>874.81991955999399</v>
      </c>
      <c r="D25" s="23">
        <f>+[6]cuode!F13/1000000</f>
        <v>1472.2536822200041</v>
      </c>
      <c r="E25" s="22">
        <f t="shared" si="5"/>
        <v>68.292199263192344</v>
      </c>
      <c r="F25" s="22">
        <f t="shared" si="6"/>
        <v>6.3902938453202625</v>
      </c>
      <c r="G25" s="21">
        <f>+[6]cuode!D13/1000000</f>
        <v>113.05923555000027</v>
      </c>
      <c r="H25" s="23">
        <f>+[6]cuode!G13/1000000</f>
        <v>177.43228245000003</v>
      </c>
      <c r="I25" s="22">
        <f t="shared" si="7"/>
        <v>56.937451051073928</v>
      </c>
      <c r="J25" s="22">
        <f t="shared" si="8"/>
        <v>6.733517827305235</v>
      </c>
      <c r="K25" s="16"/>
    </row>
    <row r="26" spans="1:11">
      <c r="A26" s="14"/>
      <c r="B26" s="9" t="s">
        <v>94</v>
      </c>
      <c r="C26" s="21">
        <f>+[6]cuode!C14/1000000</f>
        <v>131.98226508000005</v>
      </c>
      <c r="D26" s="23">
        <f>+[6]cuode!F14/1000000</f>
        <v>63.260631830000001</v>
      </c>
      <c r="E26" s="22">
        <f t="shared" si="5"/>
        <v>-52.068839103757568</v>
      </c>
      <c r="F26" s="22">
        <f t="shared" si="6"/>
        <v>0.27458177290801367</v>
      </c>
      <c r="G26" s="21">
        <f>+[6]cuode!D14/1000000</f>
        <v>34.055354389999998</v>
      </c>
      <c r="H26" s="23">
        <f>+[6]cuode!G14/1000000</f>
        <v>6.0034843499999999</v>
      </c>
      <c r="I26" s="22">
        <f t="shared" si="7"/>
        <v>-82.371393698481484</v>
      </c>
      <c r="J26" s="22">
        <f t="shared" si="8"/>
        <v>0.2278309693055125</v>
      </c>
      <c r="K26" s="16"/>
    </row>
    <row r="27" spans="1:11">
      <c r="A27" s="14"/>
      <c r="B27" s="10" t="s">
        <v>30</v>
      </c>
      <c r="C27" s="21">
        <f>SUM(C28:C35)</f>
        <v>4441.2941500099278</v>
      </c>
      <c r="D27" s="23">
        <f>SUM(D28:D35)</f>
        <v>6758.2415102600407</v>
      </c>
      <c r="E27" s="22">
        <f t="shared" si="5"/>
        <v>52.168293339564855</v>
      </c>
      <c r="F27" s="22">
        <f t="shared" si="6"/>
        <v>29.334040491636582</v>
      </c>
      <c r="G27" s="21">
        <f>SUM(G28:G35)</f>
        <v>424.64082182999977</v>
      </c>
      <c r="H27" s="23">
        <f>SUM(H28:H35)</f>
        <v>878.54522613999882</v>
      </c>
      <c r="I27" s="22">
        <f t="shared" si="7"/>
        <v>106.8913728910676</v>
      </c>
      <c r="J27" s="22">
        <f t="shared" si="8"/>
        <v>33.340606684550892</v>
      </c>
      <c r="K27" s="16"/>
    </row>
    <row r="28" spans="1:11">
      <c r="A28" s="14"/>
      <c r="B28" s="9" t="s">
        <v>114</v>
      </c>
      <c r="C28" s="21">
        <f>+[6]cuode!C15/1000000</f>
        <v>36.803829839999992</v>
      </c>
      <c r="D28" s="23">
        <f>+[6]cuode!F15/1000000</f>
        <v>916.27824419999968</v>
      </c>
      <c r="E28" s="22">
        <f t="shared" si="5"/>
        <v>2389.6274332954035</v>
      </c>
      <c r="F28" s="22">
        <f t="shared" si="6"/>
        <v>3.9770912412886315</v>
      </c>
      <c r="G28" s="21">
        <f>+[6]cuode!D15/1000000</f>
        <v>1.0735685599999998</v>
      </c>
      <c r="H28" s="23">
        <f>+[6]cuode!G15/1000000</f>
        <v>221.12120487999999</v>
      </c>
      <c r="I28" s="22">
        <f t="shared" si="7"/>
        <v>20496.840585570058</v>
      </c>
      <c r="J28" s="22">
        <f t="shared" si="8"/>
        <v>8.391503251243293</v>
      </c>
      <c r="K28" s="16"/>
    </row>
    <row r="29" spans="1:11">
      <c r="A29" s="14"/>
      <c r="B29" s="9" t="s">
        <v>95</v>
      </c>
      <c r="C29" s="21">
        <f>+[6]cuode!C16/1000000</f>
        <v>86.506934269999704</v>
      </c>
      <c r="D29" s="23">
        <f>+[6]cuode!F16/1000000</f>
        <v>604.4606543500056</v>
      </c>
      <c r="E29" s="22">
        <f t="shared" si="5"/>
        <v>598.74242966858947</v>
      </c>
      <c r="F29" s="22">
        <f t="shared" si="6"/>
        <v>2.6236519194209666</v>
      </c>
      <c r="G29" s="21">
        <f>+[6]cuode!D16/1000000</f>
        <v>4.2514993900000038</v>
      </c>
      <c r="H29" s="23">
        <f>+[6]cuode!G16/1000000</f>
        <v>144.33678897999957</v>
      </c>
      <c r="I29" s="22">
        <f t="shared" si="7"/>
        <v>3294.9620060982638</v>
      </c>
      <c r="J29" s="22">
        <f t="shared" si="8"/>
        <v>5.4775508059346434</v>
      </c>
      <c r="K29" s="16"/>
    </row>
    <row r="30" spans="1:11">
      <c r="A30" s="14"/>
      <c r="B30" s="9" t="s">
        <v>96</v>
      </c>
      <c r="C30" s="21">
        <f>+[6]cuode!C17/1000000</f>
        <v>70.166328059999955</v>
      </c>
      <c r="D30" s="23">
        <f>+[6]cuode!F17/1000000</f>
        <v>78.875288610000013</v>
      </c>
      <c r="E30" s="22">
        <f t="shared" si="5"/>
        <v>12.41188015789132</v>
      </c>
      <c r="F30" s="22">
        <f t="shared" si="6"/>
        <v>0.34235694394209881</v>
      </c>
      <c r="G30" s="21">
        <f>+[6]cuode!D17/1000000</f>
        <v>4.8654347900000001</v>
      </c>
      <c r="H30" s="23">
        <f>+[6]cuode!G17/1000000</f>
        <v>6.9251055900000011</v>
      </c>
      <c r="I30" s="22">
        <f t="shared" si="7"/>
        <v>42.332718223523891</v>
      </c>
      <c r="J30" s="22">
        <f t="shared" si="8"/>
        <v>0.26280630166258762</v>
      </c>
      <c r="K30" s="16"/>
    </row>
    <row r="31" spans="1:11">
      <c r="A31" s="14"/>
      <c r="B31" s="9" t="s">
        <v>115</v>
      </c>
      <c r="C31" s="21">
        <f>+[6]cuode!C18/1000000</f>
        <v>142.14915319000011</v>
      </c>
      <c r="D31" s="23">
        <f>+[6]cuode!F18/1000000</f>
        <v>218.44033452999997</v>
      </c>
      <c r="E31" s="22">
        <f t="shared" si="5"/>
        <v>53.669810637582316</v>
      </c>
      <c r="F31" s="22">
        <f t="shared" si="6"/>
        <v>0.94813682055927373</v>
      </c>
      <c r="G31" s="21">
        <f>+[6]cuode!D18/1000000</f>
        <v>9.3436964700000011</v>
      </c>
      <c r="H31" s="23">
        <f>+[6]cuode!G18/1000000</f>
        <v>29.182131219999999</v>
      </c>
      <c r="I31" s="22">
        <f t="shared" si="7"/>
        <v>212.31891268830992</v>
      </c>
      <c r="J31" s="22">
        <f t="shared" si="8"/>
        <v>1.1074557464705073</v>
      </c>
      <c r="K31" s="16"/>
    </row>
    <row r="32" spans="1:11">
      <c r="A32" s="14"/>
      <c r="B32" s="9" t="s">
        <v>97</v>
      </c>
      <c r="C32" s="21">
        <f>+[6]cuode!C19/1000000</f>
        <v>424.76266584999979</v>
      </c>
      <c r="D32" s="23">
        <f>+[6]cuode!F19/1000000</f>
        <v>495.38207535999953</v>
      </c>
      <c r="E32" s="22">
        <f t="shared" si="5"/>
        <v>16.625615946891671</v>
      </c>
      <c r="F32" s="22">
        <f t="shared" si="6"/>
        <v>2.1501980708117738</v>
      </c>
      <c r="G32" s="21">
        <f>+[6]cuode!D19/1000000</f>
        <v>37.990572320000048</v>
      </c>
      <c r="H32" s="23">
        <f>+[6]cuode!G19/1000000</f>
        <v>53.41096437000003</v>
      </c>
      <c r="I32" s="22">
        <f t="shared" si="7"/>
        <v>40.590049342009912</v>
      </c>
      <c r="J32" s="22">
        <f t="shared" si="8"/>
        <v>2.0269348722395355</v>
      </c>
      <c r="K32" s="16"/>
    </row>
    <row r="33" spans="1:11">
      <c r="A33" s="14"/>
      <c r="B33" s="9" t="s">
        <v>116</v>
      </c>
      <c r="C33" s="21">
        <f>+[6]cuode!C20/1000000</f>
        <v>676.29508567998937</v>
      </c>
      <c r="D33" s="23">
        <f>+[6]cuode!F20/1000000</f>
        <v>795.35594053998898</v>
      </c>
      <c r="E33" s="22">
        <f t="shared" si="5"/>
        <v>17.604867665168445</v>
      </c>
      <c r="F33" s="22">
        <f t="shared" si="6"/>
        <v>3.4522298928861468</v>
      </c>
      <c r="G33" s="21">
        <f>+[6]cuode!D20/1000000</f>
        <v>62.965283329999956</v>
      </c>
      <c r="H33" s="23">
        <f>+[6]cuode!G20/1000000</f>
        <v>69.364892349999977</v>
      </c>
      <c r="I33" s="22">
        <f t="shared" si="7"/>
        <v>10.163710352036027</v>
      </c>
      <c r="J33" s="22">
        <f t="shared" si="8"/>
        <v>2.6323830859778998</v>
      </c>
      <c r="K33" s="16"/>
    </row>
    <row r="34" spans="1:11">
      <c r="A34" s="14"/>
      <c r="B34" s="9" t="s">
        <v>98</v>
      </c>
      <c r="C34" s="21">
        <f>+[6]cuode!C21/1000000</f>
        <v>1098.5201574599466</v>
      </c>
      <c r="D34" s="23">
        <f>+[6]cuode!F21/1000000</f>
        <v>1411.0654968400213</v>
      </c>
      <c r="E34" s="22">
        <f t="shared" si="5"/>
        <v>28.45148878312418</v>
      </c>
      <c r="F34" s="22">
        <f t="shared" si="6"/>
        <v>6.124707493482842</v>
      </c>
      <c r="G34" s="21">
        <f>+[6]cuode!D21/1000000</f>
        <v>113.77999226000006</v>
      </c>
      <c r="H34" s="23">
        <f>+[6]cuode!G21/1000000</f>
        <v>131.76024679999978</v>
      </c>
      <c r="I34" s="22">
        <f t="shared" si="7"/>
        <v>15.802650521290973</v>
      </c>
      <c r="J34" s="22">
        <f t="shared" si="8"/>
        <v>5.0002736734672268</v>
      </c>
      <c r="K34" s="16"/>
    </row>
    <row r="35" spans="1:11">
      <c r="A35" s="14"/>
      <c r="B35" s="9" t="s">
        <v>117</v>
      </c>
      <c r="C35" s="21">
        <f>+[6]cuode!C22/1000000</f>
        <v>1906.0899956599922</v>
      </c>
      <c r="D35" s="23">
        <f>+[6]cuode!F22/1000000</f>
        <v>2238.3834758300254</v>
      </c>
      <c r="E35" s="22">
        <f t="shared" si="5"/>
        <v>17.433252413403231</v>
      </c>
      <c r="F35" s="22">
        <f t="shared" si="6"/>
        <v>9.7156681092448451</v>
      </c>
      <c r="G35" s="21">
        <f>+[6]cuode!D22/1000000</f>
        <v>190.37077470999969</v>
      </c>
      <c r="H35" s="23">
        <f>+[6]cuode!G22/1000000</f>
        <v>222.44389194999954</v>
      </c>
      <c r="I35" s="22">
        <f t="shared" si="7"/>
        <v>16.847710626202073</v>
      </c>
      <c r="J35" s="22">
        <f t="shared" si="8"/>
        <v>8.4416989475551958</v>
      </c>
      <c r="K35" s="16"/>
    </row>
    <row r="36" spans="1:11">
      <c r="A36" s="14"/>
      <c r="B36" s="10" t="s">
        <v>118</v>
      </c>
      <c r="C36" s="21">
        <f>SUM(C37:C48)</f>
        <v>7763.6071368199982</v>
      </c>
      <c r="D36" s="23">
        <f>SUM(D37:D48)</f>
        <v>11000.299845950023</v>
      </c>
      <c r="E36" s="22">
        <f t="shared" si="5"/>
        <v>41.690578259422153</v>
      </c>
      <c r="F36" s="22">
        <f t="shared" si="6"/>
        <v>47.746627671023482</v>
      </c>
      <c r="G36" s="21">
        <f>SUM(G37:G48)</f>
        <v>828.06314406999888</v>
      </c>
      <c r="H36" s="23">
        <f>SUM(H37:H48)</f>
        <v>1139.9265833000015</v>
      </c>
      <c r="I36" s="22">
        <f t="shared" si="7"/>
        <v>37.661794449293808</v>
      </c>
      <c r="J36" s="22">
        <f t="shared" si="8"/>
        <v>43.259974253178562</v>
      </c>
      <c r="K36" s="16"/>
    </row>
    <row r="37" spans="1:11">
      <c r="A37" s="14"/>
      <c r="B37" s="9" t="s">
        <v>99</v>
      </c>
      <c r="C37" s="21">
        <f>+[6]cuode!C23/1000000</f>
        <v>416.26575212999836</v>
      </c>
      <c r="D37" s="23">
        <f>+[6]cuode!F23/1000000</f>
        <v>622.18060136999986</v>
      </c>
      <c r="E37" s="22">
        <f t="shared" si="0"/>
        <v>49.467160866910561</v>
      </c>
      <c r="F37" s="22">
        <f t="shared" si="1"/>
        <v>2.7005650694770922</v>
      </c>
      <c r="G37" s="21">
        <f>+[6]cuode!D23/1000000</f>
        <v>38.118922169999998</v>
      </c>
      <c r="H37" s="23">
        <f>+[6]cuode!G23/1000000</f>
        <v>64.574049420000264</v>
      </c>
      <c r="I37" s="22">
        <f t="shared" si="3"/>
        <v>69.401561597197343</v>
      </c>
      <c r="J37" s="22">
        <f t="shared" si="4"/>
        <v>2.4505716036955656</v>
      </c>
      <c r="K37" s="16"/>
    </row>
    <row r="38" spans="1:11">
      <c r="A38" s="14"/>
      <c r="B38" s="9" t="s">
        <v>100</v>
      </c>
      <c r="C38" s="21">
        <f>+[6]cuode!C24/1000000</f>
        <v>17.623688960000013</v>
      </c>
      <c r="D38" s="23">
        <f>+[6]cuode!F24/1000000</f>
        <v>26.026652839999993</v>
      </c>
      <c r="E38" s="22">
        <f t="shared" si="0"/>
        <v>47.679937492496308</v>
      </c>
      <c r="F38" s="22">
        <f t="shared" si="1"/>
        <v>0.11296827541769096</v>
      </c>
      <c r="G38" s="21">
        <f>+[6]cuode!D24/1000000</f>
        <v>3.3483258</v>
      </c>
      <c r="H38" s="23">
        <f>+[6]cuode!G24/1000000</f>
        <v>3.0718970500000009</v>
      </c>
      <c r="I38" s="22">
        <f t="shared" si="3"/>
        <v>-8.2557303712798564</v>
      </c>
      <c r="J38" s="22">
        <f t="shared" si="4"/>
        <v>0.1165778474142678</v>
      </c>
      <c r="K38" s="16"/>
    </row>
    <row r="39" spans="1:11">
      <c r="A39" s="14"/>
      <c r="B39" s="9" t="s">
        <v>119</v>
      </c>
      <c r="C39" s="21">
        <f>+[6]cuode!C25/1000000</f>
        <v>1.7874929899999998</v>
      </c>
      <c r="D39" s="23">
        <f>+[6]cuode!F25/1000000</f>
        <v>2.8632436000000023</v>
      </c>
      <c r="E39" s="22">
        <f t="shared" si="0"/>
        <v>60.182088322483573</v>
      </c>
      <c r="F39" s="22">
        <f t="shared" si="1"/>
        <v>1.2427863605097417E-2</v>
      </c>
      <c r="G39" s="21">
        <f>+[6]cuode!D25/1000000</f>
        <v>0.26162577999999997</v>
      </c>
      <c r="H39" s="23">
        <f>+[6]cuode!G25/1000000</f>
        <v>0.29111369000000004</v>
      </c>
      <c r="I39" s="22">
        <f t="shared" si="3"/>
        <v>11.271026119826599</v>
      </c>
      <c r="J39" s="22">
        <f t="shared" si="4"/>
        <v>1.1047703350938944E-2</v>
      </c>
      <c r="K39" s="16"/>
    </row>
    <row r="40" spans="1:11">
      <c r="A40" s="14"/>
      <c r="B40" s="9" t="s">
        <v>120</v>
      </c>
      <c r="C40" s="21">
        <f>+[6]cuode!C26/1000000</f>
        <v>21.568770369999992</v>
      </c>
      <c r="D40" s="23">
        <f>+[6]cuode!F26/1000000</f>
        <v>39.496595789999972</v>
      </c>
      <c r="E40" s="22">
        <f t="shared" si="0"/>
        <v>83.119367087035229</v>
      </c>
      <c r="F40" s="22">
        <f t="shared" si="1"/>
        <v>0.17143434996022835</v>
      </c>
      <c r="G40" s="21">
        <f>+[6]cuode!D26/1000000</f>
        <v>3.2728593999999993</v>
      </c>
      <c r="H40" s="23">
        <f>+[6]cuode!G26/1000000</f>
        <v>4.9321264499999993</v>
      </c>
      <c r="I40" s="22">
        <f t="shared" si="3"/>
        <v>50.697779745747717</v>
      </c>
      <c r="J40" s="22">
        <f t="shared" si="4"/>
        <v>0.18717316217220695</v>
      </c>
      <c r="K40" s="16"/>
    </row>
    <row r="41" spans="1:11">
      <c r="A41" s="14"/>
      <c r="B41" s="9" t="s">
        <v>121</v>
      </c>
      <c r="C41" s="21">
        <f>+[6]cuode!C27/1000000</f>
        <v>1520.315067990007</v>
      </c>
      <c r="D41" s="23">
        <f>+[6]cuode!F27/1000000</f>
        <v>1690.7586373299957</v>
      </c>
      <c r="E41" s="22">
        <f t="shared" si="0"/>
        <v>11.211068871752383</v>
      </c>
      <c r="F41" s="22">
        <f t="shared" si="1"/>
        <v>7.3387111504859517</v>
      </c>
      <c r="G41" s="21">
        <f>+[6]cuode!D27/1000000</f>
        <v>146.60859667999989</v>
      </c>
      <c r="H41" s="23">
        <f>+[6]cuode!G27/1000000</f>
        <v>166.88901776999978</v>
      </c>
      <c r="I41" s="22">
        <f t="shared" si="3"/>
        <v>13.833036772233509</v>
      </c>
      <c r="J41" s="22">
        <f t="shared" si="4"/>
        <v>6.3334031486205102</v>
      </c>
      <c r="K41" s="16"/>
    </row>
    <row r="42" spans="1:11">
      <c r="A42" s="14"/>
      <c r="B42" s="9" t="s">
        <v>101</v>
      </c>
      <c r="C42" s="21">
        <f>+[6]cuode!C28/1000000</f>
        <v>97.206756580000302</v>
      </c>
      <c r="D42" s="23">
        <f>+[6]cuode!F28/1000000</f>
        <v>123.03222622000025</v>
      </c>
      <c r="E42" s="22">
        <f t="shared" si="0"/>
        <v>26.567566441480661</v>
      </c>
      <c r="F42" s="22">
        <f t="shared" si="1"/>
        <v>0.53401943393627149</v>
      </c>
      <c r="G42" s="21">
        <f>+[6]cuode!D28/1000000</f>
        <v>8.9588923999999839</v>
      </c>
      <c r="H42" s="23">
        <f>+[6]cuode!G28/1000000</f>
        <v>12.030379169999994</v>
      </c>
      <c r="I42" s="22">
        <f t="shared" si="3"/>
        <v>34.284224353448153</v>
      </c>
      <c r="J42" s="22">
        <f t="shared" si="4"/>
        <v>0.45655036102725011</v>
      </c>
      <c r="K42" s="16"/>
    </row>
    <row r="43" spans="1:11">
      <c r="A43" s="14"/>
      <c r="B43" s="9" t="s">
        <v>122</v>
      </c>
      <c r="C43" s="21">
        <f>+[6]cuode!C29/1000000</f>
        <v>278.36477593999939</v>
      </c>
      <c r="D43" s="23">
        <f>+[6]cuode!F29/1000000</f>
        <v>324.80853542999921</v>
      </c>
      <c r="E43" s="22">
        <f t="shared" si="0"/>
        <v>16.684495850154057</v>
      </c>
      <c r="F43" s="22">
        <f t="shared" si="1"/>
        <v>1.4098263158941413</v>
      </c>
      <c r="G43" s="21">
        <f>+[6]cuode!D29/1000000</f>
        <v>30.919357620000071</v>
      </c>
      <c r="H43" s="23">
        <f>+[6]cuode!G29/1000000</f>
        <v>30.777432189999942</v>
      </c>
      <c r="I43" s="22">
        <f t="shared" si="3"/>
        <v>-0.45901804217408637</v>
      </c>
      <c r="J43" s="22">
        <f t="shared" si="4"/>
        <v>1.1679970829910418</v>
      </c>
      <c r="K43" s="16"/>
    </row>
    <row r="44" spans="1:11">
      <c r="A44" s="14"/>
      <c r="B44" s="9" t="s">
        <v>102</v>
      </c>
      <c r="C44" s="21">
        <f>+[6]cuode!C30/1000000</f>
        <v>1162.2726417300003</v>
      </c>
      <c r="D44" s="23">
        <f>+[6]cuode!F30/1000000</f>
        <v>1792.1168359400019</v>
      </c>
      <c r="E44" s="22">
        <f t="shared" si="0"/>
        <v>54.190744202023168</v>
      </c>
      <c r="F44" s="22">
        <f t="shared" si="1"/>
        <v>7.7786548100416848</v>
      </c>
      <c r="G44" s="21">
        <f>+[6]cuode!D30/1000000</f>
        <v>147.34749587999954</v>
      </c>
      <c r="H44" s="23">
        <f>+[6]cuode!G30/1000000</f>
        <v>208.20928705000026</v>
      </c>
      <c r="I44" s="22">
        <f t="shared" si="3"/>
        <v>41.304937560368749</v>
      </c>
      <c r="J44" s="22">
        <f t="shared" si="4"/>
        <v>7.9014986833456566</v>
      </c>
      <c r="K44" s="16"/>
    </row>
    <row r="45" spans="1:11">
      <c r="A45" s="14"/>
      <c r="B45" s="9" t="s">
        <v>103</v>
      </c>
      <c r="C45" s="21">
        <f>+[6]cuode!C31/1000000</f>
        <v>1414.851509909988</v>
      </c>
      <c r="D45" s="23">
        <f>+[6]cuode!F31/1000000</f>
        <v>1808.9386724300152</v>
      </c>
      <c r="E45" s="22">
        <f t="shared" si="0"/>
        <v>27.853605820804404</v>
      </c>
      <c r="F45" s="22">
        <f t="shared" si="1"/>
        <v>7.8516697255330294</v>
      </c>
      <c r="G45" s="21">
        <f>+[6]cuode!D31/1000000</f>
        <v>158.89736581999949</v>
      </c>
      <c r="H45" s="23">
        <f>+[6]cuode!G31/1000000</f>
        <v>222.60398637000117</v>
      </c>
      <c r="I45" s="22">
        <f t="shared" si="3"/>
        <v>40.092936859739496</v>
      </c>
      <c r="J45" s="22">
        <f t="shared" si="4"/>
        <v>8.4477744971465558</v>
      </c>
      <c r="K45" s="16"/>
    </row>
    <row r="46" spans="1:11">
      <c r="A46" s="14"/>
      <c r="B46" s="9" t="s">
        <v>123</v>
      </c>
      <c r="C46" s="21">
        <f>+[6]cuode!C32/1000000</f>
        <v>767.00775639000619</v>
      </c>
      <c r="D46" s="23">
        <f>+[6]cuode!F32/1000000</f>
        <v>1135.3773226400092</v>
      </c>
      <c r="E46" s="22">
        <f t="shared" si="0"/>
        <v>48.026837170952334</v>
      </c>
      <c r="F46" s="22">
        <f t="shared" si="1"/>
        <v>4.928087329380813</v>
      </c>
      <c r="G46" s="21">
        <f>+[6]cuode!D32/1000000</f>
        <v>73.792197579999922</v>
      </c>
      <c r="H46" s="23">
        <f>+[6]cuode!G32/1000000</f>
        <v>92.916674259999937</v>
      </c>
      <c r="I46" s="22">
        <f t="shared" si="3"/>
        <v>25.916665050213062</v>
      </c>
      <c r="J46" s="22">
        <f t="shared" si="4"/>
        <v>3.5261682594875681</v>
      </c>
      <c r="K46" s="16"/>
    </row>
    <row r="47" spans="1:11">
      <c r="A47" s="14"/>
      <c r="B47" s="9" t="s">
        <v>104</v>
      </c>
      <c r="C47" s="21">
        <f>+[6]cuode!C33/1000000</f>
        <v>2048.3789459699997</v>
      </c>
      <c r="D47" s="23">
        <f>+[6]cuode!F33/1000000</f>
        <v>3410.5657294600023</v>
      </c>
      <c r="E47" s="22">
        <f t="shared" si="0"/>
        <v>66.500721761956299</v>
      </c>
      <c r="F47" s="22">
        <f t="shared" si="1"/>
        <v>14.803506660051017</v>
      </c>
      <c r="G47" s="21">
        <f>+[6]cuode!D33/1000000</f>
        <v>214.49811646000001</v>
      </c>
      <c r="H47" s="23">
        <f>+[6]cuode!G33/1000000</f>
        <v>331.82821710000013</v>
      </c>
      <c r="I47" s="22">
        <f t="shared" si="3"/>
        <v>54.699827940857482</v>
      </c>
      <c r="J47" s="22">
        <f t="shared" si="4"/>
        <v>12.5928110972444</v>
      </c>
      <c r="K47" s="16"/>
    </row>
    <row r="48" spans="1:11">
      <c r="A48" s="14"/>
      <c r="B48" s="9" t="s">
        <v>105</v>
      </c>
      <c r="C48" s="21">
        <f>+[6]cuode!C34/1000000</f>
        <v>17.963977859999968</v>
      </c>
      <c r="D48" s="23">
        <f>+[6]cuode!F34/1000000</f>
        <v>24.134792900000011</v>
      </c>
      <c r="E48" s="22">
        <f t="shared" si="0"/>
        <v>34.351050129829396</v>
      </c>
      <c r="F48" s="22">
        <f t="shared" si="1"/>
        <v>0.10475668724046862</v>
      </c>
      <c r="G48" s="21">
        <f>+[6]cuode!D34/1000000</f>
        <v>2.0393884799999999</v>
      </c>
      <c r="H48" s="23">
        <f>+[6]cuode!G34/1000000</f>
        <v>1.8024027800000011</v>
      </c>
      <c r="I48" s="22">
        <f t="shared" si="3"/>
        <v>-11.620429473054539</v>
      </c>
      <c r="J48" s="22">
        <f t="shared" si="4"/>
        <v>6.8400806682597695E-2</v>
      </c>
      <c r="K48" s="16"/>
    </row>
    <row r="49" spans="1:11">
      <c r="A49" s="14"/>
      <c r="B49" s="10" t="s">
        <v>106</v>
      </c>
      <c r="C49" s="21">
        <f>+[6]cuode!C2/1000000</f>
        <v>28.256903379999986</v>
      </c>
      <c r="D49" s="23">
        <f>+[6]cuode!F2/1000000</f>
        <v>30.37336544999998</v>
      </c>
      <c r="E49" s="22">
        <f t="shared" si="0"/>
        <v>7.4900708033634356</v>
      </c>
      <c r="F49" s="22">
        <f t="shared" si="1"/>
        <v>0.13183511282112975</v>
      </c>
      <c r="G49" s="21">
        <f>+[6]cuode!D2/1000000</f>
        <v>1.6279268100000004</v>
      </c>
      <c r="H49" s="23">
        <f>+[6]cuode!G2/1000000</f>
        <v>1.5933382100000018</v>
      </c>
      <c r="I49" s="22">
        <f t="shared" si="3"/>
        <v>-2.124702399857803</v>
      </c>
      <c r="J49" s="22">
        <f t="shared" si="4"/>
        <v>6.0466850191057908E-2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49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82">
        <v>2007</v>
      </c>
      <c r="D11" s="82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+[14]Historico!C7/1000000</f>
        <v>872.22953600000005</v>
      </c>
      <c r="D13" s="76">
        <f>+[14]Historico!D7/1000000</f>
        <v>991.00436400000001</v>
      </c>
      <c r="E13" s="76">
        <f>+[14]Historico!E7/1000000</f>
        <v>1365.154295</v>
      </c>
      <c r="F13" s="76">
        <f>+[14]Historico!F7/1000000</f>
        <v>1175.533729</v>
      </c>
      <c r="G13" s="77">
        <f>+[14]Historico!G7/1000000</f>
        <v>1580.1497360000001</v>
      </c>
      <c r="H13" s="78">
        <f t="shared" ref="H13:H14" si="0">IF(OR(OR(G13=0,F13=0),G13=""),"",(G13/F13-1)*100)</f>
        <v>34.419770102572713</v>
      </c>
      <c r="I13" s="78">
        <f t="shared" ref="I13:I14" si="1">IF(OR(OR(G13=0,F13=0),G13=""),"",G13/F13*100)</f>
        <v>134.4197701025727</v>
      </c>
      <c r="J13" s="78">
        <f t="shared" ref="J13:J14" si="2">IF(OR(OR(G13=0,F13=0),G13=""),"",(F13/E13-1)*100)</f>
        <v>-13.890046472732232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+[14]Historico!C8/1000000</f>
        <v>976.40298700000005</v>
      </c>
      <c r="D14" s="76">
        <f>+[14]Historico!D8/1000000</f>
        <v>1092.3961220000001</v>
      </c>
      <c r="E14" s="76">
        <f>+[14]Historico!E8/1000000</f>
        <v>1087.848133</v>
      </c>
      <c r="F14" s="76">
        <f>+[14]Historico!F8/1000000</f>
        <v>1168.950225</v>
      </c>
      <c r="G14" s="77">
        <f>+[14]Historico!G8/1000000</f>
        <v>1529.446422</v>
      </c>
      <c r="H14" s="78">
        <f t="shared" si="0"/>
        <v>30.83931114346634</v>
      </c>
      <c r="I14" s="78">
        <f t="shared" si="1"/>
        <v>130.83931114346635</v>
      </c>
      <c r="J14" s="78">
        <f t="shared" si="2"/>
        <v>7.4552770317619421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+[14]Historico!C9/1000000</f>
        <v>1024.479975</v>
      </c>
      <c r="D15" s="76">
        <f>+[14]Historico!D9/1000000</f>
        <v>1042.028836</v>
      </c>
      <c r="E15" s="76">
        <f>+[14]Historico!E9/1000000</f>
        <v>1024.1429430000001</v>
      </c>
      <c r="F15" s="76">
        <f>+[14]Historico!F9/1000000</f>
        <v>1516.204131</v>
      </c>
      <c r="G15" s="77">
        <f>+[14]Historico!G9/1000000</f>
        <v>2119.0864969999998</v>
      </c>
      <c r="H15" s="78">
        <f t="shared" ref="H15" si="4">IF(OR(OR(G15=0,F15=0),G15=""),"",(G15/F15-1)*100)</f>
        <v>39.76261201731284</v>
      </c>
      <c r="I15" s="78">
        <f t="shared" ref="I15" si="5">IF(OR(OR(G15=0,F15=0),G15=""),"",G15/F15*100)</f>
        <v>139.76261201731285</v>
      </c>
      <c r="J15" s="78">
        <f t="shared" ref="J15" si="6">IF(OR(OR(G15=0,F15=0),G15=""),"",(F15/E15-1)*100)</f>
        <v>48.046143496201374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+[14]Historico!C10/1000000</f>
        <v>871.51644799999997</v>
      </c>
      <c r="D16" s="76">
        <f>+[14]Historico!D10/1000000</f>
        <v>1243.6501860000001</v>
      </c>
      <c r="E16" s="76">
        <f>+[14]Historico!E10/1000000</f>
        <v>1164.941495</v>
      </c>
      <c r="F16" s="76">
        <f>+[14]Historico!F10/1000000</f>
        <v>1325.5593839999999</v>
      </c>
      <c r="G16" s="77">
        <f>+[14]Historico!G10/1000000</f>
        <v>2120.4607310000001</v>
      </c>
      <c r="H16" s="78">
        <f t="shared" ref="H16:H17" si="7">IF(OR(OR(G16=0,F16=0),G16=""),"",(G16/F16-1)*100)</f>
        <v>59.967237725805298</v>
      </c>
      <c r="I16" s="78">
        <f t="shared" ref="I16:I17" si="8">IF(OR(OR(G16=0,F16=0),G16=""),"",G16/F16*100)</f>
        <v>159.96723772580529</v>
      </c>
      <c r="J16" s="78">
        <f t="shared" ref="J16:J17" si="9">IF(OR(OR(G16=0,F16=0),G16=""),"",(F16/E16-1)*100)</f>
        <v>13.787635661480135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+[14]Historico!C11/1000000</f>
        <v>1035.2347339999999</v>
      </c>
      <c r="D17" s="76">
        <f>+[14]Historico!D11/1000000</f>
        <v>1167.285476</v>
      </c>
      <c r="E17" s="76">
        <f>+[14]Historico!E11/1000000</f>
        <v>981.42924200000004</v>
      </c>
      <c r="F17" s="76">
        <f>+[14]Historico!F11/1000000</f>
        <v>1399.5099499999999</v>
      </c>
      <c r="G17" s="77">
        <f>+[14]Historico!G11/1000000</f>
        <v>2516.4676840000002</v>
      </c>
      <c r="H17" s="78">
        <f t="shared" si="7"/>
        <v>79.810631857244061</v>
      </c>
      <c r="I17" s="78">
        <f t="shared" si="8"/>
        <v>179.81063185724406</v>
      </c>
      <c r="J17" s="78">
        <f t="shared" si="9"/>
        <v>42.599169670960336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+[14]Historico!C12/1000000</f>
        <v>958.24985800000002</v>
      </c>
      <c r="D18" s="76">
        <f>+[14]Historico!D12/1000000</f>
        <v>1185.917839</v>
      </c>
      <c r="E18" s="76">
        <f>+[14]Historico!E12/1000000</f>
        <v>998.38255700000002</v>
      </c>
      <c r="F18" s="76">
        <f>+[14]Historico!F12/1000000</f>
        <v>1361.9487790000001</v>
      </c>
      <c r="G18" s="77">
        <f>+[14]Historico!G12/1000000</f>
        <v>1860.3278299999999</v>
      </c>
      <c r="H18" s="78">
        <f t="shared" ref="H18" si="10">IF(OR(OR(G18=0,F18=0),G18=""),"",(G18/F18-1)*100)</f>
        <v>36.593083285109351</v>
      </c>
      <c r="I18" s="78">
        <f t="shared" ref="I18" si="11">IF(OR(OR(G18=0,F18=0),G18=""),"",G18/F18*100)</f>
        <v>136.59308328510934</v>
      </c>
      <c r="J18" s="78">
        <f t="shared" ref="J18" si="12">IF(OR(OR(G18=0,F18=0),G18=""),"",(F18/E18-1)*100)</f>
        <v>36.415522231524733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+[14]Historico!C13/1000000</f>
        <v>983.32734300000004</v>
      </c>
      <c r="D19" s="76">
        <f>+[14]Historico!D13/1000000</f>
        <v>1302.7021239999999</v>
      </c>
      <c r="E19" s="76">
        <f>+[14]Historico!E13/1000000</f>
        <v>1374.5496860000001</v>
      </c>
      <c r="F19" s="76">
        <f>+[14]Historico!F13/1000000</f>
        <v>1523.659805</v>
      </c>
      <c r="G19" s="77">
        <f>+[14]Historico!G13/1000000</f>
        <v>1851.208971</v>
      </c>
      <c r="H19" s="78">
        <f t="shared" ref="H19:H20" si="13">IF(OR(OR(G19=0,F19=0),G19=""),"",(G19/F19-1)*100)</f>
        <v>21.497526214521368</v>
      </c>
      <c r="I19" s="78">
        <f t="shared" ref="I19:I20" si="14">IF(OR(OR(G19=0,F19=0),G19=""),"",G19/F19*100)</f>
        <v>121.49752621452137</v>
      </c>
      <c r="J19" s="78">
        <f t="shared" ref="J19:J20" si="15">IF(OR(OR(G19=0,F19=0),G19=""),"",(F19/E19-1)*100)</f>
        <v>10.84792499818008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+[14]Historico!C14/1000000</f>
        <v>1080.3616850000001</v>
      </c>
      <c r="D20" s="76">
        <f>+[14]Historico!D14/1000000</f>
        <v>1129.6226449999999</v>
      </c>
      <c r="E20" s="76">
        <f>+[14]Historico!E14/1000000</f>
        <v>1101.823615</v>
      </c>
      <c r="F20" s="76">
        <f>+[14]Historico!F14/1000000</f>
        <v>1556.1577870000001</v>
      </c>
      <c r="G20" s="77">
        <f>+[14]Historico!G14/1000000</f>
        <v>1951.9415019999999</v>
      </c>
      <c r="H20" s="78">
        <f t="shared" si="13"/>
        <v>25.433392314477409</v>
      </c>
      <c r="I20" s="78">
        <f t="shared" si="14"/>
        <v>125.43339231447742</v>
      </c>
      <c r="J20" s="78">
        <f t="shared" si="15"/>
        <v>41.234746271071707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+[14]Historico!C15/1000000</f>
        <v>1031.7472330000001</v>
      </c>
      <c r="D21" s="76">
        <f>+[14]Historico!D15/1000000</f>
        <v>1228.6423460000001</v>
      </c>
      <c r="E21" s="76">
        <f>+[14]Historico!E15/1000000</f>
        <v>1166.8230370000001</v>
      </c>
      <c r="F21" s="76">
        <f>+[14]Historico!F15/1000000</f>
        <v>1794.200102</v>
      </c>
      <c r="G21" s="77">
        <f>+[14]Historico!G15/1000000</f>
        <v>2456.3724099999999</v>
      </c>
      <c r="H21" s="78">
        <f t="shared" ref="H21:H22" si="16">IF(OR(OR(G21=0,F21=0),G21=""),"",(G21/F21-1)*100)</f>
        <v>36.906268551755986</v>
      </c>
      <c r="I21" s="78">
        <f t="shared" ref="I21:I22" si="17">IF(OR(OR(G21=0,F21=0),G21=""),"",G21/F21*100)</f>
        <v>136.90626855175597</v>
      </c>
      <c r="J21" s="78">
        <f t="shared" ref="J21:J22" si="18">IF(OR(OR(G21=0,F21=0),G21=""),"",(F21/E21-1)*100)</f>
        <v>53.76797038675538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+[14]Historico!C16/1000000</f>
        <v>1183.6649239999999</v>
      </c>
      <c r="D22" s="76">
        <f>+[14]Historico!D16/1000000</f>
        <v>1350.050242</v>
      </c>
      <c r="E22" s="76">
        <f>+[14]Historico!E16/1000000</f>
        <v>1265.998249</v>
      </c>
      <c r="F22" s="76">
        <f>+[14]Historico!F16/1000000</f>
        <v>1619.319872</v>
      </c>
      <c r="G22" s="77">
        <f>+[14]Historico!G16/1000000</f>
        <v>2418.3817899999999</v>
      </c>
      <c r="H22" s="78">
        <f t="shared" si="16"/>
        <v>49.345526589078979</v>
      </c>
      <c r="I22" s="78">
        <f t="shared" si="17"/>
        <v>149.34552658907899</v>
      </c>
      <c r="J22" s="78">
        <f t="shared" si="18"/>
        <v>27.908539627055994</v>
      </c>
      <c r="K22" s="78"/>
      <c r="M22" s="42">
        <f t="shared" si="3"/>
        <v>1</v>
      </c>
    </row>
    <row r="23" spans="1:14">
      <c r="A23" s="64"/>
      <c r="B23" s="75" t="s">
        <v>17</v>
      </c>
      <c r="C23" s="76">
        <f>+[14]Historico!C17/1000000</f>
        <v>1214.7357280000001</v>
      </c>
      <c r="D23" s="76">
        <f>+[14]Historico!D17/1000000</f>
        <v>1414.1865519999999</v>
      </c>
      <c r="E23" s="76">
        <f>+[14]Historico!E17/1000000</f>
        <v>1112.4315549999999</v>
      </c>
      <c r="F23" s="76">
        <f>+[14]Historico!F17/1000000</f>
        <v>1755.104619</v>
      </c>
      <c r="G23" s="73">
        <f>+[14]Historico!G17/1000000</f>
        <v>2635.0607070000001</v>
      </c>
      <c r="H23" s="25">
        <f t="shared" ref="H23" si="19">IF(OR(OR(G23=0,F23=0),G23=""),"",(G23/F23-1)*100)</f>
        <v>50.136959271486027</v>
      </c>
      <c r="I23" s="25">
        <f t="shared" ref="I23" si="20">IF(OR(OR(G23=0,F23=0),G23=""),"",G23/F23*100)</f>
        <v>150.13695927148603</v>
      </c>
      <c r="J23" s="25">
        <f t="shared" ref="J23" si="21">IF(OR(OR(G23=0,F23=0),G23=""),"",(F23/E23-1)*100)</f>
        <v>57.77191963958628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+[14]Historico!C18/1000000</f>
        <v>1108.9725599999999</v>
      </c>
      <c r="D24" s="76">
        <f>+[14]Historico!D18/1000000</f>
        <v>1260.6846559999999</v>
      </c>
      <c r="E24" s="76">
        <f>+[14]Historico!E18/1000000</f>
        <v>1328.639623</v>
      </c>
      <c r="F24" s="76">
        <f>+[14]Historico!F18/1000000</f>
        <v>1889.31556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F25" si="25">SUM(C13:C24)</f>
        <v>12340.923011000001</v>
      </c>
      <c r="D25" s="77">
        <f t="shared" si="25"/>
        <v>14408.171387999997</v>
      </c>
      <c r="E25" s="77">
        <f t="shared" si="25"/>
        <v>13972.164430000001</v>
      </c>
      <c r="F25" s="77">
        <f t="shared" si="25"/>
        <v>18085.463942999999</v>
      </c>
      <c r="G25" s="72">
        <f>SUM(G13:G24)</f>
        <v>23038.904279999999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16.751165007328606</v>
      </c>
      <c r="E26" s="80">
        <f>(E25/D25-1)*100</f>
        <v>-3.0261089090259485</v>
      </c>
      <c r="F26" s="80">
        <f>(F25/E25-1)*100</f>
        <v>29.439243530288152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11231.950451000001</v>
      </c>
      <c r="D28" s="77">
        <f t="shared" si="26"/>
        <v>13147.486731999998</v>
      </c>
      <c r="E28" s="77">
        <f t="shared" si="26"/>
        <v>12643.524807</v>
      </c>
      <c r="F28" s="77">
        <f>SUMPRODUCT(F13:F24,$M$13:$M$24)</f>
        <v>16196.148383</v>
      </c>
      <c r="G28" s="73">
        <f>SUMPRODUCT(G13:G24,$M$13:$M$24)</f>
        <v>23038.904279999999</v>
      </c>
      <c r="H28" s="74">
        <f>IF(OR(OR(G28=0,F28=0),G28=""),"",(G28/F28-1)*100)</f>
        <v>42.249278872885455</v>
      </c>
      <c r="I28" s="31">
        <f>IF(OR(OR(G28=0,F28=0),G28=""),"",G28/F28*100)</f>
        <v>142.24927887288544</v>
      </c>
      <c r="J28" s="31">
        <f>IF(OR(OR(G28=0,F28=0),F28=""),"",(F28/E28-1)*100)</f>
        <v>28.09836363063183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17.054351239854814</v>
      </c>
      <c r="E29" s="80">
        <f t="shared" si="27"/>
        <v>-3.833142677933965</v>
      </c>
      <c r="F29" s="80">
        <f t="shared" si="27"/>
        <v>28.09836363063183</v>
      </c>
      <c r="G29" s="31">
        <f t="shared" si="27"/>
        <v>42.249278872885455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65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+[14]Historico!C32/1000000</f>
        <v>39.32</v>
      </c>
      <c r="D13" s="76">
        <f>+[14]Historico!D32/1000000</f>
        <v>41.336759000000001</v>
      </c>
      <c r="E13" s="76">
        <f>+[14]Historico!E32/1000000</f>
        <v>38.668281999999998</v>
      </c>
      <c r="F13" s="76">
        <f>+[14]Historico!F32/1000000</f>
        <v>43.958782999999997</v>
      </c>
      <c r="G13" s="77">
        <f>+[14]Historico!G32/1000000</f>
        <v>55.337090000000003</v>
      </c>
      <c r="H13" s="78">
        <f t="shared" ref="H13:H14" si="0">IF(OR(OR(G13=0,F13=0),G13=""),"",(G13/F13-1)*100)</f>
        <v>25.884035506624482</v>
      </c>
      <c r="I13" s="78">
        <f t="shared" ref="I13:I14" si="1">IF(OR(OR(G13=0,F13=0),G13=""),"",G13/F13*100)</f>
        <v>125.88403550662449</v>
      </c>
      <c r="J13" s="78">
        <f t="shared" ref="J13:J14" si="2">IF(OR(OR(G13=0,F13=0),G13=""),"",(F13/E13-1)*100)</f>
        <v>13.681758605153437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+[14]Historico!C33/1000000</f>
        <v>35.166769000000002</v>
      </c>
      <c r="D14" s="76">
        <f>+[14]Historico!D33/1000000</f>
        <v>40.057321000000002</v>
      </c>
      <c r="E14" s="76">
        <f>+[14]Historico!E33/1000000</f>
        <v>28.670425000000002</v>
      </c>
      <c r="F14" s="76">
        <f>+[14]Historico!F33/1000000</f>
        <v>47.190815000000001</v>
      </c>
      <c r="G14" s="77">
        <f>+[14]Historico!G33/1000000</f>
        <v>48.115482999999998</v>
      </c>
      <c r="H14" s="78">
        <f t="shared" si="0"/>
        <v>1.9594236717462854</v>
      </c>
      <c r="I14" s="78">
        <f t="shared" si="1"/>
        <v>101.95942367174628</v>
      </c>
      <c r="J14" s="78">
        <f t="shared" si="2"/>
        <v>64.597542589619778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+[14]Historico!C34/1000000</f>
        <v>29.004576</v>
      </c>
      <c r="D15" s="76">
        <f>+[14]Historico!D34/1000000</f>
        <v>26.782727999999999</v>
      </c>
      <c r="E15" s="76">
        <f>+[14]Historico!E34/1000000</f>
        <v>46.714812000000002</v>
      </c>
      <c r="F15" s="76">
        <f>+[14]Historico!F34/1000000</f>
        <v>59.482695</v>
      </c>
      <c r="G15" s="77">
        <f>+[14]Historico!G34/1000000</f>
        <v>52.523978999999997</v>
      </c>
      <c r="H15" s="78">
        <f t="shared" ref="H15" si="4">IF(OR(OR(G15=0,F15=0),G15=""),"",(G15/F15-1)*100)</f>
        <v>-11.698723469069449</v>
      </c>
      <c r="I15" s="78">
        <f t="shared" ref="I15" si="5">IF(OR(OR(G15=0,F15=0),G15=""),"",G15/F15*100)</f>
        <v>88.301276530930551</v>
      </c>
      <c r="J15" s="78">
        <f t="shared" ref="J15" si="6">IF(OR(OR(G15=0,F15=0),G15=""),"",(F15/E15-1)*100)</f>
        <v>27.331551714261405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+[14]Historico!C35/1000000</f>
        <v>30.844958999999999</v>
      </c>
      <c r="D16" s="76">
        <f>+[14]Historico!D35/1000000</f>
        <v>35.672542</v>
      </c>
      <c r="E16" s="76">
        <f>+[14]Historico!E35/1000000</f>
        <v>37.528328999999999</v>
      </c>
      <c r="F16" s="76">
        <f>+[14]Historico!F35/1000000</f>
        <v>67.349545000000006</v>
      </c>
      <c r="G16" s="77">
        <f>+[14]Historico!G35/1000000</f>
        <v>77.568853000000004</v>
      </c>
      <c r="H16" s="78">
        <f t="shared" ref="H16:H17" si="7">IF(OR(OR(G16=0,F16=0),G16=""),"",(G16/F16-1)*100)</f>
        <v>15.173536807115774</v>
      </c>
      <c r="I16" s="78">
        <f t="shared" ref="I16:I17" si="8">IF(OR(OR(G16=0,F16=0),G16=""),"",G16/F16*100)</f>
        <v>115.17353680711577</v>
      </c>
      <c r="J16" s="78">
        <f t="shared" ref="J16:J17" si="9">IF(OR(OR(G16=0,F16=0),G16=""),"",(F16/E16-1)*100)</f>
        <v>79.463212977055292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+[14]Historico!C36/1000000</f>
        <v>29.636234999999999</v>
      </c>
      <c r="D17" s="76">
        <f>+[14]Historico!D36/1000000</f>
        <v>36.490602000000003</v>
      </c>
      <c r="E17" s="76">
        <f>+[14]Historico!E36/1000000</f>
        <v>35.578634999999998</v>
      </c>
      <c r="F17" s="76">
        <f>+[14]Historico!F36/1000000</f>
        <v>44.57329</v>
      </c>
      <c r="G17" s="77">
        <f>+[14]Historico!G36/1000000</f>
        <v>85.809922</v>
      </c>
      <c r="H17" s="78">
        <f t="shared" si="7"/>
        <v>92.514220960579749</v>
      </c>
      <c r="I17" s="78">
        <f t="shared" si="8"/>
        <v>192.51422096057976</v>
      </c>
      <c r="J17" s="78">
        <f t="shared" si="9"/>
        <v>25.281057016380771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+[14]Historico!C37/1000000</f>
        <v>23.305485000000001</v>
      </c>
      <c r="D18" s="76">
        <f>+[14]Historico!D37/1000000</f>
        <v>42.842740999999997</v>
      </c>
      <c r="E18" s="76">
        <f>+[14]Historico!E37/1000000</f>
        <v>43.399467999999999</v>
      </c>
      <c r="F18" s="76">
        <f>+[14]Historico!F37/1000000</f>
        <v>52.674779000000001</v>
      </c>
      <c r="G18" s="77">
        <f>+[14]Historico!G37/1000000</f>
        <v>75.768917000000002</v>
      </c>
      <c r="H18" s="78">
        <f t="shared" ref="H18" si="10">IF(OR(OR(G18=0,F18=0),G18=""),"",(G18/F18-1)*100)</f>
        <v>43.842875923599031</v>
      </c>
      <c r="I18" s="78">
        <f t="shared" ref="I18" si="11">IF(OR(OR(G18=0,F18=0),G18=""),"",G18/F18*100)</f>
        <v>143.84287592359902</v>
      </c>
      <c r="J18" s="78">
        <f t="shared" ref="J18" si="12">IF(OR(OR(G18=0,F18=0),G18=""),"",(F18/E18-1)*100)</f>
        <v>21.37194631049395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+[14]Historico!C38/1000000</f>
        <v>28.465610000000002</v>
      </c>
      <c r="D19" s="76">
        <f>+[14]Historico!D38/1000000</f>
        <v>44.06767</v>
      </c>
      <c r="E19" s="76">
        <f>+[14]Historico!E38/1000000</f>
        <v>50.850552999999998</v>
      </c>
      <c r="F19" s="76">
        <f>+[14]Historico!F38/1000000</f>
        <v>53.804777000000001</v>
      </c>
      <c r="G19" s="77">
        <f>+[14]Historico!G38/1000000</f>
        <v>61.378847999999998</v>
      </c>
      <c r="H19" s="78">
        <f t="shared" ref="H19:H20" si="13">IF(OR(OR(G19=0,F19=0),G19=""),"",(G19/F19-1)*100)</f>
        <v>14.076948966817572</v>
      </c>
      <c r="I19" s="78">
        <f t="shared" ref="I19:I20" si="14">IF(OR(OR(G19=0,F19=0),G19=""),"",G19/F19*100)</f>
        <v>114.07694896681757</v>
      </c>
      <c r="J19" s="78">
        <f t="shared" ref="J19:J20" si="15">IF(OR(OR(G19=0,F19=0),G19=""),"",(F19/E19-1)*100)</f>
        <v>5.8096202021637788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+[14]Historico!C39/1000000</f>
        <v>25.768761000000001</v>
      </c>
      <c r="D20" s="76">
        <f>+[14]Historico!D39/1000000</f>
        <v>54.979469000000002</v>
      </c>
      <c r="E20" s="76">
        <f>+[14]Historico!E39/1000000</f>
        <v>40.015101000000001</v>
      </c>
      <c r="F20" s="76">
        <f>+[14]Historico!F39/1000000</f>
        <v>52.476965999999997</v>
      </c>
      <c r="G20" s="77">
        <f>+[14]Historico!G39/1000000</f>
        <v>65.932362999999995</v>
      </c>
      <c r="H20" s="78">
        <f t="shared" si="13"/>
        <v>25.640577239164308</v>
      </c>
      <c r="I20" s="78">
        <f t="shared" si="14"/>
        <v>125.64057723916432</v>
      </c>
      <c r="J20" s="78">
        <f t="shared" si="15"/>
        <v>31.142905274686171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+[14]Historico!C40/1000000</f>
        <v>24.355042999999998</v>
      </c>
      <c r="D21" s="76">
        <f>+[14]Historico!D40/1000000</f>
        <v>36.165872999999998</v>
      </c>
      <c r="E21" s="76">
        <f>+[14]Historico!E40/1000000</f>
        <v>34.030462</v>
      </c>
      <c r="F21" s="76">
        <f>+[14]Historico!F40/1000000</f>
        <v>59.125891000000003</v>
      </c>
      <c r="G21" s="77">
        <f>+[14]Historico!G40/1000000</f>
        <v>80.113669999999999</v>
      </c>
      <c r="H21" s="78">
        <f t="shared" ref="H21:H22" si="16">IF(OR(OR(G21=0,F21=0),G21=""),"",(G21/F21-1)*100)</f>
        <v>35.496765706245334</v>
      </c>
      <c r="I21" s="78">
        <f t="shared" ref="I21:I22" si="17">IF(OR(OR(G21=0,F21=0),G21=""),"",G21/F21*100)</f>
        <v>135.49676570624533</v>
      </c>
      <c r="J21" s="78">
        <f t="shared" ref="J21:J22" si="18">IF(OR(OR(G21=0,F21=0),G21=""),"",(F21/E21-1)*100)</f>
        <v>73.744014994565759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+[14]Historico!C41/1000000</f>
        <v>40.530788000000001</v>
      </c>
      <c r="D22" s="76">
        <f>+[14]Historico!D41/1000000</f>
        <v>57.182763999999999</v>
      </c>
      <c r="E22" s="76">
        <f>+[14]Historico!E41/1000000</f>
        <v>44.752462000000001</v>
      </c>
      <c r="F22" s="76">
        <f>+[14]Historico!F41/1000000</f>
        <v>41.996589</v>
      </c>
      <c r="G22" s="77">
        <f>+[14]Historico!G41/1000000</f>
        <v>74.314528999999993</v>
      </c>
      <c r="H22" s="78">
        <f t="shared" si="16"/>
        <v>76.953725932360825</v>
      </c>
      <c r="I22" s="78">
        <f t="shared" si="17"/>
        <v>176.95372593236084</v>
      </c>
      <c r="J22" s="78">
        <f t="shared" si="18"/>
        <v>-6.158036623772789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+[14]Historico!C42/1000000</f>
        <v>43.074627</v>
      </c>
      <c r="D23" s="76">
        <f>+[14]Historico!D42/1000000</f>
        <v>73.106142000000006</v>
      </c>
      <c r="E23" s="76">
        <f>+[14]Historico!E42/1000000</f>
        <v>40.384563999999997</v>
      </c>
      <c r="F23" s="76">
        <f>+[14]Historico!F42/1000000</f>
        <v>56.922102000000002</v>
      </c>
      <c r="G23" s="73">
        <f>+[14]Historico!G42/1000000</f>
        <v>83.698132999999999</v>
      </c>
      <c r="H23" s="25">
        <f t="shared" ref="H23" si="19">IF(OR(OR(G23=0,F23=0),G23=""),"",(G23/F23-1)*100)</f>
        <v>47.039779029945159</v>
      </c>
      <c r="I23" s="25">
        <f t="shared" ref="I23" si="20">IF(OR(OR(G23=0,F23=0),G23=""),"",G23/F23*100)</f>
        <v>147.03977902994515</v>
      </c>
      <c r="J23" s="25">
        <f t="shared" ref="J23" si="21">IF(OR(OR(G23=0,F23=0),G23=""),"",(F23/E23-1)*100)</f>
        <v>40.95014619942414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+[14]Historico!C43/1000000</f>
        <v>25.632356999999999</v>
      </c>
      <c r="D24" s="76">
        <f>+[14]Historico!D43/1000000</f>
        <v>39.080975000000002</v>
      </c>
      <c r="E24" s="76">
        <f>+[14]Historico!E43/1000000</f>
        <v>51.826391000000001</v>
      </c>
      <c r="F24" s="76">
        <f>+[14]Historico!F43/1000000</f>
        <v>55.981636000000002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375.10521000000006</v>
      </c>
      <c r="D25" s="77">
        <f t="shared" si="25"/>
        <v>527.76558599999998</v>
      </c>
      <c r="E25" s="77">
        <f t="shared" si="25"/>
        <v>492.41948399999995</v>
      </c>
      <c r="F25" s="77">
        <f t="shared" si="25"/>
        <v>635.537868</v>
      </c>
      <c r="G25" s="72">
        <f t="shared" si="25"/>
        <v>760.56178699999987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40.698015364809216</v>
      </c>
      <c r="E26" s="80">
        <f>(E25/D25-1)*100</f>
        <v>-6.6973108777122921</v>
      </c>
      <c r="F26" s="80">
        <f>(F25/E25-1)*100</f>
        <v>29.064321914605639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349.47285300000004</v>
      </c>
      <c r="D28" s="77">
        <f t="shared" si="26"/>
        <v>488.68461100000002</v>
      </c>
      <c r="E28" s="77">
        <f t="shared" si="26"/>
        <v>440.59309299999995</v>
      </c>
      <c r="F28" s="77">
        <f>SUMPRODUCT(F13:F24,$M$13:$M$24)</f>
        <v>579.55623200000002</v>
      </c>
      <c r="G28" s="73">
        <f>SUMPRODUCT(G13:G24,$M$13:$M$24)</f>
        <v>760.56178699999987</v>
      </c>
      <c r="H28" s="74">
        <f>IF(OR(OR(G28=0,F28=0),G28=""),"",(G28/F28-1)*100)</f>
        <v>31.231750260947912</v>
      </c>
      <c r="I28" s="31">
        <f>IF(OR(OR(G28=0,F28=0),G28=""),"",G28/F28*100)</f>
        <v>131.2317502609479</v>
      </c>
      <c r="J28" s="31">
        <f>IF(OR(OR(G28=0,F28=0),F28=""),"",(F28/E28-1)*100)</f>
        <v>31.540017582617907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39.834784534751819</v>
      </c>
      <c r="E29" s="80">
        <f t="shared" si="27"/>
        <v>-9.8410133893084843</v>
      </c>
      <c r="F29" s="80">
        <f t="shared" si="27"/>
        <v>31.540017582617907</v>
      </c>
      <c r="G29" s="31">
        <f t="shared" si="27"/>
        <v>31.231750260947912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64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+[14]Historico!C57/1000000</f>
        <v>826.62178100000006</v>
      </c>
      <c r="D13" s="76">
        <f>+[14]Historico!D57/1000000</f>
        <v>942.18192099999999</v>
      </c>
      <c r="E13" s="76">
        <f>+[14]Historico!E57/1000000</f>
        <v>1317.7474030000001</v>
      </c>
      <c r="F13" s="76">
        <f>+[14]Historico!F57/1000000</f>
        <v>1124.1917570000001</v>
      </c>
      <c r="G13" s="77">
        <f>+[14]Historico!G57/1000000</f>
        <v>1516.037904</v>
      </c>
      <c r="H13" s="78">
        <f t="shared" ref="H13:H14" si="0">IF(OR(OR(G13=0,F13=0),G13=""),"",(G13/F13-1)*100)</f>
        <v>34.855810368657593</v>
      </c>
      <c r="I13" s="78">
        <f t="shared" ref="I13:I14" si="1">IF(OR(OR(G13=0,F13=0),G13=""),"",G13/F13*100)</f>
        <v>134.85581036865759</v>
      </c>
      <c r="J13" s="78">
        <f t="shared" ref="J13:J14" si="2">IF(OR(OR(G13=0,F13=0),G13=""),"",(F13/E13-1)*100)</f>
        <v>-14.688372411840756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+[14]Historico!C58/1000000</f>
        <v>936.24741800000004</v>
      </c>
      <c r="D14" s="76">
        <f>+[14]Historico!D58/1000000</f>
        <v>1045.468615</v>
      </c>
      <c r="E14" s="76">
        <f>+[14]Historico!E58/1000000</f>
        <v>1052.961249</v>
      </c>
      <c r="F14" s="76">
        <f>+[14]Historico!F58/1000000</f>
        <v>1115.0190809999999</v>
      </c>
      <c r="G14" s="77">
        <f>+[14]Historico!G58/1000000</f>
        <v>1473.34419</v>
      </c>
      <c r="H14" s="78">
        <f t="shared" si="0"/>
        <v>32.136231128765779</v>
      </c>
      <c r="I14" s="78">
        <f t="shared" si="1"/>
        <v>132.13623112876579</v>
      </c>
      <c r="J14" s="78">
        <f t="shared" si="2"/>
        <v>5.8936482286443548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+[14]Historico!C59/1000000</f>
        <v>990.81926799999997</v>
      </c>
      <c r="D15" s="76">
        <f>+[14]Historico!D59/1000000</f>
        <v>1009.817574</v>
      </c>
      <c r="E15" s="76">
        <f>+[14]Historico!E59/1000000</f>
        <v>971.71835799999997</v>
      </c>
      <c r="F15" s="76">
        <f>+[14]Historico!F59/1000000</f>
        <v>1445.81537</v>
      </c>
      <c r="G15" s="77">
        <f>+[14]Historico!G59/1000000</f>
        <v>2056.6662719999999</v>
      </c>
      <c r="H15" s="78">
        <f t="shared" ref="H15" si="4">IF(OR(OR(G15=0,F15=0),G15=""),"",(G15/F15-1)*100)</f>
        <v>42.249578658165717</v>
      </c>
      <c r="I15" s="78">
        <f t="shared" ref="I15" si="5">IF(OR(OR(G15=0,F15=0),G15=""),"",G15/F15*100)</f>
        <v>142.24957865816572</v>
      </c>
      <c r="J15" s="78">
        <f t="shared" ref="J15" si="6">IF(OR(OR(G15=0,F15=0),G15=""),"",(F15/E15-1)*100)</f>
        <v>48.789549780225514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+[14]Historico!C60/1000000</f>
        <v>836.17471699999999</v>
      </c>
      <c r="D16" s="76">
        <f>+[14]Historico!D60/1000000</f>
        <v>1200.638087</v>
      </c>
      <c r="E16" s="76">
        <f>+[14]Historico!E60/1000000</f>
        <v>1122.003913</v>
      </c>
      <c r="F16" s="76">
        <f>+[14]Historico!F60/1000000</f>
        <v>1246.5208700000001</v>
      </c>
      <c r="G16" s="77">
        <f>+[14]Historico!G60/1000000</f>
        <v>2034.620977</v>
      </c>
      <c r="H16" s="78">
        <f t="shared" ref="H16:H17" si="7">IF(OR(OR(G16=0,F16=0),G16=""),"",(G16/F16-1)*100)</f>
        <v>63.223980116754873</v>
      </c>
      <c r="I16" s="78">
        <f t="shared" ref="I16:I17" si="8">IF(OR(OR(G16=0,F16=0),G16=""),"",G16/F16*100)</f>
        <v>163.22398011675489</v>
      </c>
      <c r="J16" s="78">
        <f t="shared" ref="J16:J17" si="9">IF(OR(OR(G16=0,F16=0),G16=""),"",(F16/E16-1)*100)</f>
        <v>11.097729299986847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+[14]Historico!C61/1000000</f>
        <v>1001.227849</v>
      </c>
      <c r="D17" s="76">
        <f>+[14]Historico!D61/1000000</f>
        <v>1125.7587040000001</v>
      </c>
      <c r="E17" s="76">
        <f>+[14]Historico!E61/1000000</f>
        <v>942.35614599999997</v>
      </c>
      <c r="F17" s="76">
        <f>+[14]Historico!F61/1000000</f>
        <v>1345.4347540000001</v>
      </c>
      <c r="G17" s="77">
        <f>+[14]Historico!G61/1000000</f>
        <v>2424.2253970000002</v>
      </c>
      <c r="H17" s="78">
        <f t="shared" si="7"/>
        <v>80.181565088365474</v>
      </c>
      <c r="I17" s="78">
        <f t="shared" si="8"/>
        <v>180.18156508836546</v>
      </c>
      <c r="J17" s="78">
        <f t="shared" si="9"/>
        <v>42.773489588935121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+[14]Historico!C62/1000000</f>
        <v>930.973434</v>
      </c>
      <c r="D18" s="76">
        <f>+[14]Historico!D62/1000000</f>
        <v>1136.810397</v>
      </c>
      <c r="E18" s="76">
        <f>+[14]Historico!E62/1000000</f>
        <v>948.93721000000005</v>
      </c>
      <c r="F18" s="76">
        <f>+[14]Historico!F62/1000000</f>
        <v>1301.4516779999999</v>
      </c>
      <c r="G18" s="77">
        <f>+[14]Historico!G62/1000000</f>
        <v>1779.0319300000001</v>
      </c>
      <c r="H18" s="78">
        <f t="shared" ref="H18" si="10">IF(OR(OR(G18=0,F18=0),G18=""),"",(G18/F18-1)*100)</f>
        <v>36.695964980729798</v>
      </c>
      <c r="I18" s="78">
        <f t="shared" ref="I18" si="11">IF(OR(OR(G18=0,F18=0),G18=""),"",G18/F18*100)</f>
        <v>136.6959649807298</v>
      </c>
      <c r="J18" s="78">
        <f t="shared" ref="J18" si="12">IF(OR(OR(G18=0,F18=0),G18=""),"",(F18/E18-1)*100)</f>
        <v>37.148344936331434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+[14]Historico!C63/1000000</f>
        <v>949.48627699999997</v>
      </c>
      <c r="D19" s="76">
        <f>+[14]Historico!D63/1000000</f>
        <v>1250.215598</v>
      </c>
      <c r="E19" s="76">
        <f>+[14]Historico!E63/1000000</f>
        <v>1316.649748</v>
      </c>
      <c r="F19" s="76">
        <f>+[14]Historico!F63/1000000</f>
        <v>1461.9948939999999</v>
      </c>
      <c r="G19" s="77">
        <f>+[14]Historico!G63/1000000</f>
        <v>1779.370795</v>
      </c>
      <c r="H19" s="78">
        <f t="shared" ref="H19:H20" si="13">IF(OR(OR(G19=0,F19=0),G19=""),"",(G19/F19-1)*100)</f>
        <v>21.708413777811742</v>
      </c>
      <c r="I19" s="78">
        <f t="shared" ref="I19:I20" si="14">IF(OR(OR(G19=0,F19=0),G19=""),"",G19/F19*100)</f>
        <v>121.70841377781174</v>
      </c>
      <c r="J19" s="78">
        <f t="shared" ref="J19:J20" si="15">IF(OR(OR(G19=0,F19=0),G19=""),"",(F19/E19-1)*100)</f>
        <v>11.039013695235212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+[14]Historico!C64/1000000</f>
        <v>1047.989386</v>
      </c>
      <c r="D20" s="76">
        <f>+[14]Historico!D64/1000000</f>
        <v>1065.165013</v>
      </c>
      <c r="E20" s="76">
        <f>+[14]Historico!E64/1000000</f>
        <v>1055.3559270000001</v>
      </c>
      <c r="F20" s="76">
        <f>+[14]Historico!F64/1000000</f>
        <v>1494.208519</v>
      </c>
      <c r="G20" s="77">
        <f>+[14]Historico!G64/1000000</f>
        <v>1875.126387</v>
      </c>
      <c r="H20" s="78">
        <f t="shared" si="13"/>
        <v>25.49295250002519</v>
      </c>
      <c r="I20" s="78">
        <f t="shared" si="14"/>
        <v>125.49295250002518</v>
      </c>
      <c r="J20" s="78">
        <f t="shared" si="15"/>
        <v>41.583373037710714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+[14]Historico!C65/1000000</f>
        <v>999.39867900000002</v>
      </c>
      <c r="D21" s="76">
        <f>+[14]Historico!D65/1000000</f>
        <v>1183.118835</v>
      </c>
      <c r="E21" s="76">
        <f>+[14]Historico!E65/1000000</f>
        <v>1126.720063</v>
      </c>
      <c r="F21" s="76">
        <f>+[14]Historico!F65/1000000</f>
        <v>1727.1406669999999</v>
      </c>
      <c r="G21" s="77">
        <f>+[14]Historico!G65/1000000</f>
        <v>2369.503682</v>
      </c>
      <c r="H21" s="78">
        <f t="shared" ref="H21:H22" si="16">IF(OR(OR(G21=0,F21=0),G21=""),"",(G21/F21-1)*100)</f>
        <v>37.192281281626506</v>
      </c>
      <c r="I21" s="78">
        <f t="shared" ref="I21:I22" si="17">IF(OR(OR(G21=0,F21=0),G21=""),"",G21/F21*100)</f>
        <v>137.19228128162649</v>
      </c>
      <c r="J21" s="78">
        <f t="shared" ref="J21:J22" si="18">IF(OR(OR(G21=0,F21=0),G21=""),"",(F21/E21-1)*100)</f>
        <v>53.289244038250501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+[14]Historico!C66/1000000</f>
        <v>1135.30359</v>
      </c>
      <c r="D22" s="76">
        <f>+[14]Historico!D66/1000000</f>
        <v>1283.3377599999999</v>
      </c>
      <c r="E22" s="76">
        <f>+[14]Historico!E66/1000000</f>
        <v>1215.402979</v>
      </c>
      <c r="F22" s="76">
        <f>+[14]Historico!F66/1000000</f>
        <v>1570.1751300000001</v>
      </c>
      <c r="G22" s="77">
        <f>+[14]Historico!G66/1000000</f>
        <v>2336.6355509999999</v>
      </c>
      <c r="H22" s="78">
        <f t="shared" si="16"/>
        <v>48.813690037238054</v>
      </c>
      <c r="I22" s="78">
        <f t="shared" si="17"/>
        <v>148.81369003723805</v>
      </c>
      <c r="J22" s="78">
        <f t="shared" si="18"/>
        <v>29.189672654241548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+[14]Historico!C67/1000000</f>
        <v>1165.529213</v>
      </c>
      <c r="D23" s="76">
        <f>+[14]Historico!D67/1000000</f>
        <v>1334.8861750000001</v>
      </c>
      <c r="E23" s="76">
        <f>+[14]Historico!E67/1000000</f>
        <v>1064.666753</v>
      </c>
      <c r="F23" s="76">
        <f>+[14]Historico!F67/1000000</f>
        <v>1690.0644990000001</v>
      </c>
      <c r="G23" s="73">
        <f>+[14]Historico!G67/1000000</f>
        <v>2539.7678540000002</v>
      </c>
      <c r="H23" s="25">
        <f t="shared" ref="H23" si="19">IF(OR(OR(G23=0,F23=0),G23=""),"",(G23/F23-1)*100)</f>
        <v>50.276386226843051</v>
      </c>
      <c r="I23" s="25">
        <f t="shared" ref="I23" si="20">IF(OR(OR(G23=0,F23=0),G23=""),"",G23/F23*100)</f>
        <v>150.27638622684304</v>
      </c>
      <c r="J23" s="25">
        <f t="shared" ref="J23" si="21">IF(OR(OR(G23=0,F23=0),G23=""),"",(F23/E23-1)*100)</f>
        <v>58.741173633699461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+[14]Historico!C68/1000000</f>
        <v>1077.1539029999999</v>
      </c>
      <c r="D24" s="76">
        <f>+[14]Historico!D68/1000000</f>
        <v>1215.0699549999999</v>
      </c>
      <c r="E24" s="76">
        <f>+[14]Historico!E68/1000000</f>
        <v>1268.584965</v>
      </c>
      <c r="F24" s="76">
        <f>+[14]Historico!F68/1000000</f>
        <v>1823.5586719999999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11896.925515000001</v>
      </c>
      <c r="D25" s="77">
        <f t="shared" si="25"/>
        <v>13792.468634000001</v>
      </c>
      <c r="E25" s="77">
        <f t="shared" si="25"/>
        <v>13403.104714000001</v>
      </c>
      <c r="F25" s="77">
        <f t="shared" si="25"/>
        <v>17345.575891</v>
      </c>
      <c r="G25" s="72">
        <f t="shared" si="25"/>
        <v>22184.330939000003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15.933050237307466</v>
      </c>
      <c r="E26" s="80">
        <f>(E25/D25-1)*100</f>
        <v>-2.8230183466951941</v>
      </c>
      <c r="F26" s="80">
        <f>(F25/E25-1)*100</f>
        <v>29.414611473429385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10819.771612</v>
      </c>
      <c r="D28" s="77">
        <f t="shared" si="26"/>
        <v>12577.398679</v>
      </c>
      <c r="E28" s="77">
        <f t="shared" si="26"/>
        <v>12134.519749000001</v>
      </c>
      <c r="F28" s="77">
        <f>SUMPRODUCT(F13:F24,$M$13:$M$24)</f>
        <v>15522.017218999999</v>
      </c>
      <c r="G28" s="73">
        <f>SUMPRODUCT(G13:G24,$M$13:$M$24)</f>
        <v>22184.330939000003</v>
      </c>
      <c r="H28" s="74">
        <f>IF(OR(OR(G28=0,F28=0),G28=""),"",(G28/F28-1)*100)</f>
        <v>42.921700356348524</v>
      </c>
      <c r="I28" s="31">
        <f>IF(OR(OR(G28=0,F28=0),G28=""),"",G28/F28*100)</f>
        <v>142.92170035634854</v>
      </c>
      <c r="J28" s="31">
        <f>IF(OR(OR(G28=0,F28=0),F28=""),"",(F28/E28-1)*100)</f>
        <v>27.916205503552447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16.244585653274314</v>
      </c>
      <c r="E29" s="80">
        <f t="shared" si="27"/>
        <v>-3.5212283660806309</v>
      </c>
      <c r="F29" s="80">
        <f t="shared" si="27"/>
        <v>27.916205503552447</v>
      </c>
      <c r="G29" s="31">
        <f t="shared" si="27"/>
        <v>42.921700356348524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66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+[14]Historico!C82/1000000</f>
        <v>101.682573</v>
      </c>
      <c r="D13" s="76">
        <f>+[14]Historico!D82/1000000</f>
        <v>99.665751999999998</v>
      </c>
      <c r="E13" s="76">
        <f>+[14]Historico!E82/1000000</f>
        <v>106.04132199999999</v>
      </c>
      <c r="F13" s="76">
        <f>+[14]Historico!F82/1000000</f>
        <v>102.461524</v>
      </c>
      <c r="G13" s="77">
        <f>+[14]Historico!G82/1000000</f>
        <v>182.613956</v>
      </c>
      <c r="H13" s="78">
        <f t="shared" ref="H13:H14" si="0">IF(OR(OR(G13=0,F13=0),G13=""),"",(G13/F13-1)*100)</f>
        <v>78.2268590890762</v>
      </c>
      <c r="I13" s="78">
        <f t="shared" ref="I13:I14" si="1">IF(OR(OR(G13=0,F13=0),G13=""),"",G13/F13*100)</f>
        <v>178.22685908907621</v>
      </c>
      <c r="J13" s="78">
        <f t="shared" ref="J13:J14" si="2">IF(OR(OR(G13=0,F13=0),G13=""),"",(F13/E13-1)*100)</f>
        <v>-3.3758519155391076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+[14]Historico!C83/1000000</f>
        <v>76.350600999999997</v>
      </c>
      <c r="D14" s="76">
        <f>+[14]Historico!D83/1000000</f>
        <v>95.701430000000002</v>
      </c>
      <c r="E14" s="76">
        <f>+[14]Historico!E83/1000000</f>
        <v>85.321374000000006</v>
      </c>
      <c r="F14" s="76">
        <f>+[14]Historico!F83/1000000</f>
        <v>98.130954000000003</v>
      </c>
      <c r="G14" s="77">
        <f>+[14]Historico!G83/1000000</f>
        <v>143.24853400000001</v>
      </c>
      <c r="H14" s="78">
        <f t="shared" si="0"/>
        <v>45.976909589608184</v>
      </c>
      <c r="I14" s="78">
        <f t="shared" si="1"/>
        <v>145.97690958960817</v>
      </c>
      <c r="J14" s="78">
        <f t="shared" si="2"/>
        <v>15.013330657333302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+[14]Historico!C84/1000000</f>
        <v>94.874534999999995</v>
      </c>
      <c r="D15" s="76">
        <f>+[14]Historico!D84/1000000</f>
        <v>99.06532</v>
      </c>
      <c r="E15" s="76">
        <f>+[14]Historico!E84/1000000</f>
        <v>101.777687</v>
      </c>
      <c r="F15" s="76">
        <f>+[14]Historico!F84/1000000</f>
        <v>137.34686500000001</v>
      </c>
      <c r="G15" s="77">
        <f>+[14]Historico!G84/1000000</f>
        <v>177.82723999999999</v>
      </c>
      <c r="H15" s="78">
        <f t="shared" ref="H15" si="4">IF(OR(OR(G15=0,F15=0),G15=""),"",(G15/F15-1)*100)</f>
        <v>29.473097183543274</v>
      </c>
      <c r="I15" s="78">
        <f t="shared" ref="I15" si="5">IF(OR(OR(G15=0,F15=0),G15=""),"",G15/F15*100)</f>
        <v>129.47309718354327</v>
      </c>
      <c r="J15" s="78">
        <f t="shared" ref="J15" si="6">IF(OR(OR(G15=0,F15=0),G15=""),"",(F15/E15-1)*100)</f>
        <v>34.947913485202321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+[14]Historico!C85/1000000</f>
        <v>87.989884000000004</v>
      </c>
      <c r="D16" s="76">
        <f>+[14]Historico!D85/1000000</f>
        <v>112.880763</v>
      </c>
      <c r="E16" s="76">
        <f>+[14]Historico!E85/1000000</f>
        <v>91.814465999999996</v>
      </c>
      <c r="F16" s="76">
        <f>+[14]Historico!F85/1000000</f>
        <v>135.42277100000001</v>
      </c>
      <c r="G16" s="77">
        <f>+[14]Historico!G85/1000000</f>
        <v>497.90861899999999</v>
      </c>
      <c r="H16" s="78">
        <f t="shared" ref="H16:H17" si="7">IF(OR(OR(G16=0,F16=0),G16=""),"",(G16/F16-1)*100)</f>
        <v>267.66979092460008</v>
      </c>
      <c r="I16" s="78">
        <f t="shared" ref="I16:I17" si="8">IF(OR(OR(G16=0,F16=0),G16=""),"",G16/F16*100)</f>
        <v>367.66979092460008</v>
      </c>
      <c r="J16" s="78">
        <f t="shared" ref="J16:J17" si="9">IF(OR(OR(G16=0,F16=0),G16=""),"",(F16/E16-1)*100)</f>
        <v>47.496115699240704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+[14]Historico!C86/1000000</f>
        <v>99.835320999999993</v>
      </c>
      <c r="D17" s="76">
        <f>+[14]Historico!D86/1000000</f>
        <v>110.047045</v>
      </c>
      <c r="E17" s="76">
        <f>+[14]Historico!E86/1000000</f>
        <v>94.888998999999998</v>
      </c>
      <c r="F17" s="76">
        <f>+[14]Historico!F86/1000000</f>
        <v>143.319278</v>
      </c>
      <c r="G17" s="77">
        <f>+[14]Historico!G86/1000000</f>
        <v>435.50117899999998</v>
      </c>
      <c r="H17" s="78">
        <f t="shared" si="7"/>
        <v>203.86782928113826</v>
      </c>
      <c r="I17" s="78">
        <f t="shared" si="8"/>
        <v>303.86782928113826</v>
      </c>
      <c r="J17" s="78">
        <f t="shared" si="9"/>
        <v>51.038876487673775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+[14]Historico!C87/1000000</f>
        <v>96.517591999999993</v>
      </c>
      <c r="D18" s="76">
        <f>+[14]Historico!D87/1000000</f>
        <v>108.97573800000001</v>
      </c>
      <c r="E18" s="76">
        <f>+[14]Historico!E87/1000000</f>
        <v>95.849571999999995</v>
      </c>
      <c r="F18" s="76">
        <f>+[14]Historico!F87/1000000</f>
        <v>143.88329899999999</v>
      </c>
      <c r="G18" s="77">
        <f>+[14]Historico!G87/1000000</f>
        <v>168.29394400000001</v>
      </c>
      <c r="H18" s="78">
        <f t="shared" ref="H18" si="10">IF(OR(OR(G18=0,F18=0),G18=""),"",(G18/F18-1)*100)</f>
        <v>16.965586117121223</v>
      </c>
      <c r="I18" s="78">
        <f t="shared" ref="I18" si="11">IF(OR(OR(G18=0,F18=0),G18=""),"",G18/F18*100)</f>
        <v>116.96558611712122</v>
      </c>
      <c r="J18" s="78">
        <f t="shared" ref="J18" si="12">IF(OR(OR(G18=0,F18=0),G18=""),"",(F18/E18-1)*100)</f>
        <v>50.113658306163323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+[14]Historico!C88/1000000</f>
        <v>92.787088999999995</v>
      </c>
      <c r="D19" s="76">
        <f>+[14]Historico!D88/1000000</f>
        <v>127.65214899999999</v>
      </c>
      <c r="E19" s="76">
        <f>+[14]Historico!E88/1000000</f>
        <v>106.620969</v>
      </c>
      <c r="F19" s="76">
        <f>+[14]Historico!F88/1000000</f>
        <v>150.021198</v>
      </c>
      <c r="G19" s="77">
        <f>+[14]Historico!G88/1000000</f>
        <v>157.68370400000001</v>
      </c>
      <c r="H19" s="78">
        <f t="shared" ref="H19:H20" si="13">IF(OR(OR(G19=0,F19=0),G19=""),"",(G19/F19-1)*100)</f>
        <v>5.107615525107323</v>
      </c>
      <c r="I19" s="78">
        <f t="shared" ref="I19:I20" si="14">IF(OR(OR(G19=0,F19=0),G19=""),"",G19/F19*100)</f>
        <v>105.10761552510732</v>
      </c>
      <c r="J19" s="78">
        <f t="shared" ref="J19:J20" si="15">IF(OR(OR(G19=0,F19=0),G19=""),"",(F19/E19-1)*100)</f>
        <v>40.705153411239394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+[14]Historico!C89/1000000</f>
        <v>91.229917</v>
      </c>
      <c r="D20" s="76">
        <f>+[14]Historico!D89/1000000</f>
        <v>113.311092</v>
      </c>
      <c r="E20" s="76">
        <f>+[14]Historico!E89/1000000</f>
        <v>107.77664900000001</v>
      </c>
      <c r="F20" s="76">
        <f>+[14]Historico!F89/1000000</f>
        <v>166.18883199999999</v>
      </c>
      <c r="G20" s="77">
        <f>+[14]Historico!G89/1000000</f>
        <v>174.044219</v>
      </c>
      <c r="H20" s="78">
        <f t="shared" si="13"/>
        <v>4.726783927333944</v>
      </c>
      <c r="I20" s="78">
        <f t="shared" si="14"/>
        <v>104.72678392733394</v>
      </c>
      <c r="J20" s="78">
        <f t="shared" si="15"/>
        <v>54.197438445131077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+[14]Historico!C90/1000000</f>
        <v>94.827505000000002</v>
      </c>
      <c r="D21" s="76">
        <f>+[14]Historico!D90/1000000</f>
        <v>108.53803000000001</v>
      </c>
      <c r="E21" s="76">
        <f>+[14]Historico!E90/1000000</f>
        <v>106.41778499999999</v>
      </c>
      <c r="F21" s="76">
        <f>+[14]Historico!F90/1000000</f>
        <v>188.45273499999999</v>
      </c>
      <c r="G21" s="77">
        <f>+[14]Historico!G90/1000000</f>
        <v>432.41536300000001</v>
      </c>
      <c r="H21" s="78">
        <f t="shared" ref="H21:H22" si="16">IF(OR(OR(G21=0,F21=0),G21=""),"",(G21/F21-1)*100)</f>
        <v>129.45560487620412</v>
      </c>
      <c r="I21" s="78">
        <f t="shared" ref="I21:I22" si="17">IF(OR(OR(G21=0,F21=0),G21=""),"",G21/F21*100)</f>
        <v>229.45560487620412</v>
      </c>
      <c r="J21" s="78">
        <f t="shared" ref="J21:J22" si="18">IF(OR(OR(G21=0,F21=0),G21=""),"",(F21/E21-1)*100)</f>
        <v>77.087631545798473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+[14]Historico!C91/1000000</f>
        <v>103.274103</v>
      </c>
      <c r="D22" s="76">
        <f>+[14]Historico!D91/1000000</f>
        <v>126.682428</v>
      </c>
      <c r="E22" s="76">
        <f>+[14]Historico!E91/1000000</f>
        <v>113.913602</v>
      </c>
      <c r="F22" s="76">
        <f>+[14]Historico!F91/1000000</f>
        <v>232.461015</v>
      </c>
      <c r="G22" s="77">
        <f>+[14]Historico!G91/1000000</f>
        <v>387.53152</v>
      </c>
      <c r="H22" s="78">
        <f t="shared" si="16"/>
        <v>66.708176852793997</v>
      </c>
      <c r="I22" s="78">
        <f t="shared" si="17"/>
        <v>166.708176852794</v>
      </c>
      <c r="J22" s="78">
        <f t="shared" si="18"/>
        <v>104.06782940636008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+[14]Historico!C92/1000000</f>
        <v>99.293338000000006</v>
      </c>
      <c r="D23" s="76">
        <f>+[14]Historico!D92/1000000</f>
        <v>106.46592099999999</v>
      </c>
      <c r="E23" s="76">
        <f>+[14]Historico!E92/1000000</f>
        <v>117.34535</v>
      </c>
      <c r="F23" s="76">
        <f>+[14]Historico!F92/1000000</f>
        <v>147.21041099999999</v>
      </c>
      <c r="G23" s="73">
        <f>+[14]Historico!G92/1000000</f>
        <v>529.76970500000004</v>
      </c>
      <c r="H23" s="25">
        <f t="shared" ref="H23" si="19">IF(OR(OR(G23=0,F23=0),G23=""),"",(G23/F23-1)*100)</f>
        <v>259.87244475528303</v>
      </c>
      <c r="I23" s="25">
        <f t="shared" ref="I23" si="20">IF(OR(OR(G23=0,F23=0),G23=""),"",G23/F23*100)</f>
        <v>359.87244475528303</v>
      </c>
      <c r="J23" s="25">
        <f t="shared" ref="J23" si="21">IF(OR(OR(G23=0,F23=0),G23=""),"",(F23/E23-1)*100)</f>
        <v>25.45057047424546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+[14]Historico!C93/1000000</f>
        <v>83.60866</v>
      </c>
      <c r="D24" s="76">
        <f>+[14]Historico!D93/1000000</f>
        <v>112.214927</v>
      </c>
      <c r="E24" s="76">
        <f>+[14]Historico!E93/1000000</f>
        <v>121.74467300000001</v>
      </c>
      <c r="F24" s="76">
        <f>+[14]Historico!F93/1000000</f>
        <v>326.09976699999999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1122.2711180000001</v>
      </c>
      <c r="D25" s="77">
        <f t="shared" si="25"/>
        <v>1321.200595</v>
      </c>
      <c r="E25" s="77">
        <f t="shared" si="25"/>
        <v>1249.5124479999997</v>
      </c>
      <c r="F25" s="77">
        <f t="shared" si="25"/>
        <v>1970.9986490000001</v>
      </c>
      <c r="G25" s="72">
        <f t="shared" si="25"/>
        <v>3286.8379829999999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17.725616725708161</v>
      </c>
      <c r="E26" s="80">
        <f>(E25/D25-1)*100</f>
        <v>-5.4259850677708998</v>
      </c>
      <c r="F26" s="80">
        <f>(F25/E25-1)*100</f>
        <v>57.741417634920644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1038.662458</v>
      </c>
      <c r="D28" s="77">
        <f t="shared" si="26"/>
        <v>1208.985668</v>
      </c>
      <c r="E28" s="77">
        <f t="shared" si="26"/>
        <v>1127.7677749999998</v>
      </c>
      <c r="F28" s="77">
        <f>SUMPRODUCT(F13:F24,$M$13:$M$24)</f>
        <v>1644.8988820000002</v>
      </c>
      <c r="G28" s="73">
        <f>SUMPRODUCT(G13:G24,$M$13:$M$24)</f>
        <v>3286.8379829999999</v>
      </c>
      <c r="H28" s="74">
        <f>IF(OR(OR(G28=0,F28=0),G28=""),"",(G28/F28-1)*100)</f>
        <v>99.82006304263507</v>
      </c>
      <c r="I28" s="31">
        <f>IF(OR(OR(G28=0,F28=0),G28=""),"",G28/F28*100)</f>
        <v>199.82006304263507</v>
      </c>
      <c r="J28" s="31">
        <f>IF(OR(OR(G28=0,F28=0),F28=""),"",(F28/E28-1)*100)</f>
        <v>45.854396486900903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16.398321580618823</v>
      </c>
      <c r="E29" s="80">
        <f t="shared" si="27"/>
        <v>-6.7178540779856633</v>
      </c>
      <c r="F29" s="80">
        <f t="shared" si="27"/>
        <v>45.854396486900903</v>
      </c>
      <c r="G29" s="31">
        <f t="shared" si="27"/>
        <v>99.82006304263507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67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+[14]Historico!C107/1000000</f>
        <v>101.404296</v>
      </c>
      <c r="D13" s="76">
        <f>+[14]Historico!D107/1000000</f>
        <v>145.649159</v>
      </c>
      <c r="E13" s="76">
        <f>+[14]Historico!E107/1000000</f>
        <v>185.395669</v>
      </c>
      <c r="F13" s="76">
        <f>+[14]Historico!F107/1000000</f>
        <v>128.12426199999999</v>
      </c>
      <c r="G13" s="77">
        <f>+[14]Historico!G107/1000000</f>
        <v>205.99620999999999</v>
      </c>
      <c r="H13" s="78">
        <f t="shared" ref="H13:H14" si="0">IF(OR(OR(G13=0,F13=0),G13=""),"",(G13/F13-1)*100)</f>
        <v>60.778455840003211</v>
      </c>
      <c r="I13" s="78">
        <f t="shared" ref="I13:I14" si="1">IF(OR(OR(G13=0,F13=0),G13=""),"",G13/F13*100)</f>
        <v>160.7784558400032</v>
      </c>
      <c r="J13" s="78">
        <f t="shared" ref="J13:J14" si="2">IF(OR(OR(G13=0,F13=0),G13=""),"",(F13/E13-1)*100)</f>
        <v>-30.891448170776858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+[14]Historico!C108/1000000</f>
        <v>98.224159</v>
      </c>
      <c r="D14" s="76">
        <f>+[14]Historico!D108/1000000</f>
        <v>124.608467</v>
      </c>
      <c r="E14" s="76">
        <f>+[14]Historico!E108/1000000</f>
        <v>127.712198</v>
      </c>
      <c r="F14" s="76">
        <f>+[14]Historico!F108/1000000</f>
        <v>158.81557100000001</v>
      </c>
      <c r="G14" s="77">
        <f>+[14]Historico!G108/1000000</f>
        <v>212.24603500000001</v>
      </c>
      <c r="H14" s="78">
        <f t="shared" si="0"/>
        <v>33.643089064610663</v>
      </c>
      <c r="I14" s="78">
        <f t="shared" si="1"/>
        <v>133.64308906461068</v>
      </c>
      <c r="J14" s="78">
        <f t="shared" si="2"/>
        <v>24.354269589816326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+[14]Historico!C109/1000000</f>
        <v>110.373496</v>
      </c>
      <c r="D15" s="76">
        <f>+[14]Historico!D109/1000000</f>
        <v>119.28112400000001</v>
      </c>
      <c r="E15" s="76">
        <f>+[14]Historico!E109/1000000</f>
        <v>117.754178</v>
      </c>
      <c r="F15" s="76">
        <f>+[14]Historico!F109/1000000</f>
        <v>189.94590700000001</v>
      </c>
      <c r="G15" s="77">
        <f>+[14]Historico!G109/1000000</f>
        <v>242.00694999999999</v>
      </c>
      <c r="H15" s="78">
        <f t="shared" ref="H15" si="4">IF(OR(OR(G15=0,F15=0),G15=""),"",(G15/F15-1)*100)</f>
        <v>27.408352105212774</v>
      </c>
      <c r="I15" s="78">
        <f t="shared" ref="I15" si="5">IF(OR(OR(G15=0,F15=0),G15=""),"",G15/F15*100)</f>
        <v>127.40835210521277</v>
      </c>
      <c r="J15" s="78">
        <f t="shared" ref="J15" si="6">IF(OR(OR(G15=0,F15=0),G15=""),"",(F15/E15-1)*100)</f>
        <v>61.307148694121082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+[14]Historico!C110/1000000</f>
        <v>108.527657</v>
      </c>
      <c r="D16" s="76">
        <f>+[14]Historico!D110/1000000</f>
        <v>153.41781700000001</v>
      </c>
      <c r="E16" s="76">
        <f>+[14]Historico!E110/1000000</f>
        <v>125.964979</v>
      </c>
      <c r="F16" s="76">
        <f>+[14]Historico!F110/1000000</f>
        <v>160.87774899999999</v>
      </c>
      <c r="G16" s="77">
        <f>+[14]Historico!G110/1000000</f>
        <v>254.92244199999999</v>
      </c>
      <c r="H16" s="78">
        <f t="shared" ref="H16:H17" si="7">IF(OR(OR(G16=0,F16=0),G16=""),"",(G16/F16-1)*100)</f>
        <v>58.457240721338046</v>
      </c>
      <c r="I16" s="78">
        <f t="shared" ref="I16:I17" si="8">IF(OR(OR(G16=0,F16=0),G16=""),"",G16/F16*100)</f>
        <v>158.45724072133805</v>
      </c>
      <c r="J16" s="78">
        <f t="shared" ref="J16:J17" si="9">IF(OR(OR(G16=0,F16=0),G16=""),"",(F16/E16-1)*100)</f>
        <v>27.71625119708867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+[14]Historico!C111/1000000</f>
        <v>123.46078300000001</v>
      </c>
      <c r="D17" s="76">
        <f>+[14]Historico!D111/1000000</f>
        <v>145.39526000000001</v>
      </c>
      <c r="E17" s="76">
        <f>+[14]Historico!E111/1000000</f>
        <v>109.471045</v>
      </c>
      <c r="F17" s="76">
        <f>+[14]Historico!F111/1000000</f>
        <v>158.41636800000001</v>
      </c>
      <c r="G17" s="77">
        <f>+[14]Historico!G111/1000000</f>
        <v>315.22943299999997</v>
      </c>
      <c r="H17" s="78">
        <f t="shared" si="7"/>
        <v>98.987918344397315</v>
      </c>
      <c r="I17" s="78">
        <f t="shared" si="8"/>
        <v>198.98791834439731</v>
      </c>
      <c r="J17" s="78">
        <f t="shared" si="9"/>
        <v>44.710747942526716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+[14]Historico!C112/1000000</f>
        <v>121.987472</v>
      </c>
      <c r="D18" s="76">
        <f>+[14]Historico!D112/1000000</f>
        <v>133.37566100000001</v>
      </c>
      <c r="E18" s="76">
        <f>+[14]Historico!E112/1000000</f>
        <v>122.924665</v>
      </c>
      <c r="F18" s="76">
        <f>+[14]Historico!F112/1000000</f>
        <v>196.42122900000001</v>
      </c>
      <c r="G18" s="77">
        <f>+[14]Historico!G112/1000000</f>
        <v>268.19292100000001</v>
      </c>
      <c r="H18" s="78">
        <f t="shared" ref="H18" si="10">IF(OR(OR(G18=0,F18=0),G18=""),"",(G18/F18-1)*100)</f>
        <v>36.539681767290034</v>
      </c>
      <c r="I18" s="78">
        <f t="shared" ref="I18" si="11">IF(OR(OR(G18=0,F18=0),G18=""),"",G18/F18*100)</f>
        <v>136.53968176729003</v>
      </c>
      <c r="J18" s="78">
        <f t="shared" ref="J18" si="12">IF(OR(OR(G18=0,F18=0),G18=""),"",(F18/E18-1)*100)</f>
        <v>59.789924178357538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+[14]Historico!C113/1000000</f>
        <v>134.38486800000001</v>
      </c>
      <c r="D19" s="76">
        <f>+[14]Historico!D113/1000000</f>
        <v>169.165347</v>
      </c>
      <c r="E19" s="76">
        <f>+[14]Historico!E113/1000000</f>
        <v>142.19920300000001</v>
      </c>
      <c r="F19" s="76">
        <f>+[14]Historico!F113/1000000</f>
        <v>224.740332</v>
      </c>
      <c r="G19" s="77">
        <f>+[14]Historico!G113/1000000</f>
        <v>280.18350500000003</v>
      </c>
      <c r="H19" s="78">
        <f t="shared" ref="H19:H20" si="13">IF(OR(OR(G19=0,F19=0),G19=""),"",(G19/F19-1)*100)</f>
        <v>24.669881238762258</v>
      </c>
      <c r="I19" s="78">
        <f t="shared" ref="I19:I20" si="14">IF(OR(OR(G19=0,F19=0),G19=""),"",G19/F19*100)</f>
        <v>124.66988123876226</v>
      </c>
      <c r="J19" s="78">
        <f t="shared" ref="J19:J20" si="15">IF(OR(OR(G19=0,F19=0),G19=""),"",(F19/E19-1)*100)</f>
        <v>58.046126320412618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+[14]Historico!C114/1000000</f>
        <v>156.48701600000001</v>
      </c>
      <c r="D20" s="76">
        <f>+[14]Historico!D114/1000000</f>
        <v>167.15977799999999</v>
      </c>
      <c r="E20" s="76">
        <f>+[14]Historico!E114/1000000</f>
        <v>136.70020299999999</v>
      </c>
      <c r="F20" s="76">
        <f>+[14]Historico!F114/1000000</f>
        <v>228.66753800000001</v>
      </c>
      <c r="G20" s="77">
        <f>+[14]Historico!G114/1000000</f>
        <v>315.19032199999998</v>
      </c>
      <c r="H20" s="78">
        <f t="shared" si="13"/>
        <v>37.837808005786975</v>
      </c>
      <c r="I20" s="78">
        <f t="shared" si="14"/>
        <v>137.83780800578697</v>
      </c>
      <c r="J20" s="78">
        <f t="shared" si="15"/>
        <v>67.276663078547159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+[14]Historico!C115/1000000</f>
        <v>140.89030399999999</v>
      </c>
      <c r="D21" s="76">
        <f>+[14]Historico!D115/1000000</f>
        <v>171.78890100000001</v>
      </c>
      <c r="E21" s="76">
        <f>+[14]Historico!E115/1000000</f>
        <v>153.86344399999999</v>
      </c>
      <c r="F21" s="76">
        <f>+[14]Historico!F115/1000000</f>
        <v>260.89074599999998</v>
      </c>
      <c r="G21" s="77">
        <f>+[14]Historico!G115/1000000</f>
        <v>311.20364499999999</v>
      </c>
      <c r="H21" s="78">
        <f t="shared" ref="H21:H22" si="16">IF(OR(OR(G21=0,F21=0),G21=""),"",(G21/F21-1)*100)</f>
        <v>19.285045472636277</v>
      </c>
      <c r="I21" s="78">
        <f t="shared" ref="I21:I22" si="17">IF(OR(OR(G21=0,F21=0),G21=""),"",G21/F21*100)</f>
        <v>119.28504547263627</v>
      </c>
      <c r="J21" s="78">
        <f t="shared" ref="J21:J22" si="18">IF(OR(OR(G21=0,F21=0),G21=""),"",(F21/E21-1)*100)</f>
        <v>69.559928737848864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+[14]Historico!C116/1000000</f>
        <v>155.780857</v>
      </c>
      <c r="D22" s="76">
        <f>+[14]Historico!D116/1000000</f>
        <v>193.55686900000001</v>
      </c>
      <c r="E22" s="76">
        <f>+[14]Historico!E116/1000000</f>
        <v>157.76970800000001</v>
      </c>
      <c r="F22" s="76">
        <f>+[14]Historico!F116/1000000</f>
        <v>259.15973000000002</v>
      </c>
      <c r="G22" s="77">
        <f>+[14]Historico!G116/1000000</f>
        <v>339.99044900000001</v>
      </c>
      <c r="H22" s="78">
        <f t="shared" si="16"/>
        <v>31.189536661424967</v>
      </c>
      <c r="I22" s="78">
        <f t="shared" si="17"/>
        <v>131.18953666142497</v>
      </c>
      <c r="J22" s="78">
        <f t="shared" si="18"/>
        <v>64.264568455688604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+[14]Historico!C117/1000000</f>
        <v>170.365208</v>
      </c>
      <c r="D23" s="76">
        <f>+[14]Historico!D117/1000000</f>
        <v>197.89962299999999</v>
      </c>
      <c r="E23" s="76">
        <f>+[14]Historico!E117/1000000</f>
        <v>144.80228600000001</v>
      </c>
      <c r="F23" s="76">
        <f>+[14]Historico!F117/1000000</f>
        <v>255.131992</v>
      </c>
      <c r="G23" s="73">
        <f>+[14]Historico!G117/1000000</f>
        <v>334.43166200000002</v>
      </c>
      <c r="H23" s="25">
        <f t="shared" ref="H23" si="19">IF(OR(OR(G23=0,F23=0),G23=""),"",(G23/F23-1)*100)</f>
        <v>31.081821365624741</v>
      </c>
      <c r="I23" s="25">
        <f t="shared" ref="I23" si="20">IF(OR(OR(G23=0,F23=0),G23=""),"",G23/F23*100)</f>
        <v>131.08182136562473</v>
      </c>
      <c r="J23" s="25">
        <f t="shared" ref="J23" si="21">IF(OR(OR(G23=0,F23=0),G23=""),"",(F23/E23-1)*100)</f>
        <v>76.193345455885947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+[14]Historico!C118/1000000</f>
        <v>137.491218</v>
      </c>
      <c r="D24" s="76">
        <f>+[14]Historico!D118/1000000</f>
        <v>166.16732500000001</v>
      </c>
      <c r="E24" s="76">
        <f>+[14]Historico!E118/1000000</f>
        <v>175.981752</v>
      </c>
      <c r="F24" s="76">
        <f>+[14]Historico!F118/1000000</f>
        <v>236.751499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1559.3773339999998</v>
      </c>
      <c r="D25" s="77">
        <f t="shared" si="25"/>
        <v>1887.4653310000003</v>
      </c>
      <c r="E25" s="77">
        <f t="shared" si="25"/>
        <v>1700.5393300000001</v>
      </c>
      <c r="F25" s="77">
        <f t="shared" si="25"/>
        <v>2457.9429230000001</v>
      </c>
      <c r="G25" s="72">
        <f t="shared" si="25"/>
        <v>3079.593574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21.03967973924652</v>
      </c>
      <c r="E26" s="80">
        <f>(E25/D25-1)*100</f>
        <v>-9.9035461965791267</v>
      </c>
      <c r="F26" s="80">
        <f>(F25/E25-1)*100</f>
        <v>44.539022393560288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1421.8861159999999</v>
      </c>
      <c r="D28" s="77">
        <f t="shared" si="26"/>
        <v>1721.2980060000002</v>
      </c>
      <c r="E28" s="77">
        <f t="shared" si="26"/>
        <v>1524.5575780000001</v>
      </c>
      <c r="F28" s="77">
        <f>SUMPRODUCT(F13:F24,$M$13:$M$24)</f>
        <v>2221.1914240000001</v>
      </c>
      <c r="G28" s="73">
        <f>SUMPRODUCT(G13:G24,$M$13:$M$24)</f>
        <v>3079.593574</v>
      </c>
      <c r="H28" s="74">
        <f>IF(OR(OR(G28=0,F28=0),G28=""),"",(G28/F28-1)*100)</f>
        <v>38.646023063341332</v>
      </c>
      <c r="I28" s="31">
        <f>IF(OR(OR(G28=0,F28=0),G28=""),"",G28/F28*100)</f>
        <v>138.64602306334132</v>
      </c>
      <c r="J28" s="31">
        <f>IF(OR(OR(G28=0,F28=0),F28=""),"",(F28/E28-1)*100)</f>
        <v>45.694164395803469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21.057374893166212</v>
      </c>
      <c r="E29" s="80">
        <f t="shared" si="27"/>
        <v>-11.429771446560311</v>
      </c>
      <c r="F29" s="80">
        <f t="shared" si="27"/>
        <v>45.694164395803469</v>
      </c>
      <c r="G29" s="31">
        <f t="shared" si="27"/>
        <v>38.646023063341332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68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+[14]Historico!C132/1000000</f>
        <v>307.59906000000001</v>
      </c>
      <c r="D13" s="76">
        <f>+[14]Historico!D132/1000000</f>
        <v>307.98700700000001</v>
      </c>
      <c r="E13" s="76">
        <f>+[14]Historico!E132/1000000</f>
        <v>385.681219</v>
      </c>
      <c r="F13" s="76">
        <f>+[14]Historico!F132/1000000</f>
        <v>332.77755500000001</v>
      </c>
      <c r="G13" s="77">
        <f>+[14]Historico!G132/1000000</f>
        <v>532.64609599999994</v>
      </c>
      <c r="H13" s="78">
        <f t="shared" ref="H13:H14" si="0">IF(OR(OR(G13=0,F13=0),G13=""),"",(G13/F13-1)*100)</f>
        <v>60.060703613258994</v>
      </c>
      <c r="I13" s="78">
        <f t="shared" ref="I13:I14" si="1">IF(OR(OR(G13=0,F13=0),G13=""),"",G13/F13*100)</f>
        <v>160.06070361325899</v>
      </c>
      <c r="J13" s="78">
        <f t="shared" ref="J13:J14" si="2">IF(OR(OR(G13=0,F13=0),G13=""),"",(F13/E13-1)*100)</f>
        <v>-13.716940673743306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+[14]Historico!C133/1000000</f>
        <v>325.99550499999998</v>
      </c>
      <c r="D14" s="76">
        <f>+[14]Historico!D133/1000000</f>
        <v>330.33099399999998</v>
      </c>
      <c r="E14" s="76">
        <f>+[14]Historico!E133/1000000</f>
        <v>319.58694500000001</v>
      </c>
      <c r="F14" s="76">
        <f>+[14]Historico!F133/1000000</f>
        <v>352.404042</v>
      </c>
      <c r="G14" s="77">
        <f>+[14]Historico!G133/1000000</f>
        <v>558.45483000000002</v>
      </c>
      <c r="H14" s="78">
        <f t="shared" si="0"/>
        <v>58.470041044534902</v>
      </c>
      <c r="I14" s="78">
        <f t="shared" si="1"/>
        <v>158.4700410445349</v>
      </c>
      <c r="J14" s="78">
        <f t="shared" si="2"/>
        <v>10.268597486045628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+[14]Historico!C134/1000000</f>
        <v>346.51884699999999</v>
      </c>
      <c r="D15" s="76">
        <f>+[14]Historico!D134/1000000</f>
        <v>323.04179799999997</v>
      </c>
      <c r="E15" s="76">
        <f>+[14]Historico!E134/1000000</f>
        <v>313.55358899999999</v>
      </c>
      <c r="F15" s="76">
        <f>+[14]Historico!F134/1000000</f>
        <v>435.92687699999999</v>
      </c>
      <c r="G15" s="77">
        <f>+[14]Historico!G134/1000000</f>
        <v>683.94675299999994</v>
      </c>
      <c r="H15" s="78">
        <f t="shared" ref="H15" si="4">IF(OR(OR(G15=0,F15=0),G15=""),"",(G15/F15-1)*100)</f>
        <v>56.894834681184371</v>
      </c>
      <c r="I15" s="78">
        <f t="shared" ref="I15" si="5">IF(OR(OR(G15=0,F15=0),G15=""),"",G15/F15*100)</f>
        <v>156.89483468118436</v>
      </c>
      <c r="J15" s="78">
        <f t="shared" ref="J15" si="6">IF(OR(OR(G15=0,F15=0),G15=""),"",(F15/E15-1)*100)</f>
        <v>39.027870288545799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+[14]Historico!C135/1000000</f>
        <v>324.44270599999999</v>
      </c>
      <c r="D16" s="76">
        <f>+[14]Historico!D135/1000000</f>
        <v>416.04999400000003</v>
      </c>
      <c r="E16" s="76">
        <f>+[14]Historico!E135/1000000</f>
        <v>304.51503600000001</v>
      </c>
      <c r="F16" s="76">
        <f>+[14]Historico!F135/1000000</f>
        <v>415.83939600000002</v>
      </c>
      <c r="G16" s="77">
        <f>+[14]Historico!G135/1000000</f>
        <v>677.89439200000004</v>
      </c>
      <c r="H16" s="78">
        <f t="shared" ref="H16:H17" si="7">IF(OR(OR(G16=0,F16=0),G16=""),"",(G16/F16-1)*100)</f>
        <v>63.018318735726517</v>
      </c>
      <c r="I16" s="78">
        <f t="shared" ref="I16:I17" si="8">IF(OR(OR(G16=0,F16=0),G16=""),"",G16/F16*100)</f>
        <v>163.01831873572652</v>
      </c>
      <c r="J16" s="78">
        <f t="shared" ref="J16:J17" si="9">IF(OR(OR(G16=0,F16=0),G16=""),"",(F16/E16-1)*100)</f>
        <v>36.557918933106471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+[14]Historico!C136/1000000</f>
        <v>379.47756099999998</v>
      </c>
      <c r="D17" s="76">
        <f>+[14]Historico!D136/1000000</f>
        <v>390.293453</v>
      </c>
      <c r="E17" s="76">
        <f>+[14]Historico!E136/1000000</f>
        <v>272.69647900000001</v>
      </c>
      <c r="F17" s="76">
        <f>+[14]Historico!F136/1000000</f>
        <v>412.747434</v>
      </c>
      <c r="G17" s="77">
        <f>+[14]Historico!G136/1000000</f>
        <v>796.88527599999998</v>
      </c>
      <c r="H17" s="78">
        <f t="shared" si="7"/>
        <v>93.068499124818288</v>
      </c>
      <c r="I17" s="78">
        <f t="shared" si="8"/>
        <v>193.06849912481829</v>
      </c>
      <c r="J17" s="78">
        <f t="shared" si="9"/>
        <v>51.357815661418925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+[14]Historico!C137/1000000</f>
        <v>355.226471</v>
      </c>
      <c r="D18" s="76">
        <f>+[14]Historico!D137/1000000</f>
        <v>386.48637400000001</v>
      </c>
      <c r="E18" s="76">
        <f>+[14]Historico!E137/1000000</f>
        <v>279.702248</v>
      </c>
      <c r="F18" s="76">
        <f>+[14]Historico!F137/1000000</f>
        <v>483.92732699999999</v>
      </c>
      <c r="G18" s="77">
        <f>+[14]Historico!G137/1000000</f>
        <v>630.27117499999997</v>
      </c>
      <c r="H18" s="78">
        <f t="shared" ref="H18" si="10">IF(OR(OR(G18=0,F18=0),G18=""),"",(G18/F18-1)*100)</f>
        <v>30.240872923466867</v>
      </c>
      <c r="I18" s="78">
        <f t="shared" ref="I18" si="11">IF(OR(OR(G18=0,F18=0),G18=""),"",G18/F18*100)</f>
        <v>130.24087292346687</v>
      </c>
      <c r="J18" s="78">
        <f t="shared" ref="J18" si="12">IF(OR(OR(G18=0,F18=0),G18=""),"",(F18/E18-1)*100)</f>
        <v>73.015172548774075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+[14]Historico!C138/1000000</f>
        <v>347.715509</v>
      </c>
      <c r="D19" s="76">
        <f>+[14]Historico!D138/1000000</f>
        <v>442.18141000000003</v>
      </c>
      <c r="E19" s="76">
        <f>+[14]Historico!E138/1000000</f>
        <v>359.357214</v>
      </c>
      <c r="F19" s="76">
        <f>+[14]Historico!F138/1000000</f>
        <v>462.48172699999998</v>
      </c>
      <c r="G19" s="77">
        <f>+[14]Historico!G138/1000000</f>
        <v>648.26758199999995</v>
      </c>
      <c r="H19" s="78">
        <f t="shared" ref="H19:H20" si="13">IF(OR(OR(G19=0,F19=0),G19=""),"",(G19/F19-1)*100)</f>
        <v>40.171501738056769</v>
      </c>
      <c r="I19" s="78">
        <f t="shared" ref="I19:I20" si="14">IF(OR(OR(G19=0,F19=0),G19=""),"",G19/F19*100)</f>
        <v>140.17150173805678</v>
      </c>
      <c r="J19" s="78">
        <f t="shared" ref="J19:J20" si="15">IF(OR(OR(G19=0,F19=0),G19=""),"",(F19/E19-1)*100)</f>
        <v>28.696936914699034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+[14]Historico!C139/1000000</f>
        <v>387.50020699999999</v>
      </c>
      <c r="D20" s="76">
        <f>+[14]Historico!D139/1000000</f>
        <v>374.71753000000001</v>
      </c>
      <c r="E20" s="76">
        <f>+[14]Historico!E139/1000000</f>
        <v>293.92118099999999</v>
      </c>
      <c r="F20" s="76">
        <f>+[14]Historico!F139/1000000</f>
        <v>469.91059799999999</v>
      </c>
      <c r="G20" s="77">
        <f>+[14]Historico!G139/1000000</f>
        <v>719.83612900000003</v>
      </c>
      <c r="H20" s="78">
        <f t="shared" si="13"/>
        <v>53.185761730787796</v>
      </c>
      <c r="I20" s="78">
        <f t="shared" si="14"/>
        <v>153.18576173078779</v>
      </c>
      <c r="J20" s="78">
        <f t="shared" si="15"/>
        <v>59.876398291962495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+[14]Historico!C140/1000000</f>
        <v>351.28432800000002</v>
      </c>
      <c r="D21" s="76">
        <f>+[14]Historico!D140/1000000</f>
        <v>355.21200399999998</v>
      </c>
      <c r="E21" s="76">
        <f>+[14]Historico!E140/1000000</f>
        <v>337.85008599999998</v>
      </c>
      <c r="F21" s="76">
        <f>+[14]Historico!F140/1000000</f>
        <v>513.445965</v>
      </c>
      <c r="G21" s="77">
        <f>+[14]Historico!G140/1000000</f>
        <v>824.58063100000004</v>
      </c>
      <c r="H21" s="78">
        <f t="shared" ref="H21:H22" si="16">IF(OR(OR(G21=0,F21=0),G21=""),"",(G21/F21-1)*100)</f>
        <v>60.597353413810559</v>
      </c>
      <c r="I21" s="78">
        <f t="shared" ref="I21:I22" si="17">IF(OR(OR(G21=0,F21=0),G21=""),"",G21/F21*100)</f>
        <v>160.59735341381057</v>
      </c>
      <c r="J21" s="78">
        <f t="shared" ref="J21:J22" si="18">IF(OR(OR(G21=0,F21=0),G21=""),"",(F21/E21-1)*100)</f>
        <v>51.974495871520965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+[14]Historico!C141/1000000</f>
        <v>385.228635</v>
      </c>
      <c r="D22" s="76">
        <f>+[14]Historico!D141/1000000</f>
        <v>440.98461800000001</v>
      </c>
      <c r="E22" s="76">
        <f>+[14]Historico!E141/1000000</f>
        <v>381.15593799999999</v>
      </c>
      <c r="F22" s="76">
        <f>+[14]Historico!F141/1000000</f>
        <v>621.18192199999999</v>
      </c>
      <c r="G22" s="77">
        <f>+[14]Historico!G141/1000000</f>
        <v>762.930385</v>
      </c>
      <c r="H22" s="78">
        <f t="shared" si="16"/>
        <v>22.819154579324664</v>
      </c>
      <c r="I22" s="78">
        <f t="shared" si="17"/>
        <v>122.81915457932466</v>
      </c>
      <c r="J22" s="78">
        <f t="shared" si="18"/>
        <v>62.973171888509327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+[14]Historico!C142/1000000</f>
        <v>362.24316900000002</v>
      </c>
      <c r="D23" s="76">
        <f>+[14]Historico!D142/1000000</f>
        <v>407.744191</v>
      </c>
      <c r="E23" s="76">
        <f>+[14]Historico!E142/1000000</f>
        <v>341.72087299999998</v>
      </c>
      <c r="F23" s="76">
        <f>+[14]Historico!F142/1000000</f>
        <v>597.66459099999997</v>
      </c>
      <c r="G23" s="73">
        <f>+[14]Historico!G142/1000000</f>
        <v>880.65103799999997</v>
      </c>
      <c r="H23" s="25">
        <f t="shared" ref="H23" si="19">IF(OR(OR(G23=0,F23=0),G23=""),"",(G23/F23-1)*100)</f>
        <v>47.348705488225917</v>
      </c>
      <c r="I23" s="25">
        <f t="shared" ref="I23" si="20">IF(OR(OR(G23=0,F23=0),G23=""),"",G23/F23*100)</f>
        <v>147.3487054882259</v>
      </c>
      <c r="J23" s="25">
        <f t="shared" ref="J23" si="21">IF(OR(OR(G23=0,F23=0),G23=""),"",(F23/E23-1)*100)</f>
        <v>74.898473644014146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+[14]Historico!C143/1000000</f>
        <v>352.93253499999997</v>
      </c>
      <c r="D24" s="76">
        <f>+[14]Historico!D143/1000000</f>
        <v>372.72175399999998</v>
      </c>
      <c r="E24" s="76">
        <f>+[14]Historico!E143/1000000</f>
        <v>393.34359000000001</v>
      </c>
      <c r="F24" s="76">
        <f>+[14]Historico!F143/1000000</f>
        <v>698.98407199999997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4226.1645330000001</v>
      </c>
      <c r="D25" s="77">
        <f t="shared" si="25"/>
        <v>4547.7511270000005</v>
      </c>
      <c r="E25" s="77">
        <f t="shared" si="25"/>
        <v>3983.0843979999995</v>
      </c>
      <c r="F25" s="77">
        <f t="shared" si="25"/>
        <v>5797.2915059999996</v>
      </c>
      <c r="G25" s="72">
        <f t="shared" si="25"/>
        <v>7716.3642869999994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7.6094196401699898</v>
      </c>
      <c r="E26" s="80">
        <f>(E25/D25-1)*100</f>
        <v>-12.416394680165643</v>
      </c>
      <c r="F26" s="80">
        <f>(F25/E25-1)*100</f>
        <v>45.547794792170507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3873.2319979999997</v>
      </c>
      <c r="D28" s="77">
        <f t="shared" si="26"/>
        <v>4175.0293730000003</v>
      </c>
      <c r="E28" s="77">
        <f t="shared" si="26"/>
        <v>3589.7408079999996</v>
      </c>
      <c r="F28" s="77">
        <f>SUMPRODUCT(F13:F24,$M$13:$M$24)</f>
        <v>5098.3074339999994</v>
      </c>
      <c r="G28" s="73">
        <f>SUMPRODUCT(G13:G24,$M$13:$M$24)</f>
        <v>7716.3642869999994</v>
      </c>
      <c r="H28" s="74">
        <f>IF(OR(OR(G28=0,F28=0),G28=""),"",(G28/F28-1)*100)</f>
        <v>51.351490409159986</v>
      </c>
      <c r="I28" s="31">
        <f>IF(OR(OR(G28=0,F28=0),G28=""),"",G28/F28*100)</f>
        <v>151.35149040915999</v>
      </c>
      <c r="J28" s="31">
        <f>IF(OR(OR(G28=0,F28=0),F28=""),"",(F28/E28-1)*100)</f>
        <v>42.024388575299064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7.7918744644224214</v>
      </c>
      <c r="E29" s="80">
        <f t="shared" si="27"/>
        <v>-14.018789155953581</v>
      </c>
      <c r="F29" s="80">
        <f t="shared" si="27"/>
        <v>42.024388575299064</v>
      </c>
      <c r="G29" s="31">
        <f t="shared" si="27"/>
        <v>51.351490409159986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+[14]Historico!C157/1000000</f>
        <v>315.93585200000001</v>
      </c>
      <c r="D13" s="76">
        <f>+[14]Historico!D157/1000000</f>
        <v>388.88000299999999</v>
      </c>
      <c r="E13" s="76">
        <f>+[14]Historico!E157/1000000</f>
        <v>640.62919299999999</v>
      </c>
      <c r="F13" s="76">
        <f>+[14]Historico!F157/1000000</f>
        <v>560.82841499999995</v>
      </c>
      <c r="G13" s="77">
        <f>+[14]Historico!G157/1000000</f>
        <v>594.78164200000003</v>
      </c>
      <c r="H13" s="78">
        <f t="shared" ref="H13:H14" si="0">IF(OR(OR(G13=0,F13=0),G13=""),"",(G13/F13-1)*100)</f>
        <v>6.0541203141428079</v>
      </c>
      <c r="I13" s="78">
        <f t="shared" ref="I13:I14" si="1">IF(OR(OR(G13=0,F13=0),G13=""),"",G13/F13*100)</f>
        <v>106.05412031414281</v>
      </c>
      <c r="J13" s="78">
        <f t="shared" ref="J13:J14" si="2">IF(OR(OR(G13=0,F13=0),G13=""),"",(F13/E13-1)*100)</f>
        <v>-12.456625279016908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+[14]Historico!C158/1000000</f>
        <v>435.67715199999998</v>
      </c>
      <c r="D14" s="76">
        <f>+[14]Historico!D158/1000000</f>
        <v>494.82772399999999</v>
      </c>
      <c r="E14" s="76">
        <f>+[14]Historico!E158/1000000</f>
        <v>520.340732</v>
      </c>
      <c r="F14" s="76">
        <f>+[14]Historico!F158/1000000</f>
        <v>505.66851400000002</v>
      </c>
      <c r="G14" s="77">
        <f>+[14]Historico!G158/1000000</f>
        <v>559.39479200000005</v>
      </c>
      <c r="H14" s="78">
        <f t="shared" si="0"/>
        <v>10.624801923103334</v>
      </c>
      <c r="I14" s="78">
        <f t="shared" si="1"/>
        <v>110.62480192310333</v>
      </c>
      <c r="J14" s="78">
        <f t="shared" si="2"/>
        <v>-2.8197327438898245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+[14]Historico!C159/1000000</f>
        <v>439.05239</v>
      </c>
      <c r="D15" s="76">
        <f>+[14]Historico!D159/1000000</f>
        <v>468.42933099999999</v>
      </c>
      <c r="E15" s="76">
        <f>+[14]Historico!E159/1000000</f>
        <v>438.632904</v>
      </c>
      <c r="F15" s="76">
        <f>+[14]Historico!F159/1000000</f>
        <v>682.59572100000003</v>
      </c>
      <c r="G15" s="77">
        <f>+[14]Historico!G159/1000000</f>
        <v>952.88532899999996</v>
      </c>
      <c r="H15" s="78">
        <f t="shared" ref="H15" si="4">IF(OR(OR(G15=0,F15=0),G15=""),"",(G15/F15-1)*100)</f>
        <v>39.597319421227354</v>
      </c>
      <c r="I15" s="78">
        <f t="shared" ref="I15" si="5">IF(OR(OR(G15=0,F15=0),G15=""),"",G15/F15*100)</f>
        <v>139.59731942122735</v>
      </c>
      <c r="J15" s="78">
        <f t="shared" ref="J15" si="6">IF(OR(OR(G15=0,F15=0),G15=""),"",(F15/E15-1)*100)</f>
        <v>55.618904732235961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+[14]Historico!C160/1000000</f>
        <v>315.21446900000001</v>
      </c>
      <c r="D16" s="76">
        <f>+[14]Historico!D160/1000000</f>
        <v>518.28951300000006</v>
      </c>
      <c r="E16" s="76">
        <f>+[14]Historico!E160/1000000</f>
        <v>599.70943199999999</v>
      </c>
      <c r="F16" s="76">
        <f>+[14]Historico!F160/1000000</f>
        <v>534.38095399999997</v>
      </c>
      <c r="G16" s="77">
        <f>+[14]Historico!G160/1000000</f>
        <v>603.89552400000002</v>
      </c>
      <c r="H16" s="78">
        <f t="shared" ref="H16:H17" si="7">IF(OR(OR(G16=0,F16=0),G16=""),"",(G16/F16-1)*100)</f>
        <v>13.008429563153934</v>
      </c>
      <c r="I16" s="78">
        <f t="shared" ref="I16:I17" si="8">IF(OR(OR(G16=0,F16=0),G16=""),"",G16/F16*100)</f>
        <v>113.00842956315394</v>
      </c>
      <c r="J16" s="78">
        <f t="shared" ref="J16:J17" si="9">IF(OR(OR(G16=0,F16=0),G16=""),"",(F16/E16-1)*100)</f>
        <v>-10.893355100674828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+[14]Historico!C161/1000000</f>
        <v>398.454184</v>
      </c>
      <c r="D17" s="76">
        <f>+[14]Historico!D161/1000000</f>
        <v>480.02294699999999</v>
      </c>
      <c r="E17" s="76">
        <f>+[14]Historico!E161/1000000</f>
        <v>465.299623</v>
      </c>
      <c r="F17" s="76">
        <f>+[14]Historico!F161/1000000</f>
        <v>630.95167500000002</v>
      </c>
      <c r="G17" s="77">
        <f>+[14]Historico!G161/1000000</f>
        <v>876.609509</v>
      </c>
      <c r="H17" s="78">
        <f t="shared" si="7"/>
        <v>38.934492724819215</v>
      </c>
      <c r="I17" s="78">
        <f t="shared" si="8"/>
        <v>138.93449272481922</v>
      </c>
      <c r="J17" s="78">
        <f t="shared" si="9"/>
        <v>35.601157579274471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+[14]Historico!C162/1000000</f>
        <v>357.24189899999999</v>
      </c>
      <c r="D18" s="76">
        <f>+[14]Historico!D162/1000000</f>
        <v>507.972624</v>
      </c>
      <c r="E18" s="76">
        <f>+[14]Historico!E162/1000000</f>
        <v>450.46072500000002</v>
      </c>
      <c r="F18" s="76">
        <f>+[14]Historico!F162/1000000</f>
        <v>477.21982300000002</v>
      </c>
      <c r="G18" s="77">
        <f>+[14]Historico!G162/1000000</f>
        <v>712.27389000000005</v>
      </c>
      <c r="H18" s="78">
        <f t="shared" ref="H18" si="10">IF(OR(OR(G18=0,F18=0),G18=""),"",(G18/F18-1)*100)</f>
        <v>49.254883320301637</v>
      </c>
      <c r="I18" s="78">
        <f t="shared" ref="I18" si="11">IF(OR(OR(G18=0,F18=0),G18=""),"",G18/F18*100)</f>
        <v>149.25488332030164</v>
      </c>
      <c r="J18" s="78">
        <f t="shared" ref="J18" si="12">IF(OR(OR(G18=0,F18=0),G18=""),"",(F18/E18-1)*100)</f>
        <v>5.9403842588052536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+[14]Historico!C163/1000000</f>
        <v>374.59881100000001</v>
      </c>
      <c r="D19" s="76">
        <f>+[14]Historico!D163/1000000</f>
        <v>511.21669300000002</v>
      </c>
      <c r="E19" s="76">
        <f>+[14]Historico!E163/1000000</f>
        <v>708.47236199999998</v>
      </c>
      <c r="F19" s="76">
        <f>+[14]Historico!F163/1000000</f>
        <v>624.75163699999996</v>
      </c>
      <c r="G19" s="77">
        <f>+[14]Historico!G163/1000000</f>
        <v>693.23600399999998</v>
      </c>
      <c r="H19" s="78">
        <f t="shared" ref="H19:H20" si="13">IF(OR(OR(G19=0,F19=0),G19=""),"",(G19/F19-1)*100)</f>
        <v>10.961854750610289</v>
      </c>
      <c r="I19" s="78">
        <f t="shared" ref="I19:I20" si="14">IF(OR(OR(G19=0,F19=0),G19=""),"",G19/F19*100)</f>
        <v>110.96185475061029</v>
      </c>
      <c r="J19" s="78">
        <f t="shared" ref="J19:J20" si="15">IF(OR(OR(G19=0,F19=0),G19=""),"",(F19/E19-1)*100)</f>
        <v>-11.817077064750769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+[14]Historico!C164/1000000</f>
        <v>412.772245</v>
      </c>
      <c r="D20" s="76">
        <f>+[14]Historico!D164/1000000</f>
        <v>409.97661299999999</v>
      </c>
      <c r="E20" s="76">
        <f>+[14]Historico!E164/1000000</f>
        <v>516.95789400000001</v>
      </c>
      <c r="F20" s="76">
        <f>+[14]Historico!F164/1000000</f>
        <v>629.441552</v>
      </c>
      <c r="G20" s="77">
        <f>+[14]Historico!G164/1000000</f>
        <v>666.05571599999996</v>
      </c>
      <c r="H20" s="78">
        <f t="shared" si="13"/>
        <v>5.8169283365010482</v>
      </c>
      <c r="I20" s="78">
        <f t="shared" si="14"/>
        <v>105.81692833650105</v>
      </c>
      <c r="J20" s="78">
        <f t="shared" si="15"/>
        <v>21.75876590831205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+[14]Historico!C165/1000000</f>
        <v>412.39654100000001</v>
      </c>
      <c r="D21" s="76">
        <f>+[14]Historico!D165/1000000</f>
        <v>547.57989999999995</v>
      </c>
      <c r="E21" s="76">
        <f>+[14]Historico!E165/1000000</f>
        <v>528.58874800000001</v>
      </c>
      <c r="F21" s="76">
        <f>+[14]Historico!F165/1000000</f>
        <v>764.35122000000001</v>
      </c>
      <c r="G21" s="77">
        <f>+[14]Historico!G165/1000000</f>
        <v>801.30404299999998</v>
      </c>
      <c r="H21" s="78">
        <f t="shared" ref="H21:H22" si="16">IF(OR(OR(G21=0,F21=0),G21=""),"",(G21/F21-1)*100)</f>
        <v>4.8345344434721937</v>
      </c>
      <c r="I21" s="78">
        <f t="shared" ref="I21:I22" si="17">IF(OR(OR(G21=0,F21=0),G21=""),"",G21/F21*100)</f>
        <v>104.83453444347219</v>
      </c>
      <c r="J21" s="78">
        <f t="shared" ref="J21:J22" si="18">IF(OR(OR(G21=0,F21=0),G21=""),"",(F21/E21-1)*100)</f>
        <v>44.602249459914731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+[14]Historico!C166/1000000</f>
        <v>491.01999499999999</v>
      </c>
      <c r="D22" s="76">
        <f>+[14]Historico!D166/1000000</f>
        <v>522.11384499999997</v>
      </c>
      <c r="E22" s="76">
        <f>+[14]Historico!E166/1000000</f>
        <v>562.56373099999996</v>
      </c>
      <c r="F22" s="76">
        <f>+[14]Historico!F166/1000000</f>
        <v>457.37246299999998</v>
      </c>
      <c r="G22" s="77">
        <f>+[14]Historico!G166/1000000</f>
        <v>846.18319699999995</v>
      </c>
      <c r="H22" s="78">
        <f t="shared" si="16"/>
        <v>85.009650876161302</v>
      </c>
      <c r="I22" s="78">
        <f t="shared" si="17"/>
        <v>185.00965087616129</v>
      </c>
      <c r="J22" s="78">
        <f t="shared" si="18"/>
        <v>-18.698551329111545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+[14]Historico!C167/1000000</f>
        <v>533.62749699999995</v>
      </c>
      <c r="D23" s="76">
        <f>+[14]Historico!D167/1000000</f>
        <v>622.77643899999998</v>
      </c>
      <c r="E23" s="76">
        <f>+[14]Historico!E167/1000000</f>
        <v>460.79824500000001</v>
      </c>
      <c r="F23" s="76">
        <f>+[14]Historico!F167/1000000</f>
        <v>690.05750599999999</v>
      </c>
      <c r="G23" s="73">
        <f>+[14]Historico!G167/1000000</f>
        <v>794.91544899999997</v>
      </c>
      <c r="H23" s="25">
        <f t="shared" ref="H23" si="19">IF(OR(OR(G23=0,F23=0),G23=""),"",(G23/F23-1)*100)</f>
        <v>15.195536906456031</v>
      </c>
      <c r="I23" s="25">
        <f t="shared" ref="I23" si="20">IF(OR(OR(G23=0,F23=0),G23=""),"",G23/F23*100)</f>
        <v>115.19553690645603</v>
      </c>
      <c r="J23" s="25">
        <f t="shared" ref="J23" si="21">IF(OR(OR(G23=0,F23=0),G23=""),"",(F23/E23-1)*100)</f>
        <v>49.752633280970926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+[14]Historico!C168/1000000</f>
        <v>503.12148999999999</v>
      </c>
      <c r="D24" s="76">
        <f>+[14]Historico!D168/1000000</f>
        <v>563.96594900000002</v>
      </c>
      <c r="E24" s="76">
        <f>+[14]Historico!E168/1000000</f>
        <v>577.51495</v>
      </c>
      <c r="F24" s="76">
        <f>+[14]Historico!F168/1000000</f>
        <v>561.72333300000003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4989.1125250000005</v>
      </c>
      <c r="D25" s="77">
        <f t="shared" si="25"/>
        <v>6036.0515809999997</v>
      </c>
      <c r="E25" s="77">
        <f t="shared" si="25"/>
        <v>6469.9685389999995</v>
      </c>
      <c r="F25" s="77">
        <f t="shared" si="25"/>
        <v>7119.3428130000002</v>
      </c>
      <c r="G25" s="72">
        <f t="shared" si="25"/>
        <v>8101.5350950000002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20.984474708755929</v>
      </c>
      <c r="E26" s="80">
        <f>(E25/D25-1)*100</f>
        <v>7.1887549696537212</v>
      </c>
      <c r="F26" s="80">
        <f>(F25/E25-1)*100</f>
        <v>10.036745466159068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4485.991035</v>
      </c>
      <c r="D28" s="77">
        <f t="shared" si="26"/>
        <v>5472.0856319999994</v>
      </c>
      <c r="E28" s="77">
        <f t="shared" si="26"/>
        <v>5892.4535889999997</v>
      </c>
      <c r="F28" s="77">
        <f>SUMPRODUCT(F13:F24,$M$13:$M$24)</f>
        <v>6557.6194800000003</v>
      </c>
      <c r="G28" s="73">
        <f>SUMPRODUCT(G13:G24,$M$13:$M$24)</f>
        <v>8101.5350950000002</v>
      </c>
      <c r="H28" s="74">
        <f>IF(OR(OR(G28=0,F28=0),G28=""),"",(G28/F28-1)*100)</f>
        <v>23.543842696404816</v>
      </c>
      <c r="I28" s="31">
        <f>IF(OR(OR(G28=0,F28=0),G28=""),"",G28/F28*100)</f>
        <v>123.54384269640481</v>
      </c>
      <c r="J28" s="31">
        <f>IF(OR(OR(G28=0,F28=0),F28=""),"",(F28/E28-1)*100)</f>
        <v>11.288436658062583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21.981644397111456</v>
      </c>
      <c r="E29" s="80">
        <f t="shared" si="27"/>
        <v>7.682042739641104</v>
      </c>
      <c r="F29" s="80">
        <f t="shared" si="27"/>
        <v>11.288436658062583</v>
      </c>
      <c r="G29" s="31">
        <f t="shared" si="27"/>
        <v>23.543842696404816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71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+[16]princ_paises!D7/1000000</f>
        <v>270.89749699999999</v>
      </c>
      <c r="D13" s="76">
        <f>+[16]princ_paises!E7/1000000</f>
        <v>315.07319999999999</v>
      </c>
      <c r="E13" s="76">
        <f>+[16]princ_paises!F7/1000000</f>
        <v>324.42503099999999</v>
      </c>
      <c r="F13" s="76">
        <f>+[16]princ_paises!G7/1000000</f>
        <v>324.08129300000002</v>
      </c>
      <c r="G13" s="77">
        <f>+[16]princ_paises!H7/1000000</f>
        <v>450.194819</v>
      </c>
      <c r="H13" s="78">
        <f t="shared" ref="H13:H14" si="0">IF(OR(OR(G13=0,F13=0),G13=""),"",(G13/F13-1)*100)</f>
        <v>38.914164045871047</v>
      </c>
      <c r="I13" s="78">
        <f t="shared" ref="I13:I14" si="1">IF(OR(OR(G13=0,F13=0),G13=""),"",G13/F13*100)</f>
        <v>138.91416404587105</v>
      </c>
      <c r="J13" s="78">
        <f t="shared" ref="J13:J14" si="2">IF(OR(OR(G13=0,F13=0),G13=""),"",(F13/E13-1)*100)</f>
        <v>-0.10595298363398342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+[16]princ_paises!D8/1000000</f>
        <v>320.40637099999998</v>
      </c>
      <c r="D14" s="76">
        <f>+[16]princ_paises!E8/1000000</f>
        <v>310.72490599999998</v>
      </c>
      <c r="E14" s="76">
        <f>+[16]princ_paises!F8/1000000</f>
        <v>311.41471000000001</v>
      </c>
      <c r="F14" s="76">
        <f>+[16]princ_paises!G8/1000000</f>
        <v>329.56794000000002</v>
      </c>
      <c r="G14" s="77">
        <f>+[16]princ_paises!H8/1000000</f>
        <v>464.07045399999998</v>
      </c>
      <c r="H14" s="78">
        <f t="shared" si="0"/>
        <v>40.811771314891843</v>
      </c>
      <c r="I14" s="78">
        <f t="shared" si="1"/>
        <v>140.81177131489184</v>
      </c>
      <c r="J14" s="78">
        <f t="shared" si="2"/>
        <v>5.8292782637018092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+[16]princ_paises!D9/1000000</f>
        <v>286.72902800000003</v>
      </c>
      <c r="D15" s="76">
        <f>+[16]princ_paises!E9/1000000</f>
        <v>331.89341100000001</v>
      </c>
      <c r="E15" s="76">
        <f>+[16]princ_paises!F9/1000000</f>
        <v>343.29247199999998</v>
      </c>
      <c r="F15" s="76">
        <f>+[16]princ_paises!G9/1000000</f>
        <v>401.76975599999997</v>
      </c>
      <c r="G15" s="77">
        <f>+[16]princ_paises!H9/1000000</f>
        <v>563.81444199999999</v>
      </c>
      <c r="H15" s="78">
        <f t="shared" ref="H15" si="4">IF(OR(OR(G15=0,F15=0),G15=""),"",(G15/F15-1)*100)</f>
        <v>40.332723800145878</v>
      </c>
      <c r="I15" s="78">
        <f t="shared" ref="I15" si="5">IF(OR(OR(G15=0,F15=0),G15=""),"",G15/F15*100)</f>
        <v>140.33272380014589</v>
      </c>
      <c r="J15" s="78">
        <f t="shared" ref="J15" si="6">IF(OR(OR(G15=0,F15=0),G15=""),"",(F15/E15-1)*100)</f>
        <v>17.034245947577897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+[16]princ_paises!D10/1000000</f>
        <v>268.54633200000001</v>
      </c>
      <c r="D16" s="76">
        <f>+[16]princ_paises!E10/1000000</f>
        <v>405.340034</v>
      </c>
      <c r="E16" s="76">
        <f>+[16]princ_paises!F10/1000000</f>
        <v>348.97988600000002</v>
      </c>
      <c r="F16" s="76">
        <f>+[16]princ_paises!G10/1000000</f>
        <v>381.33982600000002</v>
      </c>
      <c r="G16" s="77">
        <f>+[16]princ_paises!H10/1000000</f>
        <v>739.76074200000005</v>
      </c>
      <c r="H16" s="78">
        <f t="shared" ref="H16:H17" si="7">IF(OR(OR(G16=0,F16=0),G16=""),"",(G16/F16-1)*100)</f>
        <v>93.989898658001692</v>
      </c>
      <c r="I16" s="78">
        <f t="shared" ref="I16:I17" si="8">IF(OR(OR(G16=0,F16=0),G16=""),"",G16/F16*100)</f>
        <v>193.98989865800169</v>
      </c>
      <c r="J16" s="78">
        <f t="shared" ref="J16:J17" si="9">IF(OR(OR(G16=0,F16=0),G16=""),"",(F16/E16-1)*100)</f>
        <v>9.2727235288282408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+[16]princ_paises!D11/1000000</f>
        <v>297.72078900000002</v>
      </c>
      <c r="D17" s="76">
        <f>+[16]princ_paises!E11/1000000</f>
        <v>337.01780100000002</v>
      </c>
      <c r="E17" s="76">
        <f>+[16]princ_paises!F11/1000000</f>
        <v>250.00607299999999</v>
      </c>
      <c r="F17" s="76">
        <f>+[16]princ_paises!G11/1000000</f>
        <v>334.339539</v>
      </c>
      <c r="G17" s="77">
        <f>+[16]princ_paises!H11/1000000</f>
        <v>825.56685800000002</v>
      </c>
      <c r="H17" s="78">
        <f t="shared" si="7"/>
        <v>146.92468634408212</v>
      </c>
      <c r="I17" s="78">
        <f t="shared" si="8"/>
        <v>246.92468634408212</v>
      </c>
      <c r="J17" s="78">
        <f t="shared" si="9"/>
        <v>33.732566968483212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+[16]princ_paises!D12/1000000</f>
        <v>293.21677799999998</v>
      </c>
      <c r="D18" s="76">
        <f>+[16]princ_paises!E12/1000000</f>
        <v>363.60532599999999</v>
      </c>
      <c r="E18" s="76">
        <f>+[16]princ_paises!F12/1000000</f>
        <v>303.77524599999998</v>
      </c>
      <c r="F18" s="76">
        <f>+[16]princ_paises!G12/1000000</f>
        <v>338.61290100000002</v>
      </c>
      <c r="G18" s="77">
        <f>+[16]princ_paises!H12/1000000</f>
        <v>504.10336999999998</v>
      </c>
      <c r="H18" s="78">
        <f t="shared" ref="H18" si="10">IF(OR(OR(G18=0,F18=0),G18=""),"",(G18/F18-1)*100)</f>
        <v>48.873054898755882</v>
      </c>
      <c r="I18" s="78">
        <f t="shared" ref="I18" si="11">IF(OR(OR(G18=0,F18=0),G18=""),"",G18/F18*100)</f>
        <v>148.8730548987559</v>
      </c>
      <c r="J18" s="78">
        <f t="shared" ref="J18" si="12">IF(OR(OR(G18=0,F18=0),G18=""),"",(F18/E18-1)*100)</f>
        <v>11.468233655878613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+[16]princ_paises!D13/1000000</f>
        <v>298.90184099999999</v>
      </c>
      <c r="D19" s="76">
        <f>+[16]princ_paises!E13/1000000</f>
        <v>413.92208599999998</v>
      </c>
      <c r="E19" s="76">
        <f>+[16]princ_paises!F13/1000000</f>
        <v>336.97158400000001</v>
      </c>
      <c r="F19" s="76">
        <f>+[16]princ_paises!G13/1000000</f>
        <v>374.969356</v>
      </c>
      <c r="G19" s="77">
        <f>+[16]princ_paises!H13/1000000</f>
        <v>478.29197699999997</v>
      </c>
      <c r="H19" s="78">
        <f t="shared" ref="H19:H20" si="13">IF(OR(OR(G19=0,F19=0),G19=""),"",(G19/F19-1)*100)</f>
        <v>27.554950650420619</v>
      </c>
      <c r="I19" s="78">
        <f t="shared" ref="I19:I20" si="14">IF(OR(OR(G19=0,F19=0),G19=""),"",G19/F19*100)</f>
        <v>127.55495065042062</v>
      </c>
      <c r="J19" s="78">
        <f t="shared" ref="J19:J20" si="15">IF(OR(OR(G19=0,F19=0),G19=""),"",(F19/E19-1)*100)</f>
        <v>11.276254083192971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+[16]princ_paises!D14/1000000</f>
        <v>331.51915400000001</v>
      </c>
      <c r="D20" s="76">
        <f>+[16]princ_paises!E14/1000000</f>
        <v>335.01967200000001</v>
      </c>
      <c r="E20" s="76">
        <f>+[16]princ_paises!F14/1000000</f>
        <v>267.13538199999999</v>
      </c>
      <c r="F20" s="76">
        <f>+[16]princ_paises!G14/1000000</f>
        <v>471.35035199999999</v>
      </c>
      <c r="G20" s="77">
        <f>+[16]princ_paises!H14/1000000</f>
        <v>521.70394599999997</v>
      </c>
      <c r="H20" s="78">
        <f t="shared" si="13"/>
        <v>10.682837890402164</v>
      </c>
      <c r="I20" s="78">
        <f t="shared" si="14"/>
        <v>110.68283789040217</v>
      </c>
      <c r="J20" s="78">
        <f t="shared" si="15"/>
        <v>76.446245522055193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+[16]princ_paises!D15/1000000</f>
        <v>302.10800699999999</v>
      </c>
      <c r="D21" s="76">
        <f>+[16]princ_paises!E15/1000000</f>
        <v>326.00401399999998</v>
      </c>
      <c r="E21" s="76">
        <f>+[16]princ_paises!F15/1000000</f>
        <v>316.83633600000002</v>
      </c>
      <c r="F21" s="76">
        <f>+[16]princ_paises!G15/1000000</f>
        <v>433.81035700000001</v>
      </c>
      <c r="G21" s="77">
        <f>+[16]princ_paises!H15/1000000</f>
        <v>657.786788</v>
      </c>
      <c r="H21" s="78">
        <f t="shared" ref="H21:H22" si="16">IF(OR(OR(G21=0,F21=0),G21=""),"",(G21/F21-1)*100)</f>
        <v>51.630033120670738</v>
      </c>
      <c r="I21" s="78">
        <f t="shared" ref="I21:I22" si="17">IF(OR(OR(G21=0,F21=0),G21=""),"",G21/F21*100)</f>
        <v>151.63003312067073</v>
      </c>
      <c r="J21" s="78">
        <f t="shared" ref="J21:J22" si="18">IF(OR(OR(G21=0,F21=0),G21=""),"",(F21/E21-1)*100)</f>
        <v>36.919383198523036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+[16]princ_paises!D16/1000000</f>
        <v>380.80319700000001</v>
      </c>
      <c r="D22" s="76">
        <f>+[16]princ_paises!E16/1000000</f>
        <v>377.68897900000002</v>
      </c>
      <c r="E22" s="76">
        <f>+[16]princ_paises!F16/1000000</f>
        <v>353.44477599999999</v>
      </c>
      <c r="F22" s="76">
        <f>+[16]princ_paises!G16/1000000</f>
        <v>440.31103100000001</v>
      </c>
      <c r="G22" s="77">
        <f>+[16]princ_paises!H16/1000000</f>
        <v>635.69644900000003</v>
      </c>
      <c r="H22" s="78">
        <f t="shared" si="16"/>
        <v>44.37440905267713</v>
      </c>
      <c r="I22" s="78">
        <f t="shared" si="17"/>
        <v>144.37440905267712</v>
      </c>
      <c r="J22" s="78">
        <f t="shared" si="18"/>
        <v>24.577037460584794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+[16]princ_paises!D17/1000000</f>
        <v>351.12502799999999</v>
      </c>
      <c r="D23" s="76">
        <f>+[16]princ_paises!E17/1000000</f>
        <v>344.33035999999998</v>
      </c>
      <c r="E23" s="76">
        <f>+[16]princ_paises!F17/1000000</f>
        <v>302.899182</v>
      </c>
      <c r="F23" s="76">
        <f>+[16]princ_paises!G17/1000000</f>
        <v>430.88558899999998</v>
      </c>
      <c r="G23" s="73">
        <f>+[16]princ_paises!H17/1000000</f>
        <v>706.87633500000004</v>
      </c>
      <c r="H23" s="25">
        <f t="shared" ref="H23" si="19">IF(OR(OR(G23=0,F23=0),G23=""),"",(G23/F23-1)*100)</f>
        <v>64.051978772490358</v>
      </c>
      <c r="I23" s="25">
        <f t="shared" ref="I23" si="20">IF(OR(OR(G23=0,F23=0),G23=""),"",G23/F23*100)</f>
        <v>164.05197877249037</v>
      </c>
      <c r="J23" s="25">
        <f t="shared" ref="J23" si="21">IF(OR(OR(G23=0,F23=0),G23=""),"",(F23/E23-1)*100)</f>
        <v>42.253797502827183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+[16]princ_paises!D18/1000000</f>
        <v>353.23301500000002</v>
      </c>
      <c r="D24" s="76">
        <f>+[16]princ_paises!E18/1000000</f>
        <v>398.67630800000001</v>
      </c>
      <c r="E24" s="76">
        <f>+[16]princ_paises!F18/1000000</f>
        <v>382.45822299999998</v>
      </c>
      <c r="F24" s="76">
        <f>+[16]princ_paises!G18/1000000</f>
        <v>634.77518499999996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3755.2070370000001</v>
      </c>
      <c r="D25" s="77">
        <f t="shared" si="25"/>
        <v>4259.2960969999995</v>
      </c>
      <c r="E25" s="77">
        <f t="shared" si="25"/>
        <v>3841.6389009999998</v>
      </c>
      <c r="F25" s="77">
        <f t="shared" si="25"/>
        <v>4895.8131250000006</v>
      </c>
      <c r="G25" s="72">
        <f t="shared" si="25"/>
        <v>6547.86618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13.423735496690782</v>
      </c>
      <c r="E26" s="80">
        <f>(E25/D25-1)*100</f>
        <v>-9.8057797929139827</v>
      </c>
      <c r="F26" s="80">
        <f>(F25/E25-1)*100</f>
        <v>27.440742119869554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3401.9740219999999</v>
      </c>
      <c r="D28" s="77">
        <f t="shared" si="26"/>
        <v>3860.6197889999999</v>
      </c>
      <c r="E28" s="77">
        <f t="shared" si="26"/>
        <v>3459.1806779999997</v>
      </c>
      <c r="F28" s="77">
        <f>SUMPRODUCT(F13:F24,$M$13:$M$24)</f>
        <v>4261.0379400000002</v>
      </c>
      <c r="G28" s="73">
        <f>SUMPRODUCT(G13:G24,$M$13:$M$24)</f>
        <v>6547.86618</v>
      </c>
      <c r="H28" s="74">
        <f>IF(OR(OR(G28=0,F28=0),G28=""),"",(G28/F28-1)*100)</f>
        <v>53.668337907359721</v>
      </c>
      <c r="I28" s="31">
        <f>IF(OR(OR(G28=0,F28=0),G28=""),"",G28/F28*100)</f>
        <v>153.66833790735973</v>
      </c>
      <c r="J28" s="31">
        <f>IF(OR(OR(G28=0,F28=0),F28=""),"",(F28/E28-1)*100)</f>
        <v>23.180554490828499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13.481753947385089</v>
      </c>
      <c r="E29" s="80">
        <f t="shared" si="27"/>
        <v>-10.398307342873125</v>
      </c>
      <c r="F29" s="80">
        <f t="shared" si="27"/>
        <v>23.180554490828499</v>
      </c>
      <c r="G29" s="31">
        <f t="shared" si="27"/>
        <v>53.668337907359721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70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+[16]princ_paises!D32/1000000</f>
        <v>71.820668999999995</v>
      </c>
      <c r="D13" s="76">
        <f>+[16]princ_paises!E32/1000000</f>
        <v>79.004312999999996</v>
      </c>
      <c r="E13" s="76">
        <f>+[16]princ_paises!F32/1000000</f>
        <v>90.906913000000003</v>
      </c>
      <c r="F13" s="76">
        <f>+[16]princ_paises!G32/1000000</f>
        <v>68.514049999999997</v>
      </c>
      <c r="G13" s="77">
        <f>+[16]princ_paises!H32/1000000</f>
        <v>151.04191900000001</v>
      </c>
      <c r="H13" s="78">
        <f t="shared" ref="H13:H14" si="0">IF(OR(OR(G13=0,F13=0),G13=""),"",(G13/F13-1)*100)</f>
        <v>120.45393463092608</v>
      </c>
      <c r="I13" s="78">
        <f t="shared" ref="I13:I14" si="1">IF(OR(OR(G13=0,F13=0),G13=""),"",G13/F13*100)</f>
        <v>220.45393463092608</v>
      </c>
      <c r="J13" s="78">
        <f t="shared" ref="J13:J14" si="2">IF(OR(OR(G13=0,F13=0),G13=""),"",(F13/E13-1)*100)</f>
        <v>-24.632739426538443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+[16]princ_paises!D33/1000000</f>
        <v>78.882541000000003</v>
      </c>
      <c r="D14" s="76">
        <f>+[16]princ_paises!E33/1000000</f>
        <v>87.694115999999994</v>
      </c>
      <c r="E14" s="76">
        <f>+[16]princ_paises!F33/1000000</f>
        <v>72.042342000000005</v>
      </c>
      <c r="F14" s="76">
        <f>+[16]princ_paises!G33/1000000</f>
        <v>101.843254</v>
      </c>
      <c r="G14" s="77">
        <f>+[16]princ_paises!H33/1000000</f>
        <v>152.40519599999999</v>
      </c>
      <c r="H14" s="78">
        <f t="shared" si="0"/>
        <v>49.646824913901511</v>
      </c>
      <c r="I14" s="78">
        <f t="shared" si="1"/>
        <v>149.6468249139015</v>
      </c>
      <c r="J14" s="78">
        <f t="shared" si="2"/>
        <v>41.365829000950583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+[16]princ_paises!D34/1000000</f>
        <v>89.596866000000006</v>
      </c>
      <c r="D15" s="76">
        <f>+[16]princ_paises!E34/1000000</f>
        <v>90.000680000000003</v>
      </c>
      <c r="E15" s="76">
        <f>+[16]princ_paises!F34/1000000</f>
        <v>62.628124999999997</v>
      </c>
      <c r="F15" s="76">
        <f>+[16]princ_paises!G34/1000000</f>
        <v>138.79317699999999</v>
      </c>
      <c r="G15" s="77">
        <f>+[16]princ_paises!H34/1000000</f>
        <v>197.07514800000001</v>
      </c>
      <c r="H15" s="78">
        <f t="shared" ref="H15" si="4">IF(OR(OR(G15=0,F15=0),G15=""),"",(G15/F15-1)*100)</f>
        <v>41.991956852461158</v>
      </c>
      <c r="I15" s="78">
        <f t="shared" ref="I15" si="5">IF(OR(OR(G15=0,F15=0),G15=""),"",G15/F15*100)</f>
        <v>141.99195685246116</v>
      </c>
      <c r="J15" s="78">
        <f t="shared" ref="J15" si="6">IF(OR(OR(G15=0,F15=0),G15=""),"",(F15/E15-1)*100)</f>
        <v>121.61477291552316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+[16]princ_paises!D35/1000000</f>
        <v>64.837641000000005</v>
      </c>
      <c r="D16" s="76">
        <f>+[16]princ_paises!E35/1000000</f>
        <v>107.613038</v>
      </c>
      <c r="E16" s="76">
        <f>+[16]princ_paises!F35/1000000</f>
        <v>61.256332999999998</v>
      </c>
      <c r="F16" s="76">
        <f>+[16]princ_paises!G35/1000000</f>
        <v>140.24274500000001</v>
      </c>
      <c r="G16" s="77">
        <f>+[16]princ_paises!H35/1000000</f>
        <v>224.13868299999999</v>
      </c>
      <c r="H16" s="78">
        <f t="shared" ref="H16:H17" si="7">IF(OR(OR(G16=0,F16=0),G16=""),"",(G16/F16-1)*100)</f>
        <v>59.821945156592562</v>
      </c>
      <c r="I16" s="78">
        <f t="shared" ref="I16:I17" si="8">IF(OR(OR(G16=0,F16=0),G16=""),"",G16/F16*100)</f>
        <v>159.82194515659256</v>
      </c>
      <c r="J16" s="78">
        <f t="shared" ref="J16:J17" si="9">IF(OR(OR(G16=0,F16=0),G16=""),"",(F16/E16-1)*100)</f>
        <v>128.9440750558804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+[16]princ_paises!D36/1000000</f>
        <v>106.686482</v>
      </c>
      <c r="D17" s="76">
        <f>+[16]princ_paises!E36/1000000</f>
        <v>112.666393</v>
      </c>
      <c r="E17" s="76">
        <f>+[16]princ_paises!F36/1000000</f>
        <v>42.971876999999999</v>
      </c>
      <c r="F17" s="76">
        <f>+[16]princ_paises!G36/1000000</f>
        <v>131.29288299999999</v>
      </c>
      <c r="G17" s="77">
        <f>+[16]princ_paises!H36/1000000</f>
        <v>317.40398399999998</v>
      </c>
      <c r="H17" s="78">
        <f t="shared" si="7"/>
        <v>141.75261959934264</v>
      </c>
      <c r="I17" s="78">
        <f t="shared" si="8"/>
        <v>241.75261959934264</v>
      </c>
      <c r="J17" s="78">
        <f t="shared" si="9"/>
        <v>205.53211115260333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+[16]princ_paises!D37/1000000</f>
        <v>97.262258000000003</v>
      </c>
      <c r="D18" s="76">
        <f>+[16]princ_paises!E37/1000000</f>
        <v>73.837749000000002</v>
      </c>
      <c r="E18" s="76">
        <f>+[16]princ_paises!F37/1000000</f>
        <v>50.474806000000001</v>
      </c>
      <c r="F18" s="76">
        <f>+[16]princ_paises!G37/1000000</f>
        <v>143.268125</v>
      </c>
      <c r="G18" s="77">
        <f>+[16]princ_paises!H37/1000000</f>
        <v>261.31790699999999</v>
      </c>
      <c r="H18" s="78">
        <f t="shared" ref="H18" si="10">IF(OR(OR(G18=0,F18=0),G18=""),"",(G18/F18-1)*100)</f>
        <v>82.39779923133635</v>
      </c>
      <c r="I18" s="78">
        <f t="shared" ref="I18" si="11">IF(OR(OR(G18=0,F18=0),G18=""),"",G18/F18*100)</f>
        <v>182.39779923133634</v>
      </c>
      <c r="J18" s="78">
        <f t="shared" ref="J18" si="12">IF(OR(OR(G18=0,F18=0),G18=""),"",(F18/E18-1)*100)</f>
        <v>183.84086310306969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+[16]princ_paises!D38/1000000</f>
        <v>91.361442999999994</v>
      </c>
      <c r="D19" s="76">
        <f>+[16]princ_paises!E38/1000000</f>
        <v>100.508644</v>
      </c>
      <c r="E19" s="76">
        <f>+[16]princ_paises!F38/1000000</f>
        <v>65.159738000000004</v>
      </c>
      <c r="F19" s="76">
        <f>+[16]princ_paises!G38/1000000</f>
        <v>140.964528</v>
      </c>
      <c r="G19" s="77">
        <f>+[16]princ_paises!H38/1000000</f>
        <v>209.76814100000001</v>
      </c>
      <c r="H19" s="78">
        <f t="shared" ref="H19:H20" si="13">IF(OR(OR(G19=0,F19=0),G19=""),"",(G19/F19-1)*100)</f>
        <v>48.809167792907445</v>
      </c>
      <c r="I19" s="78">
        <f t="shared" ref="I19:I20" si="14">IF(OR(OR(G19=0,F19=0),G19=""),"",G19/F19*100)</f>
        <v>148.80916779290746</v>
      </c>
      <c r="J19" s="78">
        <f t="shared" ref="J19:J20" si="15">IF(OR(OR(G19=0,F19=0),G19=""),"",(F19/E19-1)*100)</f>
        <v>116.33685512977353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+[16]princ_paises!D39/1000000</f>
        <v>94.053914000000006</v>
      </c>
      <c r="D20" s="76">
        <f>+[16]princ_paises!E39/1000000</f>
        <v>70.886898000000002</v>
      </c>
      <c r="E20" s="76">
        <f>+[16]princ_paises!F39/1000000</f>
        <v>55.792810000000003</v>
      </c>
      <c r="F20" s="76">
        <f>+[16]princ_paises!G39/1000000</f>
        <v>132.72178600000001</v>
      </c>
      <c r="G20" s="77">
        <f>+[16]princ_paises!H39/1000000</f>
        <v>231.723533</v>
      </c>
      <c r="H20" s="78">
        <f t="shared" si="13"/>
        <v>74.59344089899453</v>
      </c>
      <c r="I20" s="78">
        <f t="shared" si="14"/>
        <v>174.59344089899454</v>
      </c>
      <c r="J20" s="78">
        <f t="shared" si="15"/>
        <v>137.88331507231848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+[16]princ_paises!D40/1000000</f>
        <v>101.324786</v>
      </c>
      <c r="D21" s="76">
        <f>+[16]princ_paises!E40/1000000</f>
        <v>69.062175999999994</v>
      </c>
      <c r="E21" s="76">
        <f>+[16]princ_paises!F40/1000000</f>
        <v>62.706408000000003</v>
      </c>
      <c r="F21" s="76">
        <f>+[16]princ_paises!G40/1000000</f>
        <v>154.76434900000001</v>
      </c>
      <c r="G21" s="77">
        <f>+[16]princ_paises!H40/1000000</f>
        <v>381.38190700000001</v>
      </c>
      <c r="H21" s="78">
        <f t="shared" ref="H21:H22" si="16">IF(OR(OR(G21=0,F21=0),G21=""),"",(G21/F21-1)*100)</f>
        <v>146.42749409943244</v>
      </c>
      <c r="I21" s="78">
        <f t="shared" ref="I21:I22" si="17">IF(OR(OR(G21=0,F21=0),G21=""),"",G21/F21*100)</f>
        <v>246.42749409943244</v>
      </c>
      <c r="J21" s="78">
        <f t="shared" ref="J21:J22" si="18">IF(OR(OR(G21=0,F21=0),G21=""),"",(F21/E21-1)*100)</f>
        <v>146.80786850364638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+[16]princ_paises!D41/1000000</f>
        <v>104.140991</v>
      </c>
      <c r="D22" s="76">
        <f>+[16]princ_paises!E41/1000000</f>
        <v>113.615318</v>
      </c>
      <c r="E22" s="76">
        <f>+[16]princ_paises!F41/1000000</f>
        <v>129.07881599999999</v>
      </c>
      <c r="F22" s="76">
        <f>+[16]princ_paises!G41/1000000</f>
        <v>182.06529499999999</v>
      </c>
      <c r="G22" s="77">
        <f>+[16]princ_paises!H41/1000000</f>
        <v>392.899834</v>
      </c>
      <c r="H22" s="78">
        <f t="shared" si="16"/>
        <v>115.8016078791952</v>
      </c>
      <c r="I22" s="78">
        <f t="shared" si="17"/>
        <v>215.80160787919519</v>
      </c>
      <c r="J22" s="78">
        <f t="shared" si="18"/>
        <v>41.049709504617702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+[16]princ_paises!D42/1000000</f>
        <v>114.19716200000001</v>
      </c>
      <c r="D23" s="76">
        <f>+[16]princ_paises!E42/1000000</f>
        <v>97.726419000000007</v>
      </c>
      <c r="E23" s="76">
        <f>+[16]princ_paises!F42/1000000</f>
        <v>78.472666000000004</v>
      </c>
      <c r="F23" s="76">
        <f>+[16]princ_paises!G42/1000000</f>
        <v>149.63454300000001</v>
      </c>
      <c r="G23" s="73">
        <f>+[16]princ_paises!H42/1000000</f>
        <v>408.73668400000003</v>
      </c>
      <c r="H23" s="25">
        <f t="shared" ref="H23" si="19">IF(OR(OR(G23=0,F23=0),G23=""),"",(G23/F23-1)*100)</f>
        <v>173.15663603156125</v>
      </c>
      <c r="I23" s="25">
        <f t="shared" ref="I23" si="20">IF(OR(OR(G23=0,F23=0),G23=""),"",G23/F23*100)</f>
        <v>273.15663603156122</v>
      </c>
      <c r="J23" s="25">
        <f t="shared" ref="J23" si="21">IF(OR(OR(G23=0,F23=0),G23=""),"",(F23/E23-1)*100)</f>
        <v>90.683649004610103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+[16]princ_paises!D43/1000000</f>
        <v>107.06538399999999</v>
      </c>
      <c r="D24" s="76">
        <f>+[16]princ_paises!E43/1000000</f>
        <v>100.089341</v>
      </c>
      <c r="E24" s="76">
        <f>+[16]princ_paises!F43/1000000</f>
        <v>97.220270999999997</v>
      </c>
      <c r="F24" s="76">
        <f>+[16]princ_paises!G43/1000000</f>
        <v>203.739285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1121.230137</v>
      </c>
      <c r="D25" s="77">
        <f t="shared" si="25"/>
        <v>1102.7050850000001</v>
      </c>
      <c r="E25" s="77">
        <f t="shared" si="25"/>
        <v>868.71110499999998</v>
      </c>
      <c r="F25" s="77">
        <f t="shared" si="25"/>
        <v>1687.8440200000005</v>
      </c>
      <c r="G25" s="72">
        <f t="shared" si="25"/>
        <v>2927.8929360000002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-1.6522078196690493</v>
      </c>
      <c r="E26" s="80">
        <f>(E25/D25-1)*100</f>
        <v>-21.219996459887557</v>
      </c>
      <c r="F26" s="80">
        <f>(F25/E25-1)*100</f>
        <v>94.292902471875337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1014.164753</v>
      </c>
      <c r="D28" s="77">
        <f t="shared" si="26"/>
        <v>1002.6157439999999</v>
      </c>
      <c r="E28" s="77">
        <f t="shared" si="26"/>
        <v>771.49083399999995</v>
      </c>
      <c r="F28" s="77">
        <f>SUMPRODUCT(F13:F24,$M$13:$M$24)</f>
        <v>1484.1047350000003</v>
      </c>
      <c r="G28" s="73">
        <f>SUMPRODUCT(G13:G24,$M$13:$M$24)</f>
        <v>2927.8929360000002</v>
      </c>
      <c r="H28" s="74">
        <f>IF(OR(OR(G28=0,F28=0),G28=""),"",(G28/F28-1)*100)</f>
        <v>97.283444149917059</v>
      </c>
      <c r="I28" s="31">
        <f>IF(OR(OR(G28=0,F28=0),G28=""),"",G28/F28*100)</f>
        <v>197.28344414991705</v>
      </c>
      <c r="J28" s="31">
        <f>IF(OR(OR(G28=0,F28=0),F28=""),"",(F28/E28-1)*100)</f>
        <v>92.368420931881161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-1.1387704971837165</v>
      </c>
      <c r="E29" s="80">
        <f t="shared" si="27"/>
        <v>-23.05219236613145</v>
      </c>
      <c r="F29" s="80">
        <f t="shared" si="27"/>
        <v>92.368420931881161</v>
      </c>
      <c r="G29" s="31">
        <f t="shared" si="27"/>
        <v>97.283444149917059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72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+[16]princ_paises!D57/1000000</f>
        <v>54.902939000000003</v>
      </c>
      <c r="D13" s="76">
        <f>+[16]princ_paises!E57/1000000</f>
        <v>98.566006999999999</v>
      </c>
      <c r="E13" s="76">
        <f>+[16]princ_paises!F57/1000000</f>
        <v>111.00767500000001</v>
      </c>
      <c r="F13" s="76">
        <f>+[16]princ_paises!G57/1000000</f>
        <v>97.797168999999997</v>
      </c>
      <c r="G13" s="77">
        <f>+[16]princ_paises!H57/1000000</f>
        <v>149.71984699999999</v>
      </c>
      <c r="H13" s="78">
        <f t="shared" ref="H13:H14" si="0">IF(OR(OR(G13=0,F13=0),G13=""),"",(G13/F13-1)*100)</f>
        <v>53.092209652817246</v>
      </c>
      <c r="I13" s="78">
        <f t="shared" ref="I13:I20" si="1">IF(OR(OR(G13=0,F13=0),G13=""),"",G13/F13*100)</f>
        <v>153.09220965281725</v>
      </c>
      <c r="J13" s="78">
        <f t="shared" ref="J13:J20" si="2">IF(OR(OR(G13=0,F13=0),G13=""),"",(F13/E13-1)*100)</f>
        <v>-11.90053390452508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+[16]princ_paises!D58/1000000</f>
        <v>56.304304000000002</v>
      </c>
      <c r="D14" s="76">
        <f>+[16]princ_paises!E58/1000000</f>
        <v>82.274044000000004</v>
      </c>
      <c r="E14" s="76">
        <f>+[16]princ_paises!F58/1000000</f>
        <v>92.533851999999996</v>
      </c>
      <c r="F14" s="76">
        <f>+[16]princ_paises!G58/1000000</f>
        <v>102.45463700000001</v>
      </c>
      <c r="G14" s="77">
        <f>+[16]princ_paises!H58/1000000</f>
        <v>148.040918</v>
      </c>
      <c r="H14" s="78">
        <f t="shared" si="0"/>
        <v>44.494112062492583</v>
      </c>
      <c r="I14" s="78">
        <f t="shared" si="1"/>
        <v>144.49411206249258</v>
      </c>
      <c r="J14" s="78">
        <f t="shared" si="2"/>
        <v>10.721249343429484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+[16]princ_paises!D59/1000000</f>
        <v>72.105998</v>
      </c>
      <c r="D15" s="76">
        <f>+[16]princ_paises!E59/1000000</f>
        <v>78.978789000000006</v>
      </c>
      <c r="E15" s="76">
        <f>+[16]princ_paises!F59/1000000</f>
        <v>77.059093000000004</v>
      </c>
      <c r="F15" s="76">
        <f>+[16]princ_paises!G59/1000000</f>
        <v>124.831604</v>
      </c>
      <c r="G15" s="77">
        <f>+[16]princ_paises!H59/1000000</f>
        <v>175.83328</v>
      </c>
      <c r="H15" s="78">
        <f t="shared" ref="H15" si="4">IF(OR(OR(G15=0,F15=0),G15=""),"",(G15/F15-1)*100)</f>
        <v>40.856381209361061</v>
      </c>
      <c r="I15" s="78">
        <f t="shared" ref="I15" si="5">IF(OR(OR(G15=0,F15=0),G15=""),"",G15/F15*100)</f>
        <v>140.85638120936105</v>
      </c>
      <c r="J15" s="78">
        <f t="shared" ref="J15" si="6">IF(OR(OR(G15=0,F15=0),G15=""),"",(F15/E15-1)*100)</f>
        <v>61.994644811093202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+[16]princ_paises!D60/1000000</f>
        <v>66.535871999999998</v>
      </c>
      <c r="D16" s="76">
        <f>+[16]princ_paises!E60/1000000</f>
        <v>98.174037999999996</v>
      </c>
      <c r="E16" s="76">
        <f>+[16]princ_paises!F60/1000000</f>
        <v>80.688473000000002</v>
      </c>
      <c r="F16" s="76">
        <f>+[16]princ_paises!G60/1000000</f>
        <v>120.452528</v>
      </c>
      <c r="G16" s="77">
        <f>+[16]princ_paises!H60/1000000</f>
        <v>197.3571</v>
      </c>
      <c r="H16" s="78">
        <f t="shared" ref="H16:H17" si="7">IF(OR(OR(G16=0,F16=0),G16=""),"",(G16/F16-1)*100)</f>
        <v>63.846374399049566</v>
      </c>
      <c r="I16" s="78">
        <f t="shared" ref="I16:I17" si="8">IF(OR(OR(G16=0,F16=0),G16=""),"",G16/F16*100)</f>
        <v>163.84637439904958</v>
      </c>
      <c r="J16" s="78">
        <f t="shared" ref="J16:J17" si="9">IF(OR(OR(G16=0,F16=0),G16=""),"",(F16/E16-1)*100)</f>
        <v>49.280961110764856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+[16]princ_paises!D61/1000000</f>
        <v>74.097904</v>
      </c>
      <c r="D17" s="76">
        <f>+[16]princ_paises!E61/1000000</f>
        <v>96.040042999999997</v>
      </c>
      <c r="E17" s="76">
        <f>+[16]princ_paises!F61/1000000</f>
        <v>80.439530000000005</v>
      </c>
      <c r="F17" s="76">
        <f>+[16]princ_paises!G61/1000000</f>
        <v>121.29451400000001</v>
      </c>
      <c r="G17" s="77">
        <f>+[16]princ_paises!H61/1000000</f>
        <v>274.07627600000001</v>
      </c>
      <c r="H17" s="78">
        <f t="shared" si="7"/>
        <v>125.95933398933443</v>
      </c>
      <c r="I17" s="78">
        <f t="shared" si="8"/>
        <v>225.95933398933443</v>
      </c>
      <c r="J17" s="78">
        <f t="shared" si="9"/>
        <v>50.789685121233298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+[16]princ_paises!D62/1000000</f>
        <v>71.890561000000005</v>
      </c>
      <c r="D18" s="76">
        <f>+[16]princ_paises!E62/1000000</f>
        <v>115.749537</v>
      </c>
      <c r="E18" s="76">
        <f>+[16]princ_paises!F62/1000000</f>
        <v>94.540584999999993</v>
      </c>
      <c r="F18" s="76">
        <f>+[16]princ_paises!G62/1000000</f>
        <v>155.81370899999999</v>
      </c>
      <c r="G18" s="77">
        <f>+[16]princ_paises!H62/1000000</f>
        <v>226.82066399999999</v>
      </c>
      <c r="H18" s="78">
        <f t="shared" ref="H18" si="10">IF(OR(OR(G18=0,F18=0),G18=""),"",(G18/F18-1)*100)</f>
        <v>45.571699342578384</v>
      </c>
      <c r="I18" s="78">
        <f t="shared" ref="I18" si="11">IF(OR(OR(G18=0,F18=0),G18=""),"",G18/F18*100)</f>
        <v>145.5716993425784</v>
      </c>
      <c r="J18" s="78">
        <f t="shared" ref="J18" si="12">IF(OR(OR(G18=0,F18=0),G18=""),"",(F18/E18-1)*100)</f>
        <v>64.811450024346698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+[16]princ_paises!D63/1000000</f>
        <v>82.810235000000006</v>
      </c>
      <c r="D19" s="76">
        <f>+[16]princ_paises!E63/1000000</f>
        <v>128.16223299999999</v>
      </c>
      <c r="E19" s="76">
        <f>+[16]princ_paises!F63/1000000</f>
        <v>100.41503899999999</v>
      </c>
      <c r="F19" s="76">
        <f>+[16]princ_paises!G63/1000000</f>
        <v>169.16412399999999</v>
      </c>
      <c r="G19" s="77">
        <f>+[16]princ_paises!H63/1000000</f>
        <v>244.58214699999999</v>
      </c>
      <c r="H19" s="78">
        <f t="shared" ref="H19" si="13">IF(OR(OR(G19=0,F19=0),G19=""),"",(G19/F19-1)*100)</f>
        <v>44.582752664507041</v>
      </c>
      <c r="I19" s="78">
        <f t="shared" ref="I19" si="14">IF(OR(OR(G19=0,F19=0),G19=""),"",G19/F19*100)</f>
        <v>144.58275266450704</v>
      </c>
      <c r="J19" s="78">
        <f t="shared" ref="J19" si="15">IF(OR(OR(G19=0,F19=0),G19=""),"",(F19/E19-1)*100)</f>
        <v>68.464928843975258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+[16]princ_paises!D64/1000000</f>
        <v>111.68666399999999</v>
      </c>
      <c r="D20" s="76">
        <f>+[16]princ_paises!E64/1000000</f>
        <v>115.164861</v>
      </c>
      <c r="E20" s="76">
        <f>+[16]princ_paises!F64/1000000</f>
        <v>88.797070000000005</v>
      </c>
      <c r="F20" s="76">
        <f>+[16]princ_paises!G64/1000000</f>
        <v>179.88848200000001</v>
      </c>
      <c r="G20" s="77">
        <f>+[16]princ_paises!H64/1000000</f>
        <v>231.82837900000001</v>
      </c>
      <c r="H20" s="78">
        <f t="shared" ref="H20:H24" si="16">IF(OR(OR(G20=0,F20=0),G20=""),"",(G20/F20-1)*100)</f>
        <v>28.873386679643009</v>
      </c>
      <c r="I20" s="78">
        <f t="shared" si="1"/>
        <v>128.873386679643</v>
      </c>
      <c r="J20" s="78">
        <f t="shared" si="2"/>
        <v>102.58380372235254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+[16]princ_paises!D65/1000000</f>
        <v>97.471211999999994</v>
      </c>
      <c r="D21" s="76">
        <f>+[16]princ_paises!E65/1000000</f>
        <v>120.868003</v>
      </c>
      <c r="E21" s="76">
        <f>+[16]princ_paises!F65/1000000</f>
        <v>104.199624</v>
      </c>
      <c r="F21" s="76">
        <f>+[16]princ_paises!G65/1000000</f>
        <v>182.05157299999999</v>
      </c>
      <c r="G21" s="77">
        <f>+[16]princ_paises!H65/1000000</f>
        <v>259.967645</v>
      </c>
      <c r="H21" s="78">
        <f t="shared" ref="H21:H22" si="17">IF(OR(OR(G21=0,F21=0),G21=""),"",(G21/F21-1)*100)</f>
        <v>42.798900726883595</v>
      </c>
      <c r="I21" s="78">
        <f t="shared" ref="I21:I22" si="18">IF(OR(OR(G21=0,F21=0),G21=""),"",G21/F21*100)</f>
        <v>142.7989007268836</v>
      </c>
      <c r="J21" s="78">
        <f t="shared" ref="J21:J22" si="19">IF(OR(OR(G21=0,F21=0),G21=""),"",(F21/E21-1)*100)</f>
        <v>74.714232174196709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+[16]princ_paises!D66/1000000</f>
        <v>101.480598</v>
      </c>
      <c r="D22" s="76">
        <f>+[16]princ_paises!E66/1000000</f>
        <v>139.35911300000001</v>
      </c>
      <c r="E22" s="76">
        <f>+[16]princ_paises!F66/1000000</f>
        <v>117.400066</v>
      </c>
      <c r="F22" s="76">
        <f>+[16]princ_paises!G66/1000000</f>
        <v>211.856201</v>
      </c>
      <c r="G22" s="77">
        <f>+[16]princ_paises!H66/1000000</f>
        <v>299.45932699999997</v>
      </c>
      <c r="H22" s="78">
        <f t="shared" si="17"/>
        <v>41.350277021157368</v>
      </c>
      <c r="I22" s="78">
        <f t="shared" si="18"/>
        <v>141.35027702115735</v>
      </c>
      <c r="J22" s="78">
        <f t="shared" si="19"/>
        <v>80.45662853375228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+[16]princ_paises!D67/1000000</f>
        <v>94.649005000000002</v>
      </c>
      <c r="D23" s="76">
        <f>+[16]princ_paises!E67/1000000</f>
        <v>153.53624099999999</v>
      </c>
      <c r="E23" s="76">
        <f>+[16]princ_paises!F67/1000000</f>
        <v>102.830968</v>
      </c>
      <c r="F23" s="76">
        <f>+[16]princ_paises!G67/1000000</f>
        <v>201.17266100000001</v>
      </c>
      <c r="G23" s="73">
        <f>+[16]princ_paises!H67/1000000</f>
        <v>299.69130799999999</v>
      </c>
      <c r="H23" s="25">
        <f t="shared" ref="H23" si="20">IF(OR(OR(G23=0,F23=0),G23=""),"",(G23/F23-1)*100)</f>
        <v>48.972184644910556</v>
      </c>
      <c r="I23" s="25">
        <f t="shared" ref="I23" si="21">IF(OR(OR(G23=0,F23=0),G23=""),"",G23/F23*100)</f>
        <v>148.97218464491056</v>
      </c>
      <c r="J23" s="25">
        <f t="shared" ref="J23" si="22">IF(OR(OR(G23=0,F23=0),G23=""),"",(F23/E23-1)*100)</f>
        <v>95.634316113799514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+[16]princ_paises!D68/1000000</f>
        <v>80.336984999999999</v>
      </c>
      <c r="D24" s="76">
        <f>+[16]princ_paises!E68/1000000</f>
        <v>114.886652</v>
      </c>
      <c r="E24" s="76">
        <f>+[16]princ_paises!F68/1000000</f>
        <v>128.283976</v>
      </c>
      <c r="F24" s="76">
        <f>+[16]princ_paises!G68/1000000</f>
        <v>179.06545199999999</v>
      </c>
      <c r="G24" s="77"/>
      <c r="H24" s="78" t="str">
        <f t="shared" si="16"/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964.27227699999992</v>
      </c>
      <c r="D25" s="77">
        <f t="shared" si="25"/>
        <v>1341.7595610000001</v>
      </c>
      <c r="E25" s="77">
        <f t="shared" si="25"/>
        <v>1178.1959509999999</v>
      </c>
      <c r="F25" s="77">
        <f t="shared" si="25"/>
        <v>1845.8426540000003</v>
      </c>
      <c r="G25" s="72">
        <f t="shared" si="25"/>
        <v>2507.3768909999999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39.147374969072168</v>
      </c>
      <c r="E26" s="80">
        <f>(E25/D25-1)*100</f>
        <v>-12.190232494270269</v>
      </c>
      <c r="F26" s="80">
        <f>(F25/E25-1)*100</f>
        <v>56.666864491711387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883.93529199999989</v>
      </c>
      <c r="D28" s="77">
        <f t="shared" si="26"/>
        <v>1226.8729090000002</v>
      </c>
      <c r="E28" s="77">
        <f t="shared" si="26"/>
        <v>1049.911975</v>
      </c>
      <c r="F28" s="77">
        <f>SUMPRODUCT(F13:F24,$M$13:$M$24)</f>
        <v>1666.7772020000002</v>
      </c>
      <c r="G28" s="73">
        <f>SUMPRODUCT(G13:G24,$M$13:$M$24)</f>
        <v>2507.3768909999999</v>
      </c>
      <c r="H28" s="74">
        <f>IF(OR(OR(G28=0,F28=0),G28=""),"",(G28/F28-1)*100)</f>
        <v>50.432636587022351</v>
      </c>
      <c r="I28" s="31">
        <f>IF(OR(OR(G28=0,F28=0),G28=""),"",G28/F28*100)</f>
        <v>150.43263658702236</v>
      </c>
      <c r="J28" s="31">
        <f>IF(OR(OR(G28=0,F28=0),F28=""),"",(F28/E28-1)*100)</f>
        <v>58.753994781324437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38.79668795937161</v>
      </c>
      <c r="E29" s="80">
        <f t="shared" si="27"/>
        <v>-14.423738001048337</v>
      </c>
      <c r="F29" s="80">
        <f t="shared" si="27"/>
        <v>58.753994781324437</v>
      </c>
      <c r="G29" s="31">
        <f t="shared" si="27"/>
        <v>50.432636587022351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129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+[16]princ_paises!D82/1000000</f>
        <v>67.826542000000003</v>
      </c>
      <c r="D13" s="76">
        <f>+[16]princ_paises!E82/1000000</f>
        <v>94.907622000000003</v>
      </c>
      <c r="E13" s="76">
        <f>+[16]princ_paises!F82/1000000</f>
        <v>64.763853999999995</v>
      </c>
      <c r="F13" s="76">
        <f>+[16]princ_paises!G82/1000000</f>
        <v>47.685760999999999</v>
      </c>
      <c r="G13" s="77">
        <f>+[16]princ_paises!H82/1000000</f>
        <v>72.439881</v>
      </c>
      <c r="H13" s="78">
        <f t="shared" ref="H13:H14" si="0">IF(OR(OR(G13=0,F13=0),G13=""),"",(G13/F13-1)*100)</f>
        <v>51.910925779290793</v>
      </c>
      <c r="I13" s="78">
        <f t="shared" ref="I13:I14" si="1">IF(OR(OR(G13=0,F13=0),G13=""),"",G13/F13*100)</f>
        <v>151.91092577929081</v>
      </c>
      <c r="J13" s="78">
        <f t="shared" ref="J13:J14" si="2">IF(OR(OR(G13=0,F13=0),G13=""),"",(F13/E13-1)*100)</f>
        <v>-26.369791087479133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+[16]princ_paises!D83/1000000</f>
        <v>131.969931</v>
      </c>
      <c r="D14" s="76">
        <f>+[16]princ_paises!E83/1000000</f>
        <v>77.616759999999999</v>
      </c>
      <c r="E14" s="76">
        <f>+[16]princ_paises!F83/1000000</f>
        <v>117.578092</v>
      </c>
      <c r="F14" s="76">
        <f>+[16]princ_paises!G83/1000000</f>
        <v>61.493138999999999</v>
      </c>
      <c r="G14" s="77">
        <f>+[16]princ_paises!H83/1000000</f>
        <v>86.151544000000001</v>
      </c>
      <c r="H14" s="78">
        <f t="shared" si="0"/>
        <v>40.099441012435541</v>
      </c>
      <c r="I14" s="78">
        <f t="shared" si="1"/>
        <v>140.09944101243553</v>
      </c>
      <c r="J14" s="78">
        <f t="shared" si="2"/>
        <v>-47.700172749869083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+[16]princ_paises!D84/1000000</f>
        <v>83.981835000000004</v>
      </c>
      <c r="D15" s="76">
        <f>+[16]princ_paises!E84/1000000</f>
        <v>68.182661999999993</v>
      </c>
      <c r="E15" s="76">
        <f>+[16]princ_paises!F84/1000000</f>
        <v>99.491810999999998</v>
      </c>
      <c r="F15" s="76">
        <f>+[16]princ_paises!G84/1000000</f>
        <v>88.540310000000005</v>
      </c>
      <c r="G15" s="77">
        <f>+[16]princ_paises!H84/1000000</f>
        <v>78.409012000000004</v>
      </c>
      <c r="H15" s="78">
        <f t="shared" ref="H15" si="4">IF(OR(OR(G15=0,F15=0),G15=""),"",(G15/F15-1)*100)</f>
        <v>-11.442582480228502</v>
      </c>
      <c r="I15" s="78">
        <f t="shared" ref="I15" si="5">IF(OR(OR(G15=0,F15=0),G15=""),"",G15/F15*100)</f>
        <v>88.557417519771491</v>
      </c>
      <c r="J15" s="78">
        <f t="shared" ref="J15" si="6">IF(OR(OR(G15=0,F15=0),G15=""),"",(F15/E15-1)*100)</f>
        <v>-11.007439597214685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+[16]princ_paises!D85/1000000</f>
        <v>67.819824999999994</v>
      </c>
      <c r="D16" s="76">
        <f>+[16]princ_paises!E85/1000000</f>
        <v>62.527484999999999</v>
      </c>
      <c r="E16" s="76">
        <f>+[16]princ_paises!F85/1000000</f>
        <v>55.884469000000003</v>
      </c>
      <c r="F16" s="76">
        <f>+[16]princ_paises!G85/1000000</f>
        <v>58.483390999999997</v>
      </c>
      <c r="G16" s="77">
        <f>+[16]princ_paises!H85/1000000</f>
        <v>73.301289999999995</v>
      </c>
      <c r="H16" s="78">
        <f t="shared" ref="H16:H17" si="7">IF(OR(OR(G16=0,F16=0),G16=""),"",(G16/F16-1)*100)</f>
        <v>25.336935404446702</v>
      </c>
      <c r="I16" s="78">
        <f t="shared" ref="I16:I17" si="8">IF(OR(OR(G16=0,F16=0),G16=""),"",G16/F16*100)</f>
        <v>125.33693540444671</v>
      </c>
      <c r="J16" s="78">
        <f t="shared" ref="J16:J17" si="9">IF(OR(OR(G16=0,F16=0),G16=""),"",(F16/E16-1)*100)</f>
        <v>4.6505264280134684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+[16]princ_paises!D86/1000000</f>
        <v>72.942409999999995</v>
      </c>
      <c r="D17" s="76">
        <f>+[16]princ_paises!E86/1000000</f>
        <v>55.671126999999998</v>
      </c>
      <c r="E17" s="76">
        <f>+[16]princ_paises!F86/1000000</f>
        <v>49.316144999999999</v>
      </c>
      <c r="F17" s="76">
        <f>+[16]princ_paises!G86/1000000</f>
        <v>63.380879</v>
      </c>
      <c r="G17" s="77">
        <f>+[16]princ_paises!H86/1000000</f>
        <v>82.020087000000004</v>
      </c>
      <c r="H17" s="78">
        <f t="shared" si="7"/>
        <v>29.408251027884937</v>
      </c>
      <c r="I17" s="78">
        <f t="shared" si="8"/>
        <v>129.40825102788494</v>
      </c>
      <c r="J17" s="78">
        <f t="shared" si="9"/>
        <v>28.519532497927401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+[16]princ_paises!D87/1000000</f>
        <v>53.560025000000003</v>
      </c>
      <c r="D18" s="76">
        <f>+[16]princ_paises!E87/1000000</f>
        <v>93.933080000000004</v>
      </c>
      <c r="E18" s="76">
        <f>+[16]princ_paises!F87/1000000</f>
        <v>72.568822999999995</v>
      </c>
      <c r="F18" s="76">
        <f>+[16]princ_paises!G87/1000000</f>
        <v>75.652925999999994</v>
      </c>
      <c r="G18" s="77">
        <f>+[16]princ_paises!H87/1000000</f>
        <v>75.996095999999994</v>
      </c>
      <c r="H18" s="78">
        <f t="shared" ref="H18" si="10">IF(OR(OR(G18=0,F18=0),G18=""),"",(G18/F18-1)*100)</f>
        <v>0.45361100772229879</v>
      </c>
      <c r="I18" s="78">
        <f t="shared" ref="I18" si="11">IF(OR(OR(G18=0,F18=0),G18=""),"",G18/F18*100)</f>
        <v>100.4536110077223</v>
      </c>
      <c r="J18" s="78">
        <f t="shared" ref="J18" si="12">IF(OR(OR(G18=0,F18=0),G18=""),"",(F18/E18-1)*100)</f>
        <v>4.2499008148444206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+[16]princ_paises!D88/1000000</f>
        <v>58.616193000000003</v>
      </c>
      <c r="D19" s="76">
        <f>+[16]princ_paises!E88/1000000</f>
        <v>66.197625000000002</v>
      </c>
      <c r="E19" s="76">
        <f>+[16]princ_paises!F88/1000000</f>
        <v>79.115898000000001</v>
      </c>
      <c r="F19" s="76">
        <f>+[16]princ_paises!G88/1000000</f>
        <v>61.434530000000002</v>
      </c>
      <c r="G19" s="77">
        <f>+[16]princ_paises!H88/1000000</f>
        <v>77.924323999999999</v>
      </c>
      <c r="H19" s="78">
        <f t="shared" ref="H19:H20" si="13">IF(OR(OR(G19=0,F19=0),G19=""),"",(G19/F19-1)*100)</f>
        <v>26.841247096706034</v>
      </c>
      <c r="I19" s="78">
        <f t="shared" ref="I19:I20" si="14">IF(OR(OR(G19=0,F19=0),G19=""),"",G19/F19*100)</f>
        <v>126.84124709670603</v>
      </c>
      <c r="J19" s="78">
        <f t="shared" ref="J19:J20" si="15">IF(OR(OR(G19=0,F19=0),G19=""),"",(F19/E19-1)*100)</f>
        <v>-22.348691536055121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+[16]princ_paises!D89/1000000</f>
        <v>56.004313000000003</v>
      </c>
      <c r="D20" s="76">
        <f>+[16]princ_paises!E89/1000000</f>
        <v>118.826342</v>
      </c>
      <c r="E20" s="76">
        <f>+[16]princ_paises!F89/1000000</f>
        <v>54.766841999999997</v>
      </c>
      <c r="F20" s="76">
        <f>+[16]princ_paises!G89/1000000</f>
        <v>84.337526999999994</v>
      </c>
      <c r="G20" s="77">
        <f>+[16]princ_paises!H89/1000000</f>
        <v>78.100268999999997</v>
      </c>
      <c r="H20" s="78">
        <f t="shared" si="13"/>
        <v>-7.3955903402289636</v>
      </c>
      <c r="I20" s="78">
        <f t="shared" si="14"/>
        <v>92.604409659771036</v>
      </c>
      <c r="J20" s="78">
        <f t="shared" si="15"/>
        <v>53.993774189134356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+[16]princ_paises!D90/1000000</f>
        <v>89.149789999999996</v>
      </c>
      <c r="D21" s="76">
        <f>+[16]princ_paises!E90/1000000</f>
        <v>91.093552000000003</v>
      </c>
      <c r="E21" s="76">
        <f>+[16]princ_paises!F90/1000000</f>
        <v>53.542099999999998</v>
      </c>
      <c r="F21" s="76">
        <f>+[16]princ_paises!G90/1000000</f>
        <v>86.502414999999999</v>
      </c>
      <c r="G21" s="77">
        <f>+[16]princ_paises!H90/1000000</f>
        <v>76.695145999999994</v>
      </c>
      <c r="H21" s="78">
        <f t="shared" ref="H21:H22" si="16">IF(OR(OR(G21=0,F21=0),G21=""),"",(G21/F21-1)*100)</f>
        <v>-11.337566702617497</v>
      </c>
      <c r="I21" s="78">
        <f t="shared" ref="I21:I22" si="17">IF(OR(OR(G21=0,F21=0),G21=""),"",G21/F21*100)</f>
        <v>88.662433297382506</v>
      </c>
      <c r="J21" s="78">
        <f t="shared" ref="J21:J22" si="18">IF(OR(OR(G21=0,F21=0),G21=""),"",(F21/E21-1)*100)</f>
        <v>61.559623175034226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+[16]princ_paises!D91/1000000</f>
        <v>98.044387</v>
      </c>
      <c r="D22" s="76">
        <f>+[16]princ_paises!E91/1000000</f>
        <v>76.184393</v>
      </c>
      <c r="E22" s="76">
        <f>+[16]princ_paises!F91/1000000</f>
        <v>59.084651999999998</v>
      </c>
      <c r="F22" s="76">
        <f>+[16]princ_paises!G91/1000000</f>
        <v>81.690736000000001</v>
      </c>
      <c r="G22" s="77">
        <f>+[16]princ_paises!H91/1000000</f>
        <v>73.450726000000003</v>
      </c>
      <c r="H22" s="78">
        <f t="shared" si="16"/>
        <v>-10.08683530529092</v>
      </c>
      <c r="I22" s="78">
        <f t="shared" si="17"/>
        <v>89.913164694709081</v>
      </c>
      <c r="J22" s="78">
        <f t="shared" si="18"/>
        <v>38.260501221197018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+[16]princ_paises!D92/1000000</f>
        <v>117.127562</v>
      </c>
      <c r="D23" s="76">
        <f>+[16]princ_paises!E92/1000000</f>
        <v>70.769124000000005</v>
      </c>
      <c r="E23" s="76">
        <f>+[16]princ_paises!F92/1000000</f>
        <v>67.887377999999998</v>
      </c>
      <c r="F23" s="76">
        <f>+[16]princ_paises!G92/1000000</f>
        <v>73.475091000000006</v>
      </c>
      <c r="G23" s="73">
        <f>+[16]princ_paises!H92/1000000</f>
        <v>87.527580999999998</v>
      </c>
      <c r="H23" s="25">
        <f t="shared" ref="H23" si="19">IF(OR(OR(G23=0,F23=0),G23=""),"",(G23/F23-1)*100)</f>
        <v>19.125515611814613</v>
      </c>
      <c r="I23" s="25">
        <f t="shared" ref="I23" si="20">IF(OR(OR(G23=0,F23=0),G23=""),"",G23/F23*100)</f>
        <v>119.12551561181462</v>
      </c>
      <c r="J23" s="25">
        <f t="shared" ref="J23" si="21">IF(OR(OR(G23=0,F23=0),G23=""),"",(F23/E23-1)*100)</f>
        <v>8.2308569937699083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+[16]princ_paises!D93/1000000</f>
        <v>87.619422</v>
      </c>
      <c r="D24" s="76">
        <f>+[16]princ_paises!E93/1000000</f>
        <v>81.433691999999994</v>
      </c>
      <c r="E24" s="76">
        <f>+[16]princ_paises!F93/1000000</f>
        <v>58.943736999999999</v>
      </c>
      <c r="F24" s="76">
        <f>+[16]princ_paises!G93/1000000</f>
        <v>76.222846000000004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984.66223500000001</v>
      </c>
      <c r="D25" s="77">
        <f t="shared" si="25"/>
        <v>957.34346400000004</v>
      </c>
      <c r="E25" s="77">
        <f t="shared" si="25"/>
        <v>832.94380100000012</v>
      </c>
      <c r="F25" s="77">
        <f t="shared" si="25"/>
        <v>858.89955100000009</v>
      </c>
      <c r="G25" s="72">
        <f t="shared" si="25"/>
        <v>862.01595599999996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-2.7744306655571038</v>
      </c>
      <c r="E26" s="80">
        <f>(E25/D25-1)*100</f>
        <v>-12.99425625994558</v>
      </c>
      <c r="F26" s="80">
        <f>(F25/E25-1)*100</f>
        <v>3.1161466078309941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897.04281300000002</v>
      </c>
      <c r="D28" s="77">
        <f t="shared" si="26"/>
        <v>875.90977200000009</v>
      </c>
      <c r="E28" s="77">
        <f t="shared" si="26"/>
        <v>774.00006400000007</v>
      </c>
      <c r="F28" s="77">
        <f>SUMPRODUCT(F13:F24,$M$13:$M$24)</f>
        <v>782.67670500000008</v>
      </c>
      <c r="G28" s="73">
        <f>SUMPRODUCT(G13:G24,$M$13:$M$24)</f>
        <v>862.01595599999996</v>
      </c>
      <c r="H28" s="74">
        <f>IF(OR(OR(G28=0,F28=0),G28=""),"",(G28/F28-1)*100)</f>
        <v>10.13691227720901</v>
      </c>
      <c r="I28" s="31">
        <f>IF(OR(OR(G28=0,F28=0),G28=""),"",G28/F28*100)</f>
        <v>110.13691227720901</v>
      </c>
      <c r="J28" s="31">
        <f>IF(OR(OR(G28=0,F28=0),F28=""),"",(F28/E28-1)*100)</f>
        <v>1.1210129564020344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-2.3558564534199022</v>
      </c>
      <c r="E29" s="80">
        <f t="shared" si="27"/>
        <v>-11.634726687351083</v>
      </c>
      <c r="F29" s="80">
        <f t="shared" si="27"/>
        <v>1.1210129564020344</v>
      </c>
      <c r="G29" s="31">
        <f t="shared" si="27"/>
        <v>10.13691227720901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73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f>+[16]princ_paises!D107/1000000</f>
        <v>32.285136999999999</v>
      </c>
      <c r="D13" s="76">
        <f>+[16]princ_paises!E107/1000000</f>
        <v>38.679566000000001</v>
      </c>
      <c r="E13" s="76">
        <f>+[16]princ_paises!F107/1000000</f>
        <v>44.593698000000003</v>
      </c>
      <c r="F13" s="76">
        <f>+[16]princ_paises!G107/1000000</f>
        <v>43.132019</v>
      </c>
      <c r="G13" s="77">
        <f>+[16]princ_paises!H107/1000000</f>
        <v>51.549756000000002</v>
      </c>
      <c r="H13" s="78">
        <f t="shared" ref="H13:H14" si="0">IF(OR(OR(G13=0,F13=0),G13=""),"",(G13/F13-1)*100)</f>
        <v>19.516213697299921</v>
      </c>
      <c r="I13" s="78">
        <f t="shared" ref="I13:I14" si="1">IF(OR(OR(G13=0,F13=0),G13=""),"",G13/F13*100)</f>
        <v>119.51621369729992</v>
      </c>
      <c r="J13" s="78">
        <f t="shared" ref="J13:J14" si="2">IF(OR(OR(G13=0,F13=0),G13=""),"",(F13/E13-1)*100)</f>
        <v>-3.2777703253047186</v>
      </c>
      <c r="K13" s="66"/>
      <c r="M13" s="42">
        <f t="shared" ref="M13:M24" si="3">IF(G13="","",1)</f>
        <v>1</v>
      </c>
    </row>
    <row r="14" spans="1:14">
      <c r="A14" s="64"/>
      <c r="B14" s="75" t="s">
        <v>8</v>
      </c>
      <c r="C14" s="76">
        <f>+[16]princ_paises!D108/1000000</f>
        <v>27.996580000000002</v>
      </c>
      <c r="D14" s="76">
        <f>+[16]princ_paises!E108/1000000</f>
        <v>39.492758000000002</v>
      </c>
      <c r="E14" s="76">
        <f>+[16]princ_paises!F108/1000000</f>
        <v>32.198345000000003</v>
      </c>
      <c r="F14" s="76">
        <f>+[16]princ_paises!G108/1000000</f>
        <v>90.445032999999995</v>
      </c>
      <c r="G14" s="77">
        <f>+[16]princ_paises!H108/1000000</f>
        <v>68.434462999999994</v>
      </c>
      <c r="H14" s="78">
        <f t="shared" si="0"/>
        <v>-24.3358526940888</v>
      </c>
      <c r="I14" s="78">
        <f t="shared" si="1"/>
        <v>75.6641473059112</v>
      </c>
      <c r="J14" s="78">
        <f t="shared" si="2"/>
        <v>180.89963319543281</v>
      </c>
      <c r="K14" s="66"/>
      <c r="M14" s="42">
        <f t="shared" si="3"/>
        <v>1</v>
      </c>
    </row>
    <row r="15" spans="1:14">
      <c r="A15" s="64"/>
      <c r="B15" s="75" t="s">
        <v>9</v>
      </c>
      <c r="C15" s="76">
        <f>+[16]princ_paises!D109/1000000</f>
        <v>37.015791999999998</v>
      </c>
      <c r="D15" s="76">
        <f>+[16]princ_paises!E109/1000000</f>
        <v>46.377988999999999</v>
      </c>
      <c r="E15" s="76">
        <f>+[16]princ_paises!F109/1000000</f>
        <v>35.193404999999998</v>
      </c>
      <c r="F15" s="76">
        <f>+[16]princ_paises!G109/1000000</f>
        <v>104.238868</v>
      </c>
      <c r="G15" s="77">
        <f>+[16]princ_paises!H109/1000000</f>
        <v>69.595654999999994</v>
      </c>
      <c r="H15" s="78">
        <f t="shared" ref="H15" si="4">IF(OR(OR(G15=0,F15=0),G15=""),"",(G15/F15-1)*100)</f>
        <v>-33.234448593589875</v>
      </c>
      <c r="I15" s="78">
        <f t="shared" ref="I15" si="5">IF(OR(OR(G15=0,F15=0),G15=""),"",G15/F15*100)</f>
        <v>66.765551406410125</v>
      </c>
      <c r="J15" s="78">
        <f t="shared" ref="J15" si="6">IF(OR(OR(G15=0,F15=0),G15=""),"",(F15/E15-1)*100)</f>
        <v>196.18864102521479</v>
      </c>
      <c r="K15" s="66"/>
      <c r="M15" s="42">
        <f t="shared" si="3"/>
        <v>1</v>
      </c>
    </row>
    <row r="16" spans="1:14">
      <c r="A16" s="64"/>
      <c r="B16" s="75" t="s">
        <v>10</v>
      </c>
      <c r="C16" s="76">
        <f>+[16]princ_paises!D110/1000000</f>
        <v>26.454795000000001</v>
      </c>
      <c r="D16" s="76">
        <f>+[16]princ_paises!E110/1000000</f>
        <v>54.952838</v>
      </c>
      <c r="E16" s="76">
        <f>+[16]princ_paises!F110/1000000</f>
        <v>37.403931</v>
      </c>
      <c r="F16" s="76">
        <f>+[16]princ_paises!G110/1000000</f>
        <v>44.126179999999998</v>
      </c>
      <c r="G16" s="77">
        <f>+[16]princ_paises!H110/1000000</f>
        <v>60.422252999999998</v>
      </c>
      <c r="H16" s="78">
        <f t="shared" ref="H16:H17" si="7">IF(OR(OR(G16=0,F16=0),G16=""),"",(G16/F16-1)*100)</f>
        <v>36.930622591849094</v>
      </c>
      <c r="I16" s="78">
        <f t="shared" ref="I16:I17" si="8">IF(OR(OR(G16=0,F16=0),G16=""),"",G16/F16*100)</f>
        <v>136.9306225918491</v>
      </c>
      <c r="J16" s="78">
        <f t="shared" ref="J16:J17" si="9">IF(OR(OR(G16=0,F16=0),G16=""),"",(F16/E16-1)*100)</f>
        <v>17.972038821267212</v>
      </c>
      <c r="K16" s="66"/>
      <c r="M16" s="42">
        <f t="shared" si="3"/>
        <v>1</v>
      </c>
    </row>
    <row r="17" spans="1:14">
      <c r="A17" s="64"/>
      <c r="B17" s="75" t="s">
        <v>11</v>
      </c>
      <c r="C17" s="76">
        <f>+[16]princ_paises!D111/1000000</f>
        <v>34.660088000000002</v>
      </c>
      <c r="D17" s="76">
        <f>+[16]princ_paises!E111/1000000</f>
        <v>85.901092000000006</v>
      </c>
      <c r="E17" s="76">
        <f>+[16]princ_paises!F111/1000000</f>
        <v>39.706612</v>
      </c>
      <c r="F17" s="76">
        <f>+[16]princ_paises!G111/1000000</f>
        <v>47.373012000000003</v>
      </c>
      <c r="G17" s="77">
        <f>+[16]princ_paises!H111/1000000</f>
        <v>71.844132000000002</v>
      </c>
      <c r="H17" s="78">
        <f t="shared" si="7"/>
        <v>51.656246809892515</v>
      </c>
      <c r="I17" s="78">
        <f t="shared" si="8"/>
        <v>151.65624680989251</v>
      </c>
      <c r="J17" s="78">
        <f t="shared" si="9"/>
        <v>19.307615567905923</v>
      </c>
      <c r="K17" s="66"/>
      <c r="M17" s="42">
        <f t="shared" si="3"/>
        <v>1</v>
      </c>
    </row>
    <row r="18" spans="1:14">
      <c r="A18" s="64"/>
      <c r="B18" s="75" t="s">
        <v>12</v>
      </c>
      <c r="C18" s="76">
        <f>+[16]princ_paises!D112/1000000</f>
        <v>32.682102999999998</v>
      </c>
      <c r="D18" s="76">
        <f>+[16]princ_paises!E112/1000000</f>
        <v>45.069783999999999</v>
      </c>
      <c r="E18" s="76">
        <f>+[16]princ_paises!F112/1000000</f>
        <v>35.181767999999998</v>
      </c>
      <c r="F18" s="76">
        <f>+[16]princ_paises!G112/1000000</f>
        <v>48.544271000000002</v>
      </c>
      <c r="G18" s="77">
        <f>+[16]princ_paises!H112/1000000</f>
        <v>73.151621000000006</v>
      </c>
      <c r="H18" s="78">
        <f t="shared" ref="H18" si="10">IF(OR(OR(G18=0,F18=0),G18=""),"",(G18/F18-1)*100)</f>
        <v>50.690533595612152</v>
      </c>
      <c r="I18" s="78">
        <f t="shared" ref="I18" si="11">IF(OR(OR(G18=0,F18=0),G18=""),"",G18/F18*100)</f>
        <v>150.69053359561215</v>
      </c>
      <c r="J18" s="78">
        <f t="shared" ref="J18" si="12">IF(OR(OR(G18=0,F18=0),G18=""),"",(F18/E18-1)*100)</f>
        <v>37.981328851921269</v>
      </c>
      <c r="K18" s="66"/>
      <c r="M18" s="42">
        <f t="shared" si="3"/>
        <v>1</v>
      </c>
    </row>
    <row r="19" spans="1:14">
      <c r="A19" s="64"/>
      <c r="B19" s="75" t="s">
        <v>13</v>
      </c>
      <c r="C19" s="76">
        <f>+[16]princ_paises!D113/1000000</f>
        <v>46.335330999999996</v>
      </c>
      <c r="D19" s="76">
        <f>+[16]princ_paises!E113/1000000</f>
        <v>55.479595000000003</v>
      </c>
      <c r="E19" s="76">
        <f>+[16]princ_paises!F113/1000000</f>
        <v>45.915439999999997</v>
      </c>
      <c r="F19" s="76">
        <f>+[16]princ_paises!G113/1000000</f>
        <v>56.575783000000001</v>
      </c>
      <c r="G19" s="77">
        <f>+[16]princ_paises!H113/1000000</f>
        <v>72.271990000000002</v>
      </c>
      <c r="H19" s="78">
        <f t="shared" ref="H19:H20" si="13">IF(OR(OR(G19=0,F19=0),G19=""),"",(G19/F19-1)*100)</f>
        <v>27.743684961461334</v>
      </c>
      <c r="I19" s="78">
        <f t="shared" ref="I19:I20" si="14">IF(OR(OR(G19=0,F19=0),G19=""),"",G19/F19*100)</f>
        <v>127.74368496146134</v>
      </c>
      <c r="J19" s="78">
        <f t="shared" ref="J19:J20" si="15">IF(OR(OR(G19=0,F19=0),G19=""),"",(F19/E19-1)*100)</f>
        <v>23.217338219997472</v>
      </c>
      <c r="K19" s="66"/>
      <c r="M19" s="42">
        <f t="shared" si="3"/>
        <v>1</v>
      </c>
    </row>
    <row r="20" spans="1:14">
      <c r="A20" s="64"/>
      <c r="B20" s="75" t="s">
        <v>14</v>
      </c>
      <c r="C20" s="76">
        <f>+[16]princ_paises!D114/1000000</f>
        <v>55.517828999999999</v>
      </c>
      <c r="D20" s="76">
        <f>+[16]princ_paises!E114/1000000</f>
        <v>44.119916000000003</v>
      </c>
      <c r="E20" s="76">
        <f>+[16]princ_paises!F114/1000000</f>
        <v>42.855651000000002</v>
      </c>
      <c r="F20" s="76">
        <f>+[16]princ_paises!G114/1000000</f>
        <v>49.239570000000001</v>
      </c>
      <c r="G20" s="77">
        <f>+[16]princ_paises!H114/1000000</f>
        <v>63.546788999999997</v>
      </c>
      <c r="H20" s="78">
        <f t="shared" si="13"/>
        <v>29.056344318197723</v>
      </c>
      <c r="I20" s="78">
        <f t="shared" si="14"/>
        <v>129.05634431819772</v>
      </c>
      <c r="J20" s="78">
        <f t="shared" si="15"/>
        <v>14.896329541231324</v>
      </c>
      <c r="K20" s="66"/>
      <c r="M20" s="42">
        <f t="shared" si="3"/>
        <v>1</v>
      </c>
    </row>
    <row r="21" spans="1:14">
      <c r="A21" s="64"/>
      <c r="B21" s="75" t="s">
        <v>15</v>
      </c>
      <c r="C21" s="76">
        <f>+[16]princ_paises!D115/1000000</f>
        <v>43.072735000000002</v>
      </c>
      <c r="D21" s="76">
        <f>+[16]princ_paises!E115/1000000</f>
        <v>84.075018999999998</v>
      </c>
      <c r="E21" s="76">
        <f>+[16]princ_paises!F115/1000000</f>
        <v>40.498767000000001</v>
      </c>
      <c r="F21" s="76">
        <f>+[16]princ_paises!G115/1000000</f>
        <v>60.719701000000001</v>
      </c>
      <c r="G21" s="77">
        <f>+[16]princ_paises!H115/1000000</f>
        <v>74.003259999999997</v>
      </c>
      <c r="H21" s="78">
        <f t="shared" ref="H21:H22" si="16">IF(OR(OR(G21=0,F21=0),G21=""),"",(G21/F21-1)*100)</f>
        <v>21.876851798067975</v>
      </c>
      <c r="I21" s="78">
        <f t="shared" ref="I21:I22" si="17">IF(OR(OR(G21=0,F21=0),G21=""),"",G21/F21*100)</f>
        <v>121.87685179806797</v>
      </c>
      <c r="J21" s="78">
        <f t="shared" ref="J21:J22" si="18">IF(OR(OR(G21=0,F21=0),G21=""),"",(F21/E21-1)*100)</f>
        <v>49.929752182331868</v>
      </c>
      <c r="K21" s="66"/>
      <c r="M21" s="42">
        <f t="shared" si="3"/>
        <v>1</v>
      </c>
    </row>
    <row r="22" spans="1:14">
      <c r="A22" s="64"/>
      <c r="B22" s="75" t="s">
        <v>16</v>
      </c>
      <c r="C22" s="76">
        <f>+[16]princ_paises!D116/1000000</f>
        <v>46.284270999999997</v>
      </c>
      <c r="D22" s="76">
        <f>+[16]princ_paises!E116/1000000</f>
        <v>51.665624999999999</v>
      </c>
      <c r="E22" s="76">
        <f>+[16]princ_paises!F116/1000000</f>
        <v>90.055987999999999</v>
      </c>
      <c r="F22" s="76">
        <f>+[16]princ_paises!G116/1000000</f>
        <v>53.044333999999999</v>
      </c>
      <c r="G22" s="77">
        <f>+[16]princ_paises!H116/1000000</f>
        <v>78.585881000000001</v>
      </c>
      <c r="H22" s="78">
        <f t="shared" si="16"/>
        <v>48.151319988295072</v>
      </c>
      <c r="I22" s="78">
        <f t="shared" si="17"/>
        <v>148.15131998829509</v>
      </c>
      <c r="J22" s="78">
        <f t="shared" si="18"/>
        <v>-41.098493084102309</v>
      </c>
      <c r="K22" s="66"/>
      <c r="M22" s="42">
        <f t="shared" si="3"/>
        <v>1</v>
      </c>
    </row>
    <row r="23" spans="1:14">
      <c r="A23" s="64"/>
      <c r="B23" s="75" t="s">
        <v>17</v>
      </c>
      <c r="C23" s="76">
        <f>+[16]princ_paises!D117/1000000</f>
        <v>42.515953000000003</v>
      </c>
      <c r="D23" s="76">
        <f>+[16]princ_paises!E117/1000000</f>
        <v>87.784576000000001</v>
      </c>
      <c r="E23" s="76">
        <f>+[16]princ_paises!F117/1000000</f>
        <v>41.562719999999999</v>
      </c>
      <c r="F23" s="76">
        <f>+[16]princ_paises!G117/1000000</f>
        <v>60.017828000000002</v>
      </c>
      <c r="G23" s="73">
        <f>+[16]princ_paises!H117/1000000</f>
        <v>89.018608999999998</v>
      </c>
      <c r="H23" s="25">
        <f t="shared" ref="H23" si="19">IF(OR(OR(G23=0,F23=0),G23=""),"",(G23/F23-1)*100)</f>
        <v>48.320277434898173</v>
      </c>
      <c r="I23" s="25">
        <f t="shared" ref="I23" si="20">IF(OR(OR(G23=0,F23=0),G23=""),"",G23/F23*100)</f>
        <v>148.32027743489817</v>
      </c>
      <c r="J23" s="25">
        <f t="shared" ref="J23" si="21">IF(OR(OR(G23=0,F23=0),G23=""),"",(F23/E23-1)*100)</f>
        <v>44.403032332821347</v>
      </c>
      <c r="K23" s="66"/>
      <c r="M23" s="42">
        <f t="shared" si="3"/>
        <v>1</v>
      </c>
    </row>
    <row r="24" spans="1:14">
      <c r="A24" s="64"/>
      <c r="B24" s="75" t="s">
        <v>18</v>
      </c>
      <c r="C24" s="76">
        <f>+[16]princ_paises!D118/1000000</f>
        <v>38.551411999999999</v>
      </c>
      <c r="D24" s="76">
        <f>+[16]princ_paises!E118/1000000</f>
        <v>43.527026999999997</v>
      </c>
      <c r="E24" s="76">
        <f>+[16]princ_paises!F118/1000000</f>
        <v>49.401130999999999</v>
      </c>
      <c r="F24" s="76">
        <f>+[16]princ_paises!G118/1000000</f>
        <v>72.849926999999994</v>
      </c>
      <c r="G24" s="77"/>
      <c r="H24" s="78" t="str">
        <f t="shared" ref="H24" si="22">IF(OR(OR(G24=0,F24=0),G24=""),"",(G24/F24-1)*100)</f>
        <v/>
      </c>
      <c r="I24" s="78" t="str">
        <f t="shared" ref="I24" si="23">IF(OR(OR(G24=0,F24=0),G24=""),"",G24/F24*100)</f>
        <v/>
      </c>
      <c r="J24" s="78" t="str">
        <f t="shared" ref="J24" si="24">IF(OR(OR(G24=0,F24=0),G24=""),"",(F24/E24-1)*100)</f>
        <v/>
      </c>
      <c r="K24" s="66"/>
      <c r="M24" s="42" t="str">
        <f t="shared" si="3"/>
        <v/>
      </c>
    </row>
    <row r="25" spans="1:14">
      <c r="A25" s="64"/>
      <c r="B25" s="79" t="s">
        <v>26</v>
      </c>
      <c r="C25" s="77">
        <f t="shared" ref="C25:G25" si="25">SUM(C13:C24)</f>
        <v>463.37202600000001</v>
      </c>
      <c r="D25" s="77">
        <f t="shared" si="25"/>
        <v>677.12578499999995</v>
      </c>
      <c r="E25" s="77">
        <f t="shared" si="25"/>
        <v>534.56745600000011</v>
      </c>
      <c r="F25" s="77">
        <f t="shared" si="25"/>
        <v>730.30652600000008</v>
      </c>
      <c r="G25" s="72">
        <f t="shared" si="25"/>
        <v>772.42440899999997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f>(D25/C25-1)*100</f>
        <v>46.130052529325539</v>
      </c>
      <c r="E26" s="80">
        <f>(E25/D25-1)*100</f>
        <v>-21.053448584888823</v>
      </c>
      <c r="F26" s="80">
        <f>(F25/E25-1)*100</f>
        <v>36.616346132376584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f t="shared" ref="C28:E28" si="26">SUMPRODUCT(C13:C24,$M$13:$M$24)</f>
        <v>424.82061400000003</v>
      </c>
      <c r="D28" s="77">
        <f t="shared" si="26"/>
        <v>633.59875799999998</v>
      </c>
      <c r="E28" s="77">
        <f t="shared" si="26"/>
        <v>485.16632500000009</v>
      </c>
      <c r="F28" s="77">
        <f>SUMPRODUCT(F13:F24,$M$13:$M$24)</f>
        <v>657.4565990000001</v>
      </c>
      <c r="G28" s="73">
        <f>SUMPRODUCT(G13:G24,$M$13:$M$24)</f>
        <v>772.42440899999997</v>
      </c>
      <c r="H28" s="74">
        <f>IF(OR(OR(G28=0,F28=0),G28=""),"",(G28/F28-1)*100)</f>
        <v>17.486752764344814</v>
      </c>
      <c r="I28" s="31">
        <f>IF(OR(OR(G28=0,F28=0),G28=""),"",G28/F28*100)</f>
        <v>117.48675276434481</v>
      </c>
      <c r="J28" s="31">
        <f>IF(OR(OR(G28=0,F28=0),F28=""),"",(F28/E28-1)*100)</f>
        <v>35.511589556426856</v>
      </c>
      <c r="K28" s="66"/>
    </row>
    <row r="29" spans="1:14" ht="18.75" customHeight="1">
      <c r="A29" s="64"/>
      <c r="B29" s="79" t="s">
        <v>19</v>
      </c>
      <c r="C29" s="80"/>
      <c r="D29" s="80">
        <f t="shared" ref="D29:G29" si="27">(D28/C28-1)*100</f>
        <v>49.145012534631839</v>
      </c>
      <c r="E29" s="80">
        <f t="shared" si="27"/>
        <v>-23.426881938427012</v>
      </c>
      <c r="F29" s="80">
        <f t="shared" si="27"/>
        <v>35.511589556426856</v>
      </c>
      <c r="G29" s="31">
        <f t="shared" si="27"/>
        <v>17.486752764344814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49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54</v>
      </c>
      <c r="C13" s="97">
        <f>SUM(C14:C45)</f>
        <v>36699.748388159649</v>
      </c>
      <c r="D13" s="97">
        <f>SUM(D14:D45)</f>
        <v>50170.193682909514</v>
      </c>
      <c r="E13" s="96">
        <f>IF(OR(OR(D13=0,C13=0),D13=""),"",(D13/C13-1)*100)</f>
        <v>36.704462254830617</v>
      </c>
      <c r="F13" s="96">
        <f>(D13/D$13)*100</f>
        <v>100</v>
      </c>
      <c r="G13" s="97">
        <f t="shared" ref="G13:H13" si="0">SUM(G14:G45)</f>
        <v>3802.6397902399999</v>
      </c>
      <c r="H13" s="97">
        <f t="shared" si="0"/>
        <v>5060.4938204999607</v>
      </c>
      <c r="I13" s="96">
        <f>IF(OR(OR(H13=0,G13=0),H13=""),"",(H13/G13-1)*100)</f>
        <v>33.078442861940729</v>
      </c>
      <c r="J13" s="96">
        <f>(H13/H$13)*100</f>
        <v>100</v>
      </c>
      <c r="K13" s="16"/>
    </row>
    <row r="14" spans="1:14">
      <c r="A14" s="14"/>
      <c r="B14" s="10" t="str">
        <f>+[17]Total!A2</f>
        <v>Bogotá</v>
      </c>
      <c r="C14" s="25">
        <f>+[17]Total!B2/1000000</f>
        <v>16196.148383639726</v>
      </c>
      <c r="D14" s="25">
        <f>+[17]Total!C2/1000000</f>
        <v>23038.904279779843</v>
      </c>
      <c r="E14" s="25">
        <f>IF(OR(OR(D14=0,C14=0),D14=""),"",(D14/C14-1)*100)</f>
        <v>42.249278865907499</v>
      </c>
      <c r="F14" s="25">
        <f>(D14/D$13)*100</f>
        <v>45.921497583590252</v>
      </c>
      <c r="G14" s="25">
        <f>+[17]Total!D2/1000000</f>
        <v>1755.1046189400008</v>
      </c>
      <c r="H14" s="25">
        <f>+[17]Total!E2/1000000</f>
        <v>2635.0607067599512</v>
      </c>
      <c r="I14" s="25">
        <f>IF(OR(OR(H14=0,G14=0),H14=""),"",(H14/G14-1)*100)</f>
        <v>50.136959262941375</v>
      </c>
      <c r="J14" s="25">
        <f>(H14/H$13)*100</f>
        <v>52.071216767133919</v>
      </c>
      <c r="K14" s="16"/>
    </row>
    <row r="15" spans="1:14">
      <c r="A15" s="14"/>
      <c r="B15" s="9" t="str">
        <f>+[17]Total!A3</f>
        <v>Antioquia</v>
      </c>
      <c r="C15" s="22">
        <f>+[17]Total!B3/1000000</f>
        <v>4385.3258040499513</v>
      </c>
      <c r="D15" s="22">
        <f>+[17]Total!C3/1000000</f>
        <v>6186.2113189697093</v>
      </c>
      <c r="E15" s="22">
        <f t="shared" ref="E15:E42" si="1">IF(OR(OR(D15=0,C15=0),D15=""),"",(D15/C15-1)*100)</f>
        <v>41.066173766532877</v>
      </c>
      <c r="F15" s="22">
        <f t="shared" ref="F15:F42" si="2">(D15/D$13)*100</f>
        <v>12.33045133943153</v>
      </c>
      <c r="G15" s="22">
        <f>+[17]Total!D3/1000000</f>
        <v>458.76475133000054</v>
      </c>
      <c r="H15" s="22">
        <f>+[17]Total!E3/1000000</f>
        <v>618.46000512000717</v>
      </c>
      <c r="I15" s="22">
        <f t="shared" ref="I15:I42" si="3">IF(OR(OR(H15=0,G15=0),H15=""),"",(H15/G15-1)*100)</f>
        <v>34.809835177405326</v>
      </c>
      <c r="J15" s="22">
        <f t="shared" ref="J15:J42" si="4">(H15/H$13)*100</f>
        <v>12.221337028703362</v>
      </c>
      <c r="K15" s="16"/>
    </row>
    <row r="16" spans="1:14">
      <c r="A16" s="14"/>
      <c r="B16" s="9" t="str">
        <f>+[17]Total!A4</f>
        <v>Cundinamarca</v>
      </c>
      <c r="C16" s="22">
        <f>+[17]Total!B4/1000000</f>
        <v>3259.232952750021</v>
      </c>
      <c r="D16" s="22">
        <f>+[17]Total!C4/1000000</f>
        <v>4784.8329172999966</v>
      </c>
      <c r="E16" s="22">
        <f t="shared" si="1"/>
        <v>46.808558537146915</v>
      </c>
      <c r="F16" s="22">
        <f t="shared" si="2"/>
        <v>9.5372024025690596</v>
      </c>
      <c r="G16" s="22">
        <f>+[17]Total!D4/1000000</f>
        <v>379.01705718999966</v>
      </c>
      <c r="H16" s="22">
        <f>+[17]Total!E4/1000000</f>
        <v>550.62464505999958</v>
      </c>
      <c r="I16" s="22">
        <f t="shared" si="3"/>
        <v>45.277009204357199</v>
      </c>
      <c r="J16" s="22">
        <f t="shared" si="4"/>
        <v>10.880848086987676</v>
      </c>
      <c r="K16" s="16"/>
    </row>
    <row r="17" spans="1:11">
      <c r="A17" s="14"/>
      <c r="B17" s="9" t="str">
        <f>+[17]Total!A5</f>
        <v>Valle del Cauca</v>
      </c>
      <c r="C17" s="22">
        <f>+[17]Total!B5/1000000</f>
        <v>3879.1341939899248</v>
      </c>
      <c r="D17" s="22">
        <f>+[17]Total!C5/1000000</f>
        <v>4784.3541249599457</v>
      </c>
      <c r="E17" s="22">
        <f t="shared" si="1"/>
        <v>23.335617838962854</v>
      </c>
      <c r="F17" s="22">
        <f t="shared" si="2"/>
        <v>9.5362480663289464</v>
      </c>
      <c r="G17" s="22">
        <f>+[17]Total!D5/1000000</f>
        <v>438.80785240999887</v>
      </c>
      <c r="H17" s="22">
        <f>+[17]Total!E5/1000000</f>
        <v>379.28925188000056</v>
      </c>
      <c r="I17" s="22">
        <f t="shared" si="3"/>
        <v>-13.563704524226994</v>
      </c>
      <c r="J17" s="22">
        <f t="shared" si="4"/>
        <v>7.4951035478693262</v>
      </c>
      <c r="K17" s="16"/>
    </row>
    <row r="18" spans="1:11">
      <c r="A18" s="14"/>
      <c r="B18" s="9" t="str">
        <f>+[17]Total!A6</f>
        <v>Bolívar</v>
      </c>
      <c r="C18" s="22">
        <f>+[17]Total!B6/1000000</f>
        <v>2237.5832657200122</v>
      </c>
      <c r="D18" s="22">
        <f>+[17]Total!C6/1000000</f>
        <v>2897.4105288399937</v>
      </c>
      <c r="E18" s="22">
        <f t="shared" si="1"/>
        <v>29.488389246943235</v>
      </c>
      <c r="F18" s="22">
        <f t="shared" si="2"/>
        <v>5.7751631320231418</v>
      </c>
      <c r="G18" s="22">
        <f>+[17]Total!D6/1000000</f>
        <v>198.36491483000069</v>
      </c>
      <c r="H18" s="22">
        <f>+[17]Total!E6/1000000</f>
        <v>238.73381184000013</v>
      </c>
      <c r="I18" s="22">
        <f t="shared" si="3"/>
        <v>20.350825167139909</v>
      </c>
      <c r="J18" s="22">
        <f t="shared" si="4"/>
        <v>4.7175991179535508</v>
      </c>
      <c r="K18" s="16"/>
    </row>
    <row r="19" spans="1:11">
      <c r="A19" s="14"/>
      <c r="B19" s="9" t="str">
        <f>+[17]Total!A7</f>
        <v>Atlántico</v>
      </c>
      <c r="C19" s="22">
        <f>+[17]Total!B7/1000000</f>
        <v>1901.2263770300062</v>
      </c>
      <c r="D19" s="22">
        <f>+[17]Total!C7/1000000</f>
        <v>2498.3361113000215</v>
      </c>
      <c r="E19" s="22">
        <f t="shared" si="1"/>
        <v>31.40655639349945</v>
      </c>
      <c r="F19" s="22">
        <f t="shared" si="2"/>
        <v>4.9797218784727955</v>
      </c>
      <c r="G19" s="22">
        <f>+[17]Total!D7/1000000</f>
        <v>166.77356164999986</v>
      </c>
      <c r="H19" s="22">
        <f>+[17]Total!E7/1000000</f>
        <v>274.12083304000055</v>
      </c>
      <c r="I19" s="22">
        <f t="shared" si="3"/>
        <v>64.367079726512983</v>
      </c>
      <c r="J19" s="22">
        <f t="shared" si="4"/>
        <v>5.4168791181908462</v>
      </c>
      <c r="K19" s="16"/>
    </row>
    <row r="20" spans="1:11">
      <c r="A20" s="14"/>
      <c r="B20" s="9" t="str">
        <f>+[17]Total!A8</f>
        <v>Magdalena</v>
      </c>
      <c r="C20" s="22">
        <f>+[17]Total!B8/1000000</f>
        <v>1367.3486343000022</v>
      </c>
      <c r="D20" s="22">
        <f>+[17]Total!C8/1000000</f>
        <v>1665.7495858099912</v>
      </c>
      <c r="E20" s="22">
        <f t="shared" si="1"/>
        <v>21.823326108981099</v>
      </c>
      <c r="F20" s="22">
        <f t="shared" si="2"/>
        <v>3.320197638338855</v>
      </c>
      <c r="G20" s="22">
        <f>+[17]Total!D8/1000000</f>
        <v>59.23558931000008</v>
      </c>
      <c r="H20" s="22">
        <f>+[17]Total!E8/1000000</f>
        <v>18.834682430000012</v>
      </c>
      <c r="I20" s="22">
        <f t="shared" si="3"/>
        <v>-68.203773019912603</v>
      </c>
      <c r="J20" s="22">
        <f t="shared" si="4"/>
        <v>0.37219060230250817</v>
      </c>
      <c r="K20" s="16"/>
    </row>
    <row r="21" spans="1:11">
      <c r="A21" s="14"/>
      <c r="B21" s="9" t="str">
        <f>+[17]Total!A9</f>
        <v>Guajira</v>
      </c>
      <c r="C21" s="22">
        <f>+[17]Total!B9/1000000</f>
        <v>596.35458043000176</v>
      </c>
      <c r="D21" s="22">
        <f>+[17]Total!C9/1000000</f>
        <v>716.70728460000112</v>
      </c>
      <c r="E21" s="22">
        <f t="shared" si="1"/>
        <v>20.181400146741389</v>
      </c>
      <c r="F21" s="22">
        <f t="shared" si="2"/>
        <v>1.4285519588180255</v>
      </c>
      <c r="G21" s="22">
        <f>+[17]Total!D9/1000000</f>
        <v>62.997147709999979</v>
      </c>
      <c r="H21" s="22">
        <f>+[17]Total!E9/1000000</f>
        <v>54.12097911999988</v>
      </c>
      <c r="I21" s="22">
        <f t="shared" si="3"/>
        <v>-14.089794399677436</v>
      </c>
      <c r="J21" s="22">
        <f t="shared" si="4"/>
        <v>1.0694801938252916</v>
      </c>
      <c r="K21" s="16"/>
    </row>
    <row r="22" spans="1:11">
      <c r="A22" s="14"/>
      <c r="B22" s="9" t="str">
        <f>+[17]Total!A10</f>
        <v>Santander</v>
      </c>
      <c r="C22" s="22">
        <f>+[17]Total!B10/1000000</f>
        <v>556.95444082999768</v>
      </c>
      <c r="D22" s="22">
        <f>+[17]Total!C10/1000000</f>
        <v>701.08330694000006</v>
      </c>
      <c r="E22" s="22">
        <f t="shared" si="1"/>
        <v>25.878035175590885</v>
      </c>
      <c r="F22" s="22">
        <f t="shared" si="2"/>
        <v>1.3974100067682702</v>
      </c>
      <c r="G22" s="22">
        <f>+[17]Total!D10/1000000</f>
        <v>61.608940579999931</v>
      </c>
      <c r="H22" s="22">
        <f>+[17]Total!E10/1000000</f>
        <v>59.51275945000009</v>
      </c>
      <c r="I22" s="22">
        <f t="shared" si="3"/>
        <v>-3.402397623244191</v>
      </c>
      <c r="J22" s="22">
        <f t="shared" si="4"/>
        <v>1.1760267191497216</v>
      </c>
      <c r="K22" s="16"/>
    </row>
    <row r="23" spans="1:11">
      <c r="A23" s="14"/>
      <c r="B23" s="9" t="str">
        <f>+[17]Total!A11</f>
        <v>Nariño</v>
      </c>
      <c r="C23" s="22">
        <f>+[17]Total!B11/1000000</f>
        <v>389.14653673999885</v>
      </c>
      <c r="D23" s="22">
        <f>+[17]Total!C11/1000000</f>
        <v>484.72778360999928</v>
      </c>
      <c r="E23" s="22">
        <f t="shared" si="1"/>
        <v>24.561762175943834</v>
      </c>
      <c r="F23" s="22">
        <f t="shared" si="2"/>
        <v>0.96616685730500151</v>
      </c>
      <c r="G23" s="22">
        <f>+[17]Total!D11/1000000</f>
        <v>49.024043860000006</v>
      </c>
      <c r="H23" s="22">
        <f>+[17]Total!E11/1000000</f>
        <v>31.017725109999965</v>
      </c>
      <c r="I23" s="22">
        <f t="shared" si="3"/>
        <v>-36.729566417289917</v>
      </c>
      <c r="J23" s="22">
        <f t="shared" si="4"/>
        <v>0.61293870144347906</v>
      </c>
      <c r="K23" s="16"/>
    </row>
    <row r="24" spans="1:11">
      <c r="A24" s="14"/>
      <c r="B24" s="9" t="str">
        <f>+[17]Total!A12</f>
        <v>Cesar</v>
      </c>
      <c r="C24" s="22">
        <f>+[17]Total!B12/1000000</f>
        <v>468.9708479499995</v>
      </c>
      <c r="D24" s="22">
        <f>+[17]Total!C12/1000000</f>
        <v>461.21912938000065</v>
      </c>
      <c r="E24" s="22">
        <f t="shared" si="1"/>
        <v>-1.6529212005146454</v>
      </c>
      <c r="F24" s="22">
        <f t="shared" si="2"/>
        <v>0.9193090469114833</v>
      </c>
      <c r="G24" s="22">
        <f>+[17]Total!D12/1000000</f>
        <v>30.350766760000038</v>
      </c>
      <c r="H24" s="22">
        <f>+[17]Total!E12/1000000</f>
        <v>26.588180400000006</v>
      </c>
      <c r="I24" s="22">
        <f t="shared" si="3"/>
        <v>-12.397005946350026</v>
      </c>
      <c r="J24" s="22">
        <f t="shared" si="4"/>
        <v>0.52540683465103366</v>
      </c>
      <c r="K24" s="16"/>
    </row>
    <row r="25" spans="1:11">
      <c r="A25" s="14"/>
      <c r="B25" s="9" t="str">
        <f>+[17]Total!A13</f>
        <v>Cauca</v>
      </c>
      <c r="C25" s="22">
        <f>+[17]Total!B13/1000000</f>
        <v>269.81772897999997</v>
      </c>
      <c r="D25" s="22">
        <f>+[17]Total!C13/1000000</f>
        <v>319.58982636000036</v>
      </c>
      <c r="E25" s="22">
        <f t="shared" si="1"/>
        <v>18.446563006869621</v>
      </c>
      <c r="F25" s="22">
        <f t="shared" si="2"/>
        <v>0.63701134657741754</v>
      </c>
      <c r="G25" s="22">
        <f>+[17]Total!D13/1000000</f>
        <v>27.753432490000026</v>
      </c>
      <c r="H25" s="22">
        <f>+[17]Total!E13/1000000</f>
        <v>31.787505369999916</v>
      </c>
      <c r="I25" s="22">
        <f t="shared" si="3"/>
        <v>14.535401635287549</v>
      </c>
      <c r="J25" s="22">
        <f t="shared" si="4"/>
        <v>0.6281502655181469</v>
      </c>
      <c r="K25" s="16"/>
    </row>
    <row r="26" spans="1:11">
      <c r="A26" s="14"/>
      <c r="B26" s="9" t="str">
        <f>+[17]Total!A14</f>
        <v>Caldas</v>
      </c>
      <c r="C26" s="22">
        <f>+[17]Total!B14/1000000</f>
        <v>274.33006462999953</v>
      </c>
      <c r="D26" s="22">
        <f>+[17]Total!C14/1000000</f>
        <v>305.33789372999865</v>
      </c>
      <c r="E26" s="22">
        <f t="shared" si="1"/>
        <v>11.303110048044029</v>
      </c>
      <c r="F26" s="22">
        <f t="shared" si="2"/>
        <v>0.60860417573793835</v>
      </c>
      <c r="G26" s="22">
        <f>+[17]Total!D14/1000000</f>
        <v>20.605193819999986</v>
      </c>
      <c r="H26" s="22">
        <f>+[17]Total!E14/1000000</f>
        <v>31.728663680000036</v>
      </c>
      <c r="I26" s="22">
        <f t="shared" si="3"/>
        <v>53.983815717391082</v>
      </c>
      <c r="J26" s="22">
        <f t="shared" si="4"/>
        <v>0.62698749974691892</v>
      </c>
      <c r="K26" s="16"/>
    </row>
    <row r="27" spans="1:11">
      <c r="A27" s="14"/>
      <c r="B27" s="9" t="str">
        <f>+[17]Total!A15</f>
        <v>Risaralda</v>
      </c>
      <c r="C27" s="22">
        <f>+[17]Total!B15/1000000</f>
        <v>241.48112925999962</v>
      </c>
      <c r="D27" s="22">
        <f>+[17]Total!C15/1000000</f>
        <v>304.55205749999755</v>
      </c>
      <c r="E27" s="22">
        <f t="shared" si="1"/>
        <v>26.118367275022258</v>
      </c>
      <c r="F27" s="22">
        <f t="shared" si="2"/>
        <v>0.60703783490423968</v>
      </c>
      <c r="G27" s="22">
        <f>+[17]Total!D15/1000000</f>
        <v>23.722305179999992</v>
      </c>
      <c r="H27" s="22">
        <f>+[17]Total!E15/1000000</f>
        <v>34.227929309999979</v>
      </c>
      <c r="I27" s="22">
        <f t="shared" si="3"/>
        <v>44.285848488523612</v>
      </c>
      <c r="J27" s="22">
        <f t="shared" si="4"/>
        <v>0.67637528122933999</v>
      </c>
      <c r="K27" s="16"/>
    </row>
    <row r="28" spans="1:11">
      <c r="A28" s="14"/>
      <c r="B28" s="9" t="str">
        <f>+[17]Total!A16</f>
        <v>Casanare</v>
      </c>
      <c r="C28" s="22">
        <f>+[17]Total!B16/1000000</f>
        <v>113.63303244999994</v>
      </c>
      <c r="D28" s="22">
        <f>+[17]Total!C16/1000000</f>
        <v>204.68027733999966</v>
      </c>
      <c r="E28" s="22">
        <f t="shared" si="1"/>
        <v>80.123924291170994</v>
      </c>
      <c r="F28" s="22">
        <f t="shared" si="2"/>
        <v>0.40797186997849688</v>
      </c>
      <c r="G28" s="22">
        <f>+[17]Total!D16/1000000</f>
        <v>6.6332143399999968</v>
      </c>
      <c r="H28" s="22">
        <f>+[17]Total!E16/1000000</f>
        <v>4.1240803900000014</v>
      </c>
      <c r="I28" s="22">
        <f t="shared" si="3"/>
        <v>-37.826818513450853</v>
      </c>
      <c r="J28" s="22">
        <f t="shared" si="4"/>
        <v>8.1495611619827157E-2</v>
      </c>
      <c r="K28" s="16"/>
    </row>
    <row r="29" spans="1:11">
      <c r="A29" s="14"/>
      <c r="B29" s="9" t="str">
        <f>+[17]Total!A17</f>
        <v>Boyacá</v>
      </c>
      <c r="C29" s="22">
        <f>+[17]Total!B17/1000000</f>
        <v>146.04545399999998</v>
      </c>
      <c r="D29" s="22">
        <f>+[17]Total!C17/1000000</f>
        <v>163.11788599000013</v>
      </c>
      <c r="E29" s="22">
        <f t="shared" si="1"/>
        <v>11.68980719523125</v>
      </c>
      <c r="F29" s="22">
        <f t="shared" si="2"/>
        <v>0.32512907369055316</v>
      </c>
      <c r="G29" s="22">
        <f>+[17]Total!D17/1000000</f>
        <v>23.188710799999988</v>
      </c>
      <c r="H29" s="22">
        <f>+[17]Total!E17/1000000</f>
        <v>25.019076049999992</v>
      </c>
      <c r="I29" s="22">
        <f t="shared" si="3"/>
        <v>7.8933463174675644</v>
      </c>
      <c r="J29" s="22">
        <f t="shared" si="4"/>
        <v>0.49439989331966394</v>
      </c>
      <c r="K29" s="16"/>
    </row>
    <row r="30" spans="1:11">
      <c r="A30" s="14"/>
      <c r="B30" s="9" t="str">
        <f>+[17]Total!A18</f>
        <v>Meta</v>
      </c>
      <c r="C30" s="22">
        <f>+[17]Total!B18/1000000</f>
        <v>86.045236399999894</v>
      </c>
      <c r="D30" s="22">
        <f>+[17]Total!C18/1000000</f>
        <v>153.13898880000033</v>
      </c>
      <c r="E30" s="22">
        <f t="shared" si="1"/>
        <v>77.974975962760595</v>
      </c>
      <c r="F30" s="22">
        <f t="shared" si="2"/>
        <v>0.30523898266744615</v>
      </c>
      <c r="G30" s="22">
        <f>+[17]Total!D18/1000000</f>
        <v>1.21230017</v>
      </c>
      <c r="H30" s="22">
        <f>+[17]Total!E18/1000000</f>
        <v>9.562203270000003</v>
      </c>
      <c r="I30" s="22">
        <f t="shared" si="3"/>
        <v>688.76531626651536</v>
      </c>
      <c r="J30" s="22">
        <f t="shared" si="4"/>
        <v>0.18895790824333597</v>
      </c>
      <c r="K30" s="16"/>
    </row>
    <row r="31" spans="1:11">
      <c r="A31" s="14"/>
      <c r="B31" s="9" t="str">
        <f>+[17]Total!A19</f>
        <v>Norte de Santander</v>
      </c>
      <c r="C31" s="22">
        <f>+[17]Total!B19/1000000</f>
        <v>123.83741443999975</v>
      </c>
      <c r="D31" s="22">
        <f>+[17]Total!C19/1000000</f>
        <v>144.5670068199997</v>
      </c>
      <c r="E31" s="22">
        <f t="shared" si="1"/>
        <v>16.739361422991927</v>
      </c>
      <c r="F31" s="22">
        <f t="shared" si="2"/>
        <v>0.28815317663253603</v>
      </c>
      <c r="G31" s="22">
        <f>+[17]Total!D19/1000000</f>
        <v>11.003599499999989</v>
      </c>
      <c r="H31" s="22">
        <f>+[17]Total!E19/1000000</f>
        <v>11.470815900000005</v>
      </c>
      <c r="I31" s="22">
        <f t="shared" si="3"/>
        <v>4.2460324005796135</v>
      </c>
      <c r="J31" s="22">
        <f t="shared" si="4"/>
        <v>0.22667384462622908</v>
      </c>
      <c r="K31" s="16"/>
    </row>
    <row r="32" spans="1:11">
      <c r="A32" s="14"/>
      <c r="B32" s="9" t="str">
        <f>+[17]Total!A20</f>
        <v>Córdoba</v>
      </c>
      <c r="C32" s="22">
        <f>+[17]Total!B20/1000000</f>
        <v>62.140826369999992</v>
      </c>
      <c r="D32" s="22">
        <f>+[17]Total!C20/1000000</f>
        <v>130.47558665999978</v>
      </c>
      <c r="E32" s="22">
        <f t="shared" si="1"/>
        <v>109.96757571764455</v>
      </c>
      <c r="F32" s="22">
        <f t="shared" si="2"/>
        <v>0.26006594171161496</v>
      </c>
      <c r="G32" s="22">
        <f>+[17]Total!D20/1000000</f>
        <v>4.9549711500000058</v>
      </c>
      <c r="H32" s="22">
        <f>+[17]Total!E20/1000000</f>
        <v>5.7243773999999963</v>
      </c>
      <c r="I32" s="22">
        <f t="shared" si="3"/>
        <v>15.527966293002326</v>
      </c>
      <c r="J32" s="22">
        <f t="shared" si="4"/>
        <v>0.11311894852653818</v>
      </c>
      <c r="K32" s="16"/>
    </row>
    <row r="33" spans="1:13">
      <c r="A33" s="14"/>
      <c r="B33" s="9" t="str">
        <f>+[17]Total!A21</f>
        <v>Huila</v>
      </c>
      <c r="C33" s="22">
        <f>+[17]Total!B21/1000000</f>
        <v>55.529497079999977</v>
      </c>
      <c r="D33" s="22">
        <f>+[17]Total!C21/1000000</f>
        <v>82.334040070000057</v>
      </c>
      <c r="E33" s="22">
        <f t="shared" si="1"/>
        <v>48.270818933194072</v>
      </c>
      <c r="F33" s="22">
        <f t="shared" si="2"/>
        <v>0.1641094722304155</v>
      </c>
      <c r="G33" s="22">
        <f>+[17]Total!D21/1000000</f>
        <v>4.4300108499999986</v>
      </c>
      <c r="H33" s="22">
        <f>+[17]Total!E21/1000000</f>
        <v>1.8172048499999998</v>
      </c>
      <c r="I33" s="22">
        <f t="shared" si="3"/>
        <v>-58.979674959486829</v>
      </c>
      <c r="J33" s="22">
        <f t="shared" si="4"/>
        <v>3.5909634799642251E-2</v>
      </c>
      <c r="K33" s="16"/>
    </row>
    <row r="34" spans="1:13">
      <c r="A34" s="14"/>
      <c r="B34" s="9" t="str">
        <f>+[17]Total!A22</f>
        <v>Tolima</v>
      </c>
      <c r="C34" s="22">
        <f>+[17]Total!B22/1000000</f>
        <v>25.990773379999982</v>
      </c>
      <c r="D34" s="22">
        <f>+[17]Total!C22/1000000</f>
        <v>67.840214889999999</v>
      </c>
      <c r="E34" s="22">
        <f t="shared" si="1"/>
        <v>161.01653035920566</v>
      </c>
      <c r="F34" s="22">
        <f t="shared" si="2"/>
        <v>0.13522015744800639</v>
      </c>
      <c r="G34" s="22">
        <f>+[17]Total!D22/1000000</f>
        <v>4.0674314200000001</v>
      </c>
      <c r="H34" s="22">
        <f>+[17]Total!E22/1000000</f>
        <v>11.193289749999996</v>
      </c>
      <c r="I34" s="22">
        <f t="shared" si="3"/>
        <v>175.1930787317367</v>
      </c>
      <c r="J34" s="22">
        <f t="shared" si="4"/>
        <v>0.22118967332113321</v>
      </c>
      <c r="K34" s="16"/>
    </row>
    <row r="35" spans="1:13">
      <c r="A35" s="14"/>
      <c r="B35" s="9" t="str">
        <f>+[17]Total!A23</f>
        <v>Quindío</v>
      </c>
      <c r="C35" s="22">
        <f>+[17]Total!B23/1000000</f>
        <v>39.77012136000004</v>
      </c>
      <c r="D35" s="22">
        <f>+[17]Total!C23/1000000</f>
        <v>60.968028819999795</v>
      </c>
      <c r="E35" s="22">
        <f t="shared" si="1"/>
        <v>53.301088191599469</v>
      </c>
      <c r="F35" s="22">
        <f t="shared" si="2"/>
        <v>0.12152241070731318</v>
      </c>
      <c r="G35" s="22">
        <f>+[17]Total!D23/1000000</f>
        <v>5.0832642400000045</v>
      </c>
      <c r="H35" s="22">
        <f>+[17]Total!E23/1000000</f>
        <v>5.644441700000006</v>
      </c>
      <c r="I35" s="22">
        <f t="shared" si="3"/>
        <v>11.03970664330447</v>
      </c>
      <c r="J35" s="22">
        <f t="shared" si="4"/>
        <v>0.1115393457676894</v>
      </c>
      <c r="K35" s="16"/>
    </row>
    <row r="36" spans="1:13">
      <c r="A36" s="14"/>
      <c r="B36" s="9" t="str">
        <f>+[17]Total!A24</f>
        <v>Sucre</v>
      </c>
      <c r="C36" s="22">
        <f>+[17]Total!B24/1000000</f>
        <v>7.7832000900000038</v>
      </c>
      <c r="D36" s="22">
        <f>+[17]Total!C24/1000000</f>
        <v>4.04243576</v>
      </c>
      <c r="E36" s="22">
        <f t="shared" si="1"/>
        <v>-48.062034725359368</v>
      </c>
      <c r="F36" s="22">
        <f t="shared" si="2"/>
        <v>8.0574449952284244E-3</v>
      </c>
      <c r="G36" s="22">
        <f>+[17]Total!D24/1000000</f>
        <v>0.14390164000000003</v>
      </c>
      <c r="H36" s="22">
        <f>+[17]Total!E24/1000000</f>
        <v>0.39191851999999999</v>
      </c>
      <c r="I36" s="22">
        <f t="shared" si="3"/>
        <v>172.35167021029082</v>
      </c>
      <c r="J36" s="22">
        <f t="shared" si="4"/>
        <v>7.7446694710375059E-3</v>
      </c>
      <c r="K36" s="16"/>
    </row>
    <row r="37" spans="1:13">
      <c r="A37" s="14"/>
      <c r="B37" s="9" t="str">
        <f>+[17]Total!A25</f>
        <v>Aráuca</v>
      </c>
      <c r="C37" s="22">
        <f>+[17]Total!B25/1000000</f>
        <v>1.3799512100000004</v>
      </c>
      <c r="D37" s="22">
        <f>+[17]Total!C25/1000000</f>
        <v>2.1082117400000007</v>
      </c>
      <c r="E37" s="22">
        <f t="shared" si="1"/>
        <v>52.774368015518469</v>
      </c>
      <c r="F37" s="22">
        <f t="shared" si="2"/>
        <v>4.2021199944423642E-3</v>
      </c>
      <c r="G37" s="22">
        <f>+[17]Total!D25/1000000</f>
        <v>3.4392690000000004E-2</v>
      </c>
      <c r="H37" s="22">
        <f>+[17]Total!E25/1000000</f>
        <v>0.64790451000000004</v>
      </c>
      <c r="I37" s="22">
        <f t="shared" si="3"/>
        <v>1783.8436598009637</v>
      </c>
      <c r="J37" s="22">
        <f t="shared" si="4"/>
        <v>1.280318745525094E-2</v>
      </c>
      <c r="K37" s="16"/>
    </row>
    <row r="38" spans="1:13">
      <c r="A38" s="14"/>
      <c r="B38" s="9" t="str">
        <f>+[17]Total!A26</f>
        <v>San Andrés</v>
      </c>
      <c r="C38" s="22">
        <f>+[17]Total!B26/1000000</f>
        <v>1.9511452199999988</v>
      </c>
      <c r="D38" s="22">
        <f>+[17]Total!C26/1000000</f>
        <v>1.8780912199999997</v>
      </c>
      <c r="E38" s="22">
        <f t="shared" si="1"/>
        <v>-3.7441600579581236</v>
      </c>
      <c r="F38" s="22">
        <f t="shared" si="2"/>
        <v>3.743440242367994E-3</v>
      </c>
      <c r="G38" s="22">
        <f>+[17]Total!D26/1000000</f>
        <v>1.08916838</v>
      </c>
      <c r="H38" s="22">
        <f>+[17]Total!E26/1000000</f>
        <v>7.3600079999999998E-2</v>
      </c>
      <c r="I38" s="22">
        <f t="shared" si="3"/>
        <v>-93.242543453198664</v>
      </c>
      <c r="J38" s="22">
        <f t="shared" si="4"/>
        <v>1.4544050958396101E-3</v>
      </c>
      <c r="K38" s="16"/>
    </row>
    <row r="39" spans="1:13">
      <c r="A39" s="14"/>
      <c r="B39" s="9" t="str">
        <f>+[17]Total!A27</f>
        <v>Putumayo</v>
      </c>
      <c r="C39" s="22">
        <f>+[17]Total!B27/1000000</f>
        <v>0.76839715999999991</v>
      </c>
      <c r="D39" s="22">
        <f>+[17]Total!C27/1000000</f>
        <v>1.6915923600000005</v>
      </c>
      <c r="E39" s="22">
        <f t="shared" si="1"/>
        <v>120.14557680041409</v>
      </c>
      <c r="F39" s="22">
        <f t="shared" si="2"/>
        <v>3.3717078524579062E-3</v>
      </c>
      <c r="G39" s="22">
        <f>+[17]Total!D27/1000000</f>
        <v>0.28029041999999998</v>
      </c>
      <c r="H39" s="22">
        <f>+[17]Total!E27/1000000</f>
        <v>9.5172449999999992E-2</v>
      </c>
      <c r="I39" s="22">
        <f t="shared" si="3"/>
        <v>-66.045057836796559</v>
      </c>
      <c r="J39" s="22">
        <f t="shared" si="4"/>
        <v>1.880694915868848E-3</v>
      </c>
      <c r="K39" s="16"/>
    </row>
    <row r="40" spans="1:13">
      <c r="A40" s="14"/>
      <c r="B40" s="9" t="str">
        <f>+[17]Total!A28</f>
        <v>Amazonas</v>
      </c>
      <c r="C40" s="22">
        <f>+[17]Total!B28/1000000</f>
        <v>1.3134999499999997</v>
      </c>
      <c r="D40" s="22">
        <f>+[17]Total!C28/1000000</f>
        <v>1.5207995100000002</v>
      </c>
      <c r="E40" s="22">
        <f t="shared" si="1"/>
        <v>15.782228236856843</v>
      </c>
      <c r="F40" s="22">
        <f t="shared" si="2"/>
        <v>3.031280922716591E-3</v>
      </c>
      <c r="G40" s="22">
        <f>+[17]Total!D28/1000000</f>
        <v>2.2892599999999999E-2</v>
      </c>
      <c r="H40" s="22">
        <f>+[17]Total!E28/1000000</f>
        <v>0.26468503999999998</v>
      </c>
      <c r="I40" s="22">
        <f t="shared" si="3"/>
        <v>1056.2034893371656</v>
      </c>
      <c r="J40" s="22">
        <f t="shared" si="4"/>
        <v>5.2304191920512994E-3</v>
      </c>
      <c r="K40" s="16"/>
    </row>
    <row r="41" spans="1:13">
      <c r="A41" s="14"/>
      <c r="B41" s="9" t="str">
        <f>+[17]Total!A29</f>
        <v>Chocó</v>
      </c>
      <c r="C41" s="22">
        <f>+[17]Total!B29/1000000</f>
        <v>0.88003096000000003</v>
      </c>
      <c r="D41" s="22">
        <f>+[17]Total!C29/1000000</f>
        <v>1.5039834900000002</v>
      </c>
      <c r="E41" s="22">
        <f t="shared" si="1"/>
        <v>70.901202157705924</v>
      </c>
      <c r="F41" s="22">
        <f t="shared" si="2"/>
        <v>2.997762973580731E-3</v>
      </c>
      <c r="G41" s="22">
        <f>+[17]Total!D29/1000000</f>
        <v>0.40026345000000002</v>
      </c>
      <c r="H41" s="22">
        <f>+[17]Total!E29/1000000</f>
        <v>5.3563900000000005E-2</v>
      </c>
      <c r="I41" s="22">
        <f t="shared" si="3"/>
        <v>-86.617838825903291</v>
      </c>
      <c r="J41" s="22">
        <f t="shared" si="4"/>
        <v>1.0584717993926541E-3</v>
      </c>
      <c r="K41" s="16"/>
    </row>
    <row r="42" spans="1:13">
      <c r="A42" s="14"/>
      <c r="B42" s="9" t="str">
        <f>+[17]Total!A30</f>
        <v>Caquetá</v>
      </c>
      <c r="C42" s="22">
        <f>+[17]Total!B30/1000000</f>
        <v>8.4080539099999996</v>
      </c>
      <c r="D42" s="22">
        <f>+[17]Total!C30/1000000</f>
        <v>0.74343462000000016</v>
      </c>
      <c r="E42" s="22">
        <f t="shared" si="1"/>
        <v>-91.158065493421645</v>
      </c>
      <c r="F42" s="22">
        <f t="shared" si="2"/>
        <v>1.4818252939159996E-3</v>
      </c>
      <c r="G42" s="22">
        <f>+[17]Total!D30/1000000</f>
        <v>7.9572459699999998</v>
      </c>
      <c r="H42" s="22">
        <f>+[17]Total!E30/1000000</f>
        <v>0.19992607000000004</v>
      </c>
      <c r="I42" s="22">
        <f t="shared" si="3"/>
        <v>-97.487496669654917</v>
      </c>
      <c r="J42" s="22">
        <f t="shared" si="4"/>
        <v>3.9507225399644493E-3</v>
      </c>
      <c r="K42" s="16"/>
    </row>
    <row r="43" spans="1:13">
      <c r="A43" s="14"/>
      <c r="B43" s="9" t="str">
        <f>+[17]Total!A31</f>
        <v>Vichada</v>
      </c>
      <c r="C43" s="22">
        <f>+[17]Total!B31/1000000</f>
        <v>1.1752642800000004</v>
      </c>
      <c r="D43" s="22">
        <f>+[17]Total!C31/1000000</f>
        <v>0.5241981899999999</v>
      </c>
      <c r="E43" s="22">
        <f t="shared" ref="E43" si="5">IF(OR(OR(D43=0,C43=0),D43=""),"",(D43/C43-1)*100)</f>
        <v>-55.397420059427006</v>
      </c>
      <c r="F43" s="22">
        <f t="shared" ref="F43" si="6">(D43/D$13)*100</f>
        <v>1.0448398770654299E-3</v>
      </c>
      <c r="G43" s="22">
        <f>+[17]Total!D31/1000000</f>
        <v>7.9565599999999997E-3</v>
      </c>
      <c r="H43" s="22">
        <f>+[17]Total!E31/1000000</f>
        <v>0.10055769000000001</v>
      </c>
      <c r="I43" s="22">
        <f t="shared" ref="I43" si="7">IF(OR(OR(H43=0,G43=0),H43=""),"",(H43/G43-1)*100)</f>
        <v>1163.833742220256</v>
      </c>
      <c r="J43" s="22">
        <f t="shared" ref="J43" si="8">(H43/H$13)*100</f>
        <v>1.98711219827288E-3</v>
      </c>
      <c r="K43" s="16"/>
    </row>
    <row r="44" spans="1:13">
      <c r="A44" s="14"/>
      <c r="B44" s="9" t="str">
        <f>+[17]Total!A32</f>
        <v>Guaviare</v>
      </c>
      <c r="C44" s="22">
        <f>+[17]Total!B32/1000000</f>
        <v>4.1549599999999999E-2</v>
      </c>
      <c r="D44" s="22">
        <f>+[17]Total!C32/1000000</f>
        <v>3.943319E-2</v>
      </c>
      <c r="E44" s="22">
        <f t="shared" ref="E44" si="9">IF(OR(OR(D44=0,C44=0),D44=""),"",(D44/C44-1)*100)</f>
        <v>-5.0936952461636213</v>
      </c>
      <c r="F44" s="22">
        <f t="shared" ref="F44" si="10">(D44/D$13)*100</f>
        <v>7.8598839480727224E-5</v>
      </c>
      <c r="G44" s="22">
        <f>+[17]Total!D32/1000000</f>
        <v>0</v>
      </c>
      <c r="H44" s="22">
        <f>+[17]Total!E32/1000000</f>
        <v>0</v>
      </c>
      <c r="I44" s="22" t="str">
        <f t="shared" ref="I44" si="11">IF(OR(OR(H44=0,G44=0),H44=""),"",(H44/G44-1)*100)</f>
        <v/>
      </c>
      <c r="J44" s="22">
        <f t="shared" ref="J44" si="12">(H44/H$13)*100</f>
        <v>0</v>
      </c>
      <c r="K44" s="16"/>
    </row>
    <row r="45" spans="1:13">
      <c r="A45" s="14"/>
      <c r="B45" s="9" t="str">
        <f>+[17]Total!A33</f>
        <v>Vaupés</v>
      </c>
      <c r="C45" s="22">
        <f>+[17]Total!B33/1000000</f>
        <v>0</v>
      </c>
      <c r="D45" s="22">
        <f>+[17]Total!C33/1000000</f>
        <v>3.3243600000000002E-3</v>
      </c>
      <c r="E45" s="22" t="str">
        <f t="shared" ref="E45" si="13">IF(OR(OR(D45=0,C45=0),D45=""),"",(D45/C45-1)*100)</f>
        <v/>
      </c>
      <c r="F45" s="22">
        <f t="shared" ref="F45" si="14">(D45/D$13)*100</f>
        <v>6.6261653702414236E-6</v>
      </c>
      <c r="G45" s="22">
        <f>+[17]Total!D33/1000000</f>
        <v>0</v>
      </c>
      <c r="H45" s="22">
        <f>+[17]Total!E33/1000000</f>
        <v>3.3243600000000002E-3</v>
      </c>
      <c r="I45" s="22" t="str">
        <f t="shared" ref="I45" si="15">IF(OR(OR(H45=0,G45=0),H45=""),"",(H45/G45-1)*100)</f>
        <v/>
      </c>
      <c r="J45" s="22">
        <f t="shared" ref="J45" si="16">(H45/H$13)*100</f>
        <v>6.5692403111591274E-5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f>SUM(C14:C42)</f>
        <v>2737.5460722300063</v>
      </c>
      <c r="D13" s="97">
        <f>SUM(D14:D42)</f>
        <v>3671.4186224600012</v>
      </c>
      <c r="E13" s="96">
        <f>IF(OR(OR(D13=0,C13=0),D13=""),"",(D13/C13-1)*100)</f>
        <v>34.113491630453609</v>
      </c>
      <c r="F13" s="96">
        <f>(D13/D$13)*100</f>
        <v>100</v>
      </c>
      <c r="G13" s="97">
        <f t="shared" ref="G13:H13" si="0">SUM(G14:G42)</f>
        <v>284.73264998000002</v>
      </c>
      <c r="H13" s="97">
        <f t="shared" si="0"/>
        <v>311.79748441999993</v>
      </c>
      <c r="I13" s="96">
        <f>IF(OR(OR(H13=0,G13=0),H13=""),"",(H13/G13-1)*100)</f>
        <v>9.5053498226848951</v>
      </c>
      <c r="J13" s="96">
        <f>(H13/H$13)*100</f>
        <v>100</v>
      </c>
      <c r="K13" s="16"/>
    </row>
    <row r="14" spans="1:14">
      <c r="A14" s="14"/>
      <c r="B14" s="9" t="str">
        <f>+[17]Primarios!A2</f>
        <v>Antioquia</v>
      </c>
      <c r="C14" s="22">
        <f>[17]Primarios!B2/1000000</f>
        <v>796.93638716000351</v>
      </c>
      <c r="D14" s="22">
        <f>[17]Primarios!C2/1000000</f>
        <v>1030.9296061699988</v>
      </c>
      <c r="E14" s="22">
        <f>IF(OR(OR(D14=0,C14=0),D14=""),"",(D14/C14-1)*100)</f>
        <v>29.361593068157354</v>
      </c>
      <c r="F14" s="22">
        <f>(D14/D$13)*100</f>
        <v>28.079870812422737</v>
      </c>
      <c r="G14" s="22">
        <f>[17]Primarios!D2/1000000</f>
        <v>73.769218490000014</v>
      </c>
      <c r="H14" s="22">
        <f>[17]Primarios!E2/1000000</f>
        <v>74.632945410000048</v>
      </c>
      <c r="I14" s="22">
        <f>IF(OR(OR(H14=0,G14=0),H14=""),"",(H14/G14-1)*100)</f>
        <v>1.1708500343095229</v>
      </c>
      <c r="J14" s="22">
        <f>(H14/H$13)*100</f>
        <v>23.936352645317491</v>
      </c>
      <c r="K14" s="16"/>
    </row>
    <row r="15" spans="1:14">
      <c r="A15" s="14"/>
      <c r="B15" s="10" t="str">
        <f>+[17]Primarios!A3</f>
        <v>Bogotá</v>
      </c>
      <c r="C15" s="25">
        <f>[17]Primarios!B3/1000000</f>
        <v>579.55623185000275</v>
      </c>
      <c r="D15" s="25">
        <f>[17]Primarios!C3/1000000</f>
        <v>760.56178642999998</v>
      </c>
      <c r="E15" s="25">
        <f t="shared" ref="E15:E38" si="1">IF(OR(OR(D15=0,C15=0),D15=""),"",(D15/C15-1)*100)</f>
        <v>31.231750196561435</v>
      </c>
      <c r="F15" s="25">
        <f t="shared" ref="F15:F38" si="2">(D15/D$13)*100</f>
        <v>20.715746817245055</v>
      </c>
      <c r="G15" s="25">
        <f>[17]Primarios!D3/1000000</f>
        <v>56.922102469999956</v>
      </c>
      <c r="H15" s="25">
        <f>[17]Primarios!E3/1000000</f>
        <v>83.698133489999904</v>
      </c>
      <c r="I15" s="25">
        <f t="shared" ref="I15:I38" si="3">IF(OR(OR(H15=0,G15=0),H15=""),"",(H15/G15-1)*100)</f>
        <v>47.039778676678189</v>
      </c>
      <c r="J15" s="25">
        <f t="shared" ref="J15:J38" si="4">(H15/H$13)*100</f>
        <v>26.843748802429779</v>
      </c>
      <c r="K15" s="16"/>
    </row>
    <row r="16" spans="1:14">
      <c r="A16" s="14"/>
      <c r="B16" s="9" t="str">
        <f>+[17]Primarios!A4</f>
        <v>Valle del Cauca</v>
      </c>
      <c r="C16" s="22">
        <f>[17]Primarios!B4/1000000</f>
        <v>460.78437836000006</v>
      </c>
      <c r="D16" s="22">
        <f>[17]Primarios!C4/1000000</f>
        <v>626.20572697000284</v>
      </c>
      <c r="E16" s="22">
        <f t="shared" si="1"/>
        <v>35.899947215824014</v>
      </c>
      <c r="F16" s="22">
        <f t="shared" si="2"/>
        <v>17.056233335506136</v>
      </c>
      <c r="G16" s="22">
        <f>[17]Primarios!D4/1000000</f>
        <v>48.184633550000022</v>
      </c>
      <c r="H16" s="22">
        <f>[17]Primarios!E4/1000000</f>
        <v>43.577753940000036</v>
      </c>
      <c r="I16" s="22">
        <f t="shared" si="3"/>
        <v>-9.5608895836460821</v>
      </c>
      <c r="J16" s="22">
        <f t="shared" si="4"/>
        <v>13.976300681534552</v>
      </c>
      <c r="K16" s="16"/>
    </row>
    <row r="17" spans="1:11">
      <c r="A17" s="14"/>
      <c r="B17" s="9" t="str">
        <f>+[17]Primarios!A5</f>
        <v>Cundinamarca</v>
      </c>
      <c r="C17" s="22">
        <f>[17]Primarios!B5/1000000</f>
        <v>204.90543644999971</v>
      </c>
      <c r="D17" s="22">
        <f>[17]Primarios!C5/1000000</f>
        <v>365.49139364000058</v>
      </c>
      <c r="E17" s="22">
        <f t="shared" si="1"/>
        <v>78.370764569336586</v>
      </c>
      <c r="F17" s="22">
        <f t="shared" si="2"/>
        <v>9.9550454803518527</v>
      </c>
      <c r="G17" s="22">
        <f>[17]Primarios!D5/1000000</f>
        <v>37.635054489999987</v>
      </c>
      <c r="H17" s="22">
        <f>[17]Primarios!E5/1000000</f>
        <v>34.670619810000005</v>
      </c>
      <c r="I17" s="22">
        <f t="shared" si="3"/>
        <v>-7.8767912526542583</v>
      </c>
      <c r="J17" s="22">
        <f t="shared" si="4"/>
        <v>11.119595744812909</v>
      </c>
      <c r="K17" s="16"/>
    </row>
    <row r="18" spans="1:11">
      <c r="A18" s="14"/>
      <c r="B18" s="9" t="str">
        <f>+[17]Primarios!A6</f>
        <v>Santander</v>
      </c>
      <c r="C18" s="22">
        <f>[17]Primarios!B6/1000000</f>
        <v>220.6645910499997</v>
      </c>
      <c r="D18" s="22">
        <f>[17]Primarios!C6/1000000</f>
        <v>283.88176649999974</v>
      </c>
      <c r="E18" s="22">
        <f t="shared" si="1"/>
        <v>28.648536291749615</v>
      </c>
      <c r="F18" s="22">
        <f t="shared" si="2"/>
        <v>7.7322091456241315</v>
      </c>
      <c r="G18" s="22">
        <f>[17]Primarios!D6/1000000</f>
        <v>27.136550399999994</v>
      </c>
      <c r="H18" s="22">
        <f>[17]Primarios!E6/1000000</f>
        <v>20.825639470000009</v>
      </c>
      <c r="I18" s="22">
        <f t="shared" si="3"/>
        <v>-23.256128125997865</v>
      </c>
      <c r="J18" s="22">
        <f t="shared" si="4"/>
        <v>6.6792198496211377</v>
      </c>
      <c r="K18" s="16"/>
    </row>
    <row r="19" spans="1:11">
      <c r="A19" s="14"/>
      <c r="B19" s="9" t="str">
        <f>+[17]Primarios!A7</f>
        <v>Atlántico</v>
      </c>
      <c r="C19" s="22">
        <f>[17]Primarios!B7/1000000</f>
        <v>152.59709132999996</v>
      </c>
      <c r="D19" s="22">
        <f>[17]Primarios!C7/1000000</f>
        <v>197.10077236999942</v>
      </c>
      <c r="E19" s="22">
        <f t="shared" si="1"/>
        <v>29.16417387259218</v>
      </c>
      <c r="F19" s="22">
        <f t="shared" si="2"/>
        <v>5.3685180753899919</v>
      </c>
      <c r="G19" s="22">
        <f>[17]Primarios!D7/1000000</f>
        <v>13.084442349999998</v>
      </c>
      <c r="H19" s="22">
        <f>[17]Primarios!E7/1000000</f>
        <v>11.99983643999999</v>
      </c>
      <c r="I19" s="22">
        <f t="shared" si="3"/>
        <v>-8.2892788319710693</v>
      </c>
      <c r="J19" s="22">
        <f t="shared" si="4"/>
        <v>3.8485995043615793</v>
      </c>
      <c r="K19" s="16"/>
    </row>
    <row r="20" spans="1:11">
      <c r="A20" s="14"/>
      <c r="B20" s="9" t="str">
        <f>+[17]Primarios!A8</f>
        <v>Nariño</v>
      </c>
      <c r="C20" s="22">
        <f>[17]Primarios!B8/1000000</f>
        <v>109.89652977000003</v>
      </c>
      <c r="D20" s="22">
        <f>[17]Primarios!C8/1000000</f>
        <v>192.96763123999983</v>
      </c>
      <c r="E20" s="22">
        <f t="shared" si="1"/>
        <v>75.590286284614663</v>
      </c>
      <c r="F20" s="22">
        <f t="shared" si="2"/>
        <v>5.2559419418835871</v>
      </c>
      <c r="G20" s="22">
        <f>[17]Primarios!D8/1000000</f>
        <v>11.404976669999995</v>
      </c>
      <c r="H20" s="22">
        <f>[17]Primarios!E8/1000000</f>
        <v>18.818265409999981</v>
      </c>
      <c r="I20" s="22">
        <f t="shared" si="3"/>
        <v>65.000472640160069</v>
      </c>
      <c r="J20" s="22">
        <f t="shared" si="4"/>
        <v>6.0354128401662317</v>
      </c>
      <c r="K20" s="16"/>
    </row>
    <row r="21" spans="1:11">
      <c r="A21" s="14"/>
      <c r="B21" s="9" t="str">
        <f>+[17]Primarios!A9</f>
        <v>Bolívar</v>
      </c>
      <c r="C21" s="22">
        <f>[17]Primarios!B9/1000000</f>
        <v>76.796002929999901</v>
      </c>
      <c r="D21" s="22">
        <f>[17]Primarios!C9/1000000</f>
        <v>73.036049749999961</v>
      </c>
      <c r="E21" s="22">
        <f t="shared" si="1"/>
        <v>-4.8960271844189158</v>
      </c>
      <c r="F21" s="22">
        <f t="shared" si="2"/>
        <v>1.9893141387691389</v>
      </c>
      <c r="G21" s="22">
        <f>[17]Primarios!D9/1000000</f>
        <v>3.9444541399999999</v>
      </c>
      <c r="H21" s="22">
        <f>[17]Primarios!E9/1000000</f>
        <v>5.5279871900000002</v>
      </c>
      <c r="I21" s="22">
        <f t="shared" si="3"/>
        <v>40.145809630328209</v>
      </c>
      <c r="J21" s="22">
        <f t="shared" si="4"/>
        <v>1.7729415618227526</v>
      </c>
      <c r="K21" s="16"/>
    </row>
    <row r="22" spans="1:11">
      <c r="A22" s="14"/>
      <c r="B22" s="9" t="str">
        <f>+[17]Primarios!A10</f>
        <v>Cauca</v>
      </c>
      <c r="C22" s="22">
        <f>[17]Primarios!B10/1000000</f>
        <v>20.963116109999994</v>
      </c>
      <c r="D22" s="22">
        <f>[17]Primarios!C10/1000000</f>
        <v>29.115748029999992</v>
      </c>
      <c r="E22" s="22">
        <f t="shared" si="1"/>
        <v>38.890362850735549</v>
      </c>
      <c r="F22" s="22">
        <f t="shared" si="2"/>
        <v>0.7930380875633094</v>
      </c>
      <c r="G22" s="22">
        <f>[17]Primarios!D10/1000000</f>
        <v>2.4334987899999994</v>
      </c>
      <c r="H22" s="22">
        <f>[17]Primarios!E10/1000000</f>
        <v>1.8797487500000001</v>
      </c>
      <c r="I22" s="22">
        <f t="shared" si="3"/>
        <v>-22.755303691767992</v>
      </c>
      <c r="J22" s="22">
        <f t="shared" si="4"/>
        <v>0.60287489281598117</v>
      </c>
      <c r="K22" s="16"/>
    </row>
    <row r="23" spans="1:11">
      <c r="A23" s="14"/>
      <c r="B23" s="9" t="str">
        <f>+[17]Primarios!A11</f>
        <v>Risaralda</v>
      </c>
      <c r="C23" s="22">
        <f>[17]Primarios!B11/1000000</f>
        <v>10.315613729999997</v>
      </c>
      <c r="D23" s="22">
        <f>[17]Primarios!C11/1000000</f>
        <v>23.783592439999993</v>
      </c>
      <c r="E23" s="22">
        <f t="shared" si="1"/>
        <v>130.5591607296447</v>
      </c>
      <c r="F23" s="22">
        <f t="shared" si="2"/>
        <v>0.64780388415810797</v>
      </c>
      <c r="G23" s="22">
        <f>[17]Primarios!D11/1000000</f>
        <v>0.85644094000000004</v>
      </c>
      <c r="H23" s="22">
        <f>[17]Primarios!E11/1000000</f>
        <v>4.2630507200000007</v>
      </c>
      <c r="I23" s="22">
        <f t="shared" si="3"/>
        <v>397.76353755344769</v>
      </c>
      <c r="J23" s="22">
        <f t="shared" si="4"/>
        <v>1.3672498762875045</v>
      </c>
      <c r="K23" s="16"/>
    </row>
    <row r="24" spans="1:11">
      <c r="A24" s="14"/>
      <c r="B24" s="9" t="str">
        <f>+[17]Primarios!A12</f>
        <v>Córdoba</v>
      </c>
      <c r="C24" s="22">
        <f>[17]Primarios!B12/1000000</f>
        <v>18.235557800000006</v>
      </c>
      <c r="D24" s="22">
        <f>[17]Primarios!C12/1000000</f>
        <v>20.582476990000004</v>
      </c>
      <c r="E24" s="22">
        <f t="shared" si="1"/>
        <v>12.870015909247346</v>
      </c>
      <c r="F24" s="22">
        <f t="shared" si="2"/>
        <v>0.56061373290657057</v>
      </c>
      <c r="G24" s="22">
        <f>[17]Primarios!D12/1000000</f>
        <v>1.6668373599999999</v>
      </c>
      <c r="H24" s="22">
        <f>[17]Primarios!E12/1000000</f>
        <v>2.4822256199999999</v>
      </c>
      <c r="I24" s="22">
        <f t="shared" si="3"/>
        <v>48.918285584863533</v>
      </c>
      <c r="J24" s="22">
        <f t="shared" si="4"/>
        <v>0.79610187510569286</v>
      </c>
      <c r="K24" s="16"/>
    </row>
    <row r="25" spans="1:11">
      <c r="A25" s="14"/>
      <c r="B25" s="9" t="str">
        <f>+[17]Primarios!A13</f>
        <v>Magdalena</v>
      </c>
      <c r="C25" s="22">
        <f>[17]Primarios!B13/1000000</f>
        <v>9.7578928200000039</v>
      </c>
      <c r="D25" s="22">
        <f>[17]Primarios!C13/1000000</f>
        <v>18.866939420000001</v>
      </c>
      <c r="E25" s="22">
        <f t="shared" si="1"/>
        <v>93.350549837254661</v>
      </c>
      <c r="F25" s="22">
        <f t="shared" si="2"/>
        <v>0.51388690204328635</v>
      </c>
      <c r="G25" s="22">
        <f>[17]Primarios!D13/1000000</f>
        <v>0.75001567999999996</v>
      </c>
      <c r="H25" s="22">
        <f>[17]Primarios!E13/1000000</f>
        <v>4.8572772000000004</v>
      </c>
      <c r="I25" s="22">
        <f t="shared" si="3"/>
        <v>547.62342035302515</v>
      </c>
      <c r="J25" s="22">
        <f t="shared" si="4"/>
        <v>1.5578307852725046</v>
      </c>
      <c r="K25" s="16"/>
    </row>
    <row r="26" spans="1:11">
      <c r="A26" s="14"/>
      <c r="B26" s="9" t="str">
        <f>+[17]Primarios!A14</f>
        <v>Caldas</v>
      </c>
      <c r="C26" s="22">
        <f>[17]Primarios!B14/1000000</f>
        <v>8.1545343399999997</v>
      </c>
      <c r="D26" s="22">
        <f>[17]Primarios!C14/1000000</f>
        <v>12.966955029999999</v>
      </c>
      <c r="E26" s="22">
        <f t="shared" si="1"/>
        <v>59.015272845119938</v>
      </c>
      <c r="F26" s="22">
        <f t="shared" si="2"/>
        <v>0.35318650264163032</v>
      </c>
      <c r="G26" s="22">
        <f>[17]Primarios!D14/1000000</f>
        <v>0.79257485999999999</v>
      </c>
      <c r="H26" s="22">
        <f>[17]Primarios!E14/1000000</f>
        <v>1.3864136300000001</v>
      </c>
      <c r="I26" s="22">
        <f t="shared" si="3"/>
        <v>74.925259425967667</v>
      </c>
      <c r="J26" s="22">
        <f t="shared" si="4"/>
        <v>0.44465196137774543</v>
      </c>
      <c r="K26" s="16"/>
    </row>
    <row r="27" spans="1:11">
      <c r="A27" s="14"/>
      <c r="B27" s="9" t="str">
        <f>+[17]Primarios!A15</f>
        <v>Norte de Santander</v>
      </c>
      <c r="C27" s="22">
        <f>[17]Primarios!B15/1000000</f>
        <v>9.9317703599999909</v>
      </c>
      <c r="D27" s="22">
        <f>[17]Primarios!C15/1000000</f>
        <v>7.9449078699999944</v>
      </c>
      <c r="E27" s="22">
        <f t="shared" si="1"/>
        <v>-20.00511910748607</v>
      </c>
      <c r="F27" s="22">
        <f t="shared" si="2"/>
        <v>0.21639885523804911</v>
      </c>
      <c r="G27" s="22">
        <f>[17]Primarios!D15/1000000</f>
        <v>0.53395338000000003</v>
      </c>
      <c r="H27" s="22">
        <f>[17]Primarios!E15/1000000</f>
        <v>0.24778579000000001</v>
      </c>
      <c r="I27" s="22">
        <f t="shared" si="3"/>
        <v>-53.594115276505974</v>
      </c>
      <c r="J27" s="22">
        <f t="shared" si="4"/>
        <v>7.9470105559359031E-2</v>
      </c>
      <c r="K27" s="16"/>
    </row>
    <row r="28" spans="1:11">
      <c r="A28" s="14"/>
      <c r="B28" s="9" t="str">
        <f>+[17]Primarios!A16</f>
        <v>Quindío</v>
      </c>
      <c r="C28" s="22">
        <f>[17]Primarios!B16/1000000</f>
        <v>6.6753400899999988</v>
      </c>
      <c r="D28" s="22">
        <f>[17]Primarios!C16/1000000</f>
        <v>5.8582557099999999</v>
      </c>
      <c r="E28" s="22">
        <f t="shared" si="1"/>
        <v>-12.240340851307829</v>
      </c>
      <c r="F28" s="22">
        <f t="shared" si="2"/>
        <v>0.15956381748902085</v>
      </c>
      <c r="G28" s="22">
        <f>[17]Primarios!D16/1000000</f>
        <v>1.2592650700000001</v>
      </c>
      <c r="H28" s="22">
        <f>[17]Primarios!E16/1000000</f>
        <v>1.5748825499999999</v>
      </c>
      <c r="I28" s="22">
        <f t="shared" si="3"/>
        <v>25.063625404935586</v>
      </c>
      <c r="J28" s="22">
        <f t="shared" si="4"/>
        <v>0.50509790126420295</v>
      </c>
      <c r="K28" s="16"/>
    </row>
    <row r="29" spans="1:11">
      <c r="A29" s="14"/>
      <c r="B29" s="9" t="str">
        <f>+[17]Primarios!A17</f>
        <v>Tolima</v>
      </c>
      <c r="C29" s="22">
        <f>[17]Primarios!B17/1000000</f>
        <v>2.3517662300000004</v>
      </c>
      <c r="D29" s="22">
        <f>[17]Primarios!C17/1000000</f>
        <v>5.681804480000002</v>
      </c>
      <c r="E29" s="22">
        <f t="shared" si="1"/>
        <v>141.59733257161369</v>
      </c>
      <c r="F29" s="22">
        <f t="shared" si="2"/>
        <v>0.15475773983498944</v>
      </c>
      <c r="G29" s="22">
        <f>[17]Primarios!D17/1000000</f>
        <v>8.3905139999999989E-2</v>
      </c>
      <c r="H29" s="22">
        <f>[17]Primarios!E17/1000000</f>
        <v>0.35075493999999996</v>
      </c>
      <c r="I29" s="22">
        <f t="shared" si="3"/>
        <v>318.03748852573273</v>
      </c>
      <c r="J29" s="22">
        <f t="shared" si="4"/>
        <v>0.11249447398604515</v>
      </c>
      <c r="K29" s="16"/>
    </row>
    <row r="30" spans="1:11">
      <c r="A30" s="14"/>
      <c r="B30" s="9" t="str">
        <f>+[17]Primarios!A18</f>
        <v>Huila</v>
      </c>
      <c r="C30" s="22">
        <f>[17]Primarios!B18/1000000</f>
        <v>21.597867239999999</v>
      </c>
      <c r="D30" s="22">
        <f>[17]Primarios!C18/1000000</f>
        <v>5.5264681900000001</v>
      </c>
      <c r="E30" s="22">
        <f t="shared" si="1"/>
        <v>-74.411972586974755</v>
      </c>
      <c r="F30" s="22">
        <f t="shared" si="2"/>
        <v>0.1505267788367059</v>
      </c>
      <c r="G30" s="22">
        <f>[17]Primarios!D18/1000000</f>
        <v>1.1462275999999998</v>
      </c>
      <c r="H30" s="22">
        <f>[17]Primarios!E18/1000000</f>
        <v>2.1000000000000001E-2</v>
      </c>
      <c r="I30" s="22">
        <f t="shared" si="3"/>
        <v>-98.167903128488618</v>
      </c>
      <c r="J30" s="22">
        <f t="shared" si="4"/>
        <v>6.7351409326036806E-3</v>
      </c>
      <c r="K30" s="16"/>
    </row>
    <row r="31" spans="1:11">
      <c r="A31" s="14"/>
      <c r="B31" s="9" t="str">
        <f>+[17]Primarios!A19</f>
        <v>Meta</v>
      </c>
      <c r="C31" s="22">
        <f>[17]Primarios!B19/1000000</f>
        <v>0.57413808</v>
      </c>
      <c r="D31" s="22">
        <f>[17]Primarios!C19/1000000</f>
        <v>3.3466772799999998</v>
      </c>
      <c r="E31" s="22">
        <f t="shared" si="1"/>
        <v>482.90460023135893</v>
      </c>
      <c r="F31" s="22">
        <f t="shared" si="2"/>
        <v>9.1154881100363017E-2</v>
      </c>
      <c r="G31" s="22">
        <f>[17]Primarios!D19/1000000</f>
        <v>0</v>
      </c>
      <c r="H31" s="22">
        <f>[17]Primarios!E19/1000000</f>
        <v>2.9933510000000003E-2</v>
      </c>
      <c r="I31" s="22" t="str">
        <f t="shared" si="3"/>
        <v/>
      </c>
      <c r="J31" s="22">
        <f t="shared" si="4"/>
        <v>9.6003051646429347E-3</v>
      </c>
      <c r="K31" s="16"/>
    </row>
    <row r="32" spans="1:11">
      <c r="A32" s="14"/>
      <c r="B32" s="9" t="str">
        <f>+[17]Primarios!A20</f>
        <v>Boyacá</v>
      </c>
      <c r="C32" s="22">
        <f>[17]Primarios!B20/1000000</f>
        <v>3.4752529099999991</v>
      </c>
      <c r="D32" s="22">
        <f>[17]Primarios!C20/1000000</f>
        <v>2.5255611599999996</v>
      </c>
      <c r="E32" s="22">
        <f t="shared" si="1"/>
        <v>-27.327270118018543</v>
      </c>
      <c r="F32" s="22">
        <f t="shared" si="2"/>
        <v>6.8789789988801933E-2</v>
      </c>
      <c r="G32" s="22">
        <f>[17]Primarios!D20/1000000</f>
        <v>0.61768592</v>
      </c>
      <c r="H32" s="22">
        <f>[17]Primarios!E20/1000000</f>
        <v>0.17417270000000001</v>
      </c>
      <c r="I32" s="22">
        <f t="shared" si="3"/>
        <v>-71.802384616440662</v>
      </c>
      <c r="J32" s="22">
        <f t="shared" si="4"/>
        <v>5.5860841957719107E-2</v>
      </c>
      <c r="K32" s="16"/>
    </row>
    <row r="33" spans="1:13">
      <c r="A33" s="14"/>
      <c r="B33" s="9" t="str">
        <f>+[17]Primarios!A21</f>
        <v>Guajira</v>
      </c>
      <c r="C33" s="22">
        <f>[17]Primarios!B21/1000000</f>
        <v>1.1480802799999996</v>
      </c>
      <c r="D33" s="22">
        <f>[17]Primarios!C21/1000000</f>
        <v>2.1522273199999993</v>
      </c>
      <c r="E33" s="22">
        <f t="shared" si="1"/>
        <v>87.463138030730732</v>
      </c>
      <c r="F33" s="22">
        <f t="shared" si="2"/>
        <v>5.8621136441202627E-2</v>
      </c>
      <c r="G33" s="22">
        <f>[17]Primarios!D21/1000000</f>
        <v>0</v>
      </c>
      <c r="H33" s="22">
        <f>[17]Primarios!E21/1000000</f>
        <v>0.13056921000000002</v>
      </c>
      <c r="I33" s="22" t="str">
        <f t="shared" si="3"/>
        <v/>
      </c>
      <c r="J33" s="22">
        <f t="shared" si="4"/>
        <v>4.1876287181367905E-2</v>
      </c>
      <c r="K33" s="16"/>
    </row>
    <row r="34" spans="1:13">
      <c r="A34" s="14"/>
      <c r="B34" s="9" t="str">
        <f>+[17]Primarios!A22</f>
        <v>Cesar</v>
      </c>
      <c r="C34" s="22">
        <f>[17]Primarios!B22/1000000</f>
        <v>17.209056409999992</v>
      </c>
      <c r="D34" s="22">
        <f>[17]Primarios!C22/1000000</f>
        <v>1.1111418800000001</v>
      </c>
      <c r="E34" s="22">
        <f t="shared" si="1"/>
        <v>-93.543272486722003</v>
      </c>
      <c r="F34" s="22">
        <f t="shared" si="2"/>
        <v>3.0264646837126121E-2</v>
      </c>
      <c r="G34" s="22">
        <f>[17]Primarios!D22/1000000</f>
        <v>1.3257329</v>
      </c>
      <c r="H34" s="22">
        <f>[17]Primarios!E22/1000000</f>
        <v>0.60789903999999995</v>
      </c>
      <c r="I34" s="22">
        <f t="shared" si="3"/>
        <v>-54.146190382693234</v>
      </c>
      <c r="J34" s="22">
        <f t="shared" si="4"/>
        <v>0.19496598605688009</v>
      </c>
      <c r="K34" s="16"/>
    </row>
    <row r="35" spans="1:13">
      <c r="A35" s="14"/>
      <c r="B35" s="9" t="str">
        <f>+[17]Primarios!A23</f>
        <v>Sucre</v>
      </c>
      <c r="C35" s="22">
        <f>[17]Primarios!B23/1000000</f>
        <v>2.2107368900000002</v>
      </c>
      <c r="D35" s="22">
        <f>[17]Primarios!C23/1000000</f>
        <v>0.60078273000000004</v>
      </c>
      <c r="E35" s="22">
        <f t="shared" si="1"/>
        <v>-72.824322391435743</v>
      </c>
      <c r="F35" s="22">
        <f t="shared" si="2"/>
        <v>1.6363776288672058E-2</v>
      </c>
      <c r="G35" s="22">
        <f>[17]Primarios!D23/1000000</f>
        <v>6.4192780000000005E-2</v>
      </c>
      <c r="H35" s="22">
        <f>[17]Primarios!E23/1000000</f>
        <v>2.870644E-2</v>
      </c>
      <c r="I35" s="22">
        <f t="shared" si="3"/>
        <v>-55.280889844621164</v>
      </c>
      <c r="J35" s="22">
        <f t="shared" si="4"/>
        <v>9.2067580511110293E-3</v>
      </c>
      <c r="K35" s="16"/>
    </row>
    <row r="36" spans="1:13">
      <c r="A36" s="14"/>
      <c r="B36" s="9" t="str">
        <f>+[17]Primarios!A24</f>
        <v>Putumayo</v>
      </c>
      <c r="C36" s="22">
        <f>[17]Primarios!B24/1000000</f>
        <v>6.580902000000001E-2</v>
      </c>
      <c r="D36" s="22">
        <f>[17]Primarios!C24/1000000</f>
        <v>0.42363015000000004</v>
      </c>
      <c r="E36" s="22">
        <f t="shared" si="1"/>
        <v>543.72657425988109</v>
      </c>
      <c r="F36" s="22">
        <f t="shared" si="2"/>
        <v>1.1538595664586744E-2</v>
      </c>
      <c r="G36" s="22">
        <f>[17]Primarios!D24/1000000</f>
        <v>8.1330199999999995E-3</v>
      </c>
      <c r="H36" s="22">
        <f>[17]Primarios!E24/1000000</f>
        <v>0</v>
      </c>
      <c r="I36" s="22" t="str">
        <f t="shared" si="3"/>
        <v/>
      </c>
      <c r="J36" s="22">
        <f t="shared" si="4"/>
        <v>0</v>
      </c>
      <c r="K36" s="16"/>
    </row>
    <row r="37" spans="1:13">
      <c r="A37" s="14"/>
      <c r="B37" s="9" t="str">
        <f>+[17]Primarios!A25</f>
        <v>Amazonas</v>
      </c>
      <c r="C37" s="22">
        <f>[17]Primarios!B25/1000000</f>
        <v>0.28273285000000004</v>
      </c>
      <c r="D37" s="22">
        <f>[17]Primarios!C25/1000000</f>
        <v>0.32246606999999999</v>
      </c>
      <c r="E37" s="22">
        <f t="shared" si="1"/>
        <v>14.053273257776722</v>
      </c>
      <c r="F37" s="22">
        <f t="shared" si="2"/>
        <v>8.7831463300672187E-3</v>
      </c>
      <c r="G37" s="22">
        <f>[17]Primarios!D25/1000000</f>
        <v>0</v>
      </c>
      <c r="H37" s="22">
        <f>[17]Primarios!E25/1000000</f>
        <v>0</v>
      </c>
      <c r="I37" s="22" t="str">
        <f t="shared" si="3"/>
        <v/>
      </c>
      <c r="J37" s="22">
        <f t="shared" si="4"/>
        <v>0</v>
      </c>
      <c r="K37" s="16"/>
    </row>
    <row r="38" spans="1:13">
      <c r="A38" s="14"/>
      <c r="B38" s="9" t="str">
        <f>+[17]Primarios!A26</f>
        <v>Casanare</v>
      </c>
      <c r="C38" s="22">
        <f>[17]Primarios!B26/1000000</f>
        <v>1.7655319999999999E-2</v>
      </c>
      <c r="D38" s="22">
        <f>[17]Primarios!C26/1000000</f>
        <v>0.15620759000000004</v>
      </c>
      <c r="E38" s="22">
        <f t="shared" si="1"/>
        <v>784.76215667572171</v>
      </c>
      <c r="F38" s="22">
        <f t="shared" si="2"/>
        <v>4.2546929692080316E-3</v>
      </c>
      <c r="G38" s="22">
        <f>[17]Primarios!D26/1000000</f>
        <v>0</v>
      </c>
      <c r="H38" s="22">
        <f>[17]Primarios!E26/1000000</f>
        <v>0</v>
      </c>
      <c r="I38" s="22" t="str">
        <f t="shared" si="3"/>
        <v/>
      </c>
      <c r="J38" s="22">
        <f t="shared" si="4"/>
        <v>0</v>
      </c>
      <c r="K38" s="16"/>
    </row>
    <row r="39" spans="1:13">
      <c r="A39" s="14"/>
      <c r="B39" s="9" t="str">
        <f>+[17]Primarios!A27</f>
        <v>San Andrés</v>
      </c>
      <c r="C39" s="22">
        <f>[17]Primarios!B27/1000000</f>
        <v>1.5358190300000001</v>
      </c>
      <c r="D39" s="22">
        <f>[17]Primarios!C27/1000000</f>
        <v>0.12851625</v>
      </c>
      <c r="E39" s="22">
        <f t="shared" ref="E39" si="5">IF(OR(OR(D39=0,C39=0),D39=""),"",(D39/C39-1)*100)</f>
        <v>-91.632070739480284</v>
      </c>
      <c r="F39" s="22">
        <f t="shared" ref="F39" si="6">(D39/D$13)*100</f>
        <v>3.5004520926542786E-3</v>
      </c>
      <c r="G39" s="22">
        <f>[17]Primarios!D27/1000000</f>
        <v>1.08730828</v>
      </c>
      <c r="H39" s="22">
        <f>[17]Primarios!E27/1000000</f>
        <v>0</v>
      </c>
      <c r="I39" s="22" t="str">
        <f t="shared" ref="I39" si="7">IF(OR(OR(H39=0,G39=0),H39=""),"",(H39/G39-1)*100)</f>
        <v/>
      </c>
      <c r="J39" s="22">
        <f t="shared" ref="J39" si="8">(H39/H$13)*100</f>
        <v>0</v>
      </c>
      <c r="K39" s="16"/>
    </row>
    <row r="40" spans="1:13">
      <c r="A40" s="14"/>
      <c r="B40" s="9" t="str">
        <f>+[17]Primarios!A28</f>
        <v>Caquetá</v>
      </c>
      <c r="C40" s="22">
        <f>[17]Primarios!B28/1000000</f>
        <v>0</v>
      </c>
      <c r="D40" s="22">
        <f>[17]Primarios!C28/1000000</f>
        <v>9.6360000000000001E-2</v>
      </c>
      <c r="E40" s="22" t="str">
        <f t="shared" ref="E40" si="9">IF(OR(OR(D40=0,C40=0),D40=""),"",(D40/C40-1)*100)</f>
        <v/>
      </c>
      <c r="F40" s="22">
        <f t="shared" ref="F40" si="10">(D40/D$13)*100</f>
        <v>2.6245985519198255E-3</v>
      </c>
      <c r="G40" s="22">
        <f>[17]Primarios!D28/1000000</f>
        <v>0</v>
      </c>
      <c r="H40" s="22">
        <f>[17]Primarios!E28/1000000</f>
        <v>0</v>
      </c>
      <c r="I40" s="22" t="str">
        <f t="shared" ref="I40" si="11">IF(OR(OR(H40=0,G40=0),H40=""),"",(H40/G40-1)*100)</f>
        <v/>
      </c>
      <c r="J40" s="22">
        <f t="shared" ref="J40" si="12">(H40/H$13)*100</f>
        <v>0</v>
      </c>
      <c r="K40" s="16"/>
    </row>
    <row r="41" spans="1:13">
      <c r="A41" s="14"/>
      <c r="B41" s="9" t="str">
        <f>+[17]Primarios!A29</f>
        <v>Aráuca</v>
      </c>
      <c r="C41" s="22">
        <f>[17]Primarios!B29/1000000</f>
        <v>4.8841479999999986E-2</v>
      </c>
      <c r="D41" s="22">
        <f>[17]Primarios!C29/1000000</f>
        <v>4.3607569999999991E-2</v>
      </c>
      <c r="E41" s="22">
        <f t="shared" ref="E41" si="13">IF(OR(OR(D41=0,C41=0),D41=""),"",(D41/C41-1)*100)</f>
        <v>-10.716116710632019</v>
      </c>
      <c r="F41" s="22">
        <f t="shared" ref="F41" si="14">(D41/D$13)*100</f>
        <v>1.1877580435319885E-3</v>
      </c>
      <c r="G41" s="22">
        <f>[17]Primarios!D29/1000000</f>
        <v>2.4097460000000008E-2</v>
      </c>
      <c r="H41" s="22">
        <f>[17]Primarios!E29/1000000</f>
        <v>1.188316E-2</v>
      </c>
      <c r="I41" s="22">
        <f t="shared" ref="I41" si="15">IF(OR(OR(H41=0,G41=0),H41=""),"",(H41/G41-1)*100)</f>
        <v>-50.687084862885982</v>
      </c>
      <c r="J41" s="22">
        <f t="shared" ref="J41" si="16">(H41/H$13)*100</f>
        <v>3.8111789202227978E-3</v>
      </c>
      <c r="K41" s="16"/>
    </row>
    <row r="42" spans="1:13">
      <c r="A42" s="14"/>
      <c r="B42" s="9" t="str">
        <f>+[17]Primarios!A30</f>
        <v>Vichada</v>
      </c>
      <c r="C42" s="22">
        <f>[17]Primarios!B30/1000000</f>
        <v>0.85784233999999993</v>
      </c>
      <c r="D42" s="22">
        <f>[17]Primarios!C30/1000000</f>
        <v>9.563229999999999E-3</v>
      </c>
      <c r="E42" s="22">
        <f t="shared" ref="E42" si="17">IF(OR(OR(D42=0,C42=0),D42=""),"",(D42/C42-1)*100)</f>
        <v>-98.885199581079192</v>
      </c>
      <c r="F42" s="22">
        <f t="shared" ref="F42" si="18">(D42/D$13)*100</f>
        <v>2.6047778756409538E-4</v>
      </c>
      <c r="G42" s="22">
        <f>[17]Primarios!D30/1000000</f>
        <v>1.3482400000000001E-3</v>
      </c>
      <c r="H42" s="22">
        <f>[17]Primarios!E30/1000000</f>
        <v>0</v>
      </c>
      <c r="I42" s="22" t="str">
        <f t="shared" ref="I42" si="19">IF(OR(OR(H42=0,G42=0),H42=""),"",(H42/G42-1)*100)</f>
        <v/>
      </c>
      <c r="J42" s="22">
        <f t="shared" ref="J42" si="20">(H42/H$13)*100</f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tr">
        <f>IF(F43="","",1)</f>
        <v/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f>SUM(C14:C45)</f>
        <v>33819.663604099413</v>
      </c>
      <c r="D13" s="97">
        <f>SUM(D14:D45)</f>
        <v>46350.9477167601</v>
      </c>
      <c r="E13" s="96">
        <f>IF(OR(OR(D13=0,C13=0),D13=""),"",(D13/C13-1)*100)</f>
        <v>37.053248841723317</v>
      </c>
      <c r="F13" s="96">
        <f>(D13/D$13)*100</f>
        <v>100</v>
      </c>
      <c r="G13" s="97">
        <f t="shared" ref="G13:H13" si="0">SUM(G14:G45)</f>
        <v>3503.5325950899896</v>
      </c>
      <c r="H13" s="97">
        <f t="shared" si="0"/>
        <v>4732.6957703199423</v>
      </c>
      <c r="I13" s="96">
        <f>IF(OR(OR(H13=0,G13=0),H13=""),"",(H13/G13-1)*100)</f>
        <v>35.083537597239946</v>
      </c>
      <c r="J13" s="96">
        <f>(H13/H$13)*100</f>
        <v>100</v>
      </c>
      <c r="K13" s="16"/>
    </row>
    <row r="14" spans="1:14">
      <c r="A14" s="14"/>
      <c r="B14" s="10" t="str">
        <f>+[17]Manufacrturas!A2</f>
        <v>Bogotá</v>
      </c>
      <c r="C14" s="25">
        <f>[17]Manufacrturas!B2/1000000</f>
        <v>15522.017220109508</v>
      </c>
      <c r="D14" s="25">
        <f>[17]Manufacrturas!C2/1000000</f>
        <v>22184.330939320374</v>
      </c>
      <c r="E14" s="25">
        <f>IF(OR(OR(D14=0,C14=0),D14=""),"",(D14/C14-1)*100)</f>
        <v>42.921700348196509</v>
      </c>
      <c r="F14" s="25">
        <f>(D14/D$13)*100</f>
        <v>47.861655547765018</v>
      </c>
      <c r="G14" s="25">
        <f>[17]Manufacrturas!D2/1000000</f>
        <v>1690.0644989299922</v>
      </c>
      <c r="H14" s="25">
        <f>[17]Manufacrturas!E2/1000000</f>
        <v>2539.7678541599398</v>
      </c>
      <c r="I14" s="25">
        <f>IF(OR(OR(H14=0,G14=0),H14=""),"",(H14/G14-1)*100)</f>
        <v>50.276386242531501</v>
      </c>
      <c r="J14" s="25">
        <f>(H14/H$13)*100</f>
        <v>53.664295729455787</v>
      </c>
      <c r="K14" s="16"/>
    </row>
    <row r="15" spans="1:14">
      <c r="A15" s="14"/>
      <c r="B15" s="9" t="str">
        <f>+[17]Manufacrturas!A3</f>
        <v>Antioquia</v>
      </c>
      <c r="C15" s="22">
        <f>[17]Manufacrturas!B3/1000000</f>
        <v>3583.6514190099524</v>
      </c>
      <c r="D15" s="22">
        <f>[17]Manufacrturas!C3/1000000</f>
        <v>5150.3112327397739</v>
      </c>
      <c r="E15" s="22">
        <f t="shared" ref="E15:E41" si="1">IF(OR(OR(D15=0,C15=0),D15=""),"",(D15/C15-1)*100)</f>
        <v>43.716858325541018</v>
      </c>
      <c r="F15" s="22">
        <f t="shared" ref="F15:F41" si="2">(D15/D$13)*100</f>
        <v>11.111555397339732</v>
      </c>
      <c r="G15" s="22">
        <f>[17]Manufacrturas!D3/1000000</f>
        <v>384.54665353000081</v>
      </c>
      <c r="H15" s="22">
        <f>[17]Manufacrturas!E3/1000000</f>
        <v>543.18061977000104</v>
      </c>
      <c r="I15" s="22">
        <f t="shared" ref="I15:I41" si="3">IF(OR(OR(H15=0,G15=0),H15=""),"",(H15/G15-1)*100)</f>
        <v>41.252203024989839</v>
      </c>
      <c r="J15" s="22">
        <f t="shared" ref="J15:J41" si="4">(H15/H$13)*100</f>
        <v>11.47719283323552</v>
      </c>
      <c r="K15" s="16"/>
    </row>
    <row r="16" spans="1:14">
      <c r="A16" s="14"/>
      <c r="B16" s="9" t="str">
        <f>+[17]Manufacrturas!A4</f>
        <v>Cundinamarca</v>
      </c>
      <c r="C16" s="22">
        <f>[17]Manufacrturas!B4/1000000</f>
        <v>3045.220052419998</v>
      </c>
      <c r="D16" s="22">
        <f>[17]Manufacrturas!C4/1000000</f>
        <v>4403.0339667999997</v>
      </c>
      <c r="E16" s="22">
        <f t="shared" si="1"/>
        <v>44.588367704362255</v>
      </c>
      <c r="F16" s="22">
        <f t="shared" si="2"/>
        <v>9.4993396763015934</v>
      </c>
      <c r="G16" s="22">
        <f>[17]Manufacrturas!D4/1000000</f>
        <v>340.93080887999776</v>
      </c>
      <c r="H16" s="22">
        <f>[17]Manufacrturas!E4/1000000</f>
        <v>513.53787339999963</v>
      </c>
      <c r="I16" s="22">
        <f t="shared" si="3"/>
        <v>50.628180271251708</v>
      </c>
      <c r="J16" s="22">
        <f t="shared" si="4"/>
        <v>10.850853262543076</v>
      </c>
      <c r="K16" s="16"/>
    </row>
    <row r="17" spans="1:11">
      <c r="A17" s="14"/>
      <c r="B17" s="9" t="str">
        <f>+[17]Manufacrturas!A5</f>
        <v>Valle del Cauca</v>
      </c>
      <c r="C17" s="22">
        <f>[17]Manufacrturas!B5/1000000</f>
        <v>3399.5266588899703</v>
      </c>
      <c r="D17" s="22">
        <f>[17]Manufacrturas!C5/1000000</f>
        <v>4146.3051139799691</v>
      </c>
      <c r="E17" s="22">
        <f t="shared" si="1"/>
        <v>21.967130427911986</v>
      </c>
      <c r="F17" s="22">
        <f t="shared" si="2"/>
        <v>8.9454591938811667</v>
      </c>
      <c r="G17" s="22">
        <f>[17]Manufacrturas!D5/1000000</f>
        <v>388.95032107999924</v>
      </c>
      <c r="H17" s="22">
        <f>[17]Manufacrturas!E5/1000000</f>
        <v>334.77540644999993</v>
      </c>
      <c r="I17" s="22">
        <f t="shared" si="3"/>
        <v>-13.92849207054816</v>
      </c>
      <c r="J17" s="22">
        <f t="shared" si="4"/>
        <v>7.0736726528983773</v>
      </c>
      <c r="K17" s="16"/>
    </row>
    <row r="18" spans="1:11">
      <c r="A18" s="14"/>
      <c r="B18" s="9" t="str">
        <f>+[17]Manufacrturas!A6</f>
        <v>Bolívar</v>
      </c>
      <c r="C18" s="22">
        <f>[17]Manufacrturas!B6/1000000</f>
        <v>2159.2768266199901</v>
      </c>
      <c r="D18" s="22">
        <f>[17]Manufacrturas!C6/1000000</f>
        <v>2823.3309741099888</v>
      </c>
      <c r="E18" s="22">
        <f t="shared" si="1"/>
        <v>30.753543932089134</v>
      </c>
      <c r="F18" s="22">
        <f t="shared" si="2"/>
        <v>6.0912044158464891</v>
      </c>
      <c r="G18" s="22">
        <f>[17]Manufacrturas!D6/1000000</f>
        <v>194.31815137000055</v>
      </c>
      <c r="H18" s="22">
        <f>[17]Manufacrturas!E6/1000000</f>
        <v>233.15152824999979</v>
      </c>
      <c r="I18" s="22">
        <f t="shared" si="3"/>
        <v>19.984430999478132</v>
      </c>
      <c r="J18" s="22">
        <f t="shared" si="4"/>
        <v>4.926400080735343</v>
      </c>
      <c r="K18" s="16"/>
    </row>
    <row r="19" spans="1:11">
      <c r="A19" s="14"/>
      <c r="B19" s="9" t="str">
        <f>+[17]Manufacrturas!A7</f>
        <v>Atlántico</v>
      </c>
      <c r="C19" s="22">
        <f>[17]Manufacrturas!B7/1000000</f>
        <v>1744.7275638200006</v>
      </c>
      <c r="D19" s="22">
        <f>[17]Manufacrturas!C7/1000000</f>
        <v>2299.4520469599797</v>
      </c>
      <c r="E19" s="22">
        <f t="shared" si="1"/>
        <v>31.794332516042534</v>
      </c>
      <c r="F19" s="22">
        <f t="shared" si="2"/>
        <v>4.9609601534177861</v>
      </c>
      <c r="G19" s="22">
        <f>[17]Manufacrturas!D7/1000000</f>
        <v>153.37172816999936</v>
      </c>
      <c r="H19" s="22">
        <f>[17]Manufacrturas!E7/1000000</f>
        <v>261.97608510000026</v>
      </c>
      <c r="I19" s="22">
        <f t="shared" si="3"/>
        <v>70.811197230315031</v>
      </c>
      <c r="J19" s="22">
        <f t="shared" si="4"/>
        <v>5.5354516287086426</v>
      </c>
      <c r="K19" s="16"/>
    </row>
    <row r="20" spans="1:11">
      <c r="A20" s="14"/>
      <c r="B20" s="9" t="str">
        <f>+[17]Manufacrturas!A8</f>
        <v>Magdalena</v>
      </c>
      <c r="C20" s="22">
        <f>[17]Manufacrturas!B8/1000000</f>
        <v>1357.3392773499993</v>
      </c>
      <c r="D20" s="22">
        <f>[17]Manufacrturas!C8/1000000</f>
        <v>1646.7066287799892</v>
      </c>
      <c r="E20" s="22">
        <f t="shared" si="1"/>
        <v>21.318719369481155</v>
      </c>
      <c r="F20" s="22">
        <f t="shared" si="2"/>
        <v>3.5526924688630572</v>
      </c>
      <c r="G20" s="22">
        <f>[17]Manufacrturas!D8/1000000</f>
        <v>58.461963270000084</v>
      </c>
      <c r="H20" s="22">
        <f>[17]Manufacrturas!E8/1000000</f>
        <v>13.971976880000009</v>
      </c>
      <c r="I20" s="22">
        <f t="shared" si="3"/>
        <v>-76.10073952619075</v>
      </c>
      <c r="J20" s="22">
        <f t="shared" si="4"/>
        <v>0.29522237553535935</v>
      </c>
      <c r="K20" s="16"/>
    </row>
    <row r="21" spans="1:11">
      <c r="A21" s="14"/>
      <c r="B21" s="9" t="str">
        <f>+[17]Manufacrturas!A9</f>
        <v>Guajira</v>
      </c>
      <c r="C21" s="22">
        <f>[17]Manufacrturas!B9/1000000</f>
        <v>592.73341044000233</v>
      </c>
      <c r="D21" s="22">
        <f>[17]Manufacrturas!C9/1000000</f>
        <v>706.53117104000239</v>
      </c>
      <c r="E21" s="22">
        <f t="shared" si="1"/>
        <v>19.198809885800916</v>
      </c>
      <c r="F21" s="22">
        <f t="shared" si="2"/>
        <v>1.5243079286262939</v>
      </c>
      <c r="G21" s="22">
        <f>[17]Manufacrturas!D9/1000000</f>
        <v>60.580425149999975</v>
      </c>
      <c r="H21" s="22">
        <f>[17]Manufacrturas!E9/1000000</f>
        <v>53.982435829999922</v>
      </c>
      <c r="I21" s="22">
        <f t="shared" si="3"/>
        <v>-10.891289230247436</v>
      </c>
      <c r="J21" s="22">
        <f t="shared" si="4"/>
        <v>1.1406276348574709</v>
      </c>
      <c r="K21" s="16"/>
    </row>
    <row r="22" spans="1:11">
      <c r="A22" s="14"/>
      <c r="B22" s="9" t="str">
        <f>+[17]Manufacrturas!A10</f>
        <v>Cesar</v>
      </c>
      <c r="C22" s="22">
        <f>[17]Manufacrturas!B10/1000000</f>
        <v>451.66322874999929</v>
      </c>
      <c r="D22" s="22">
        <f>[17]Manufacrturas!C10/1000000</f>
        <v>460.05114411000051</v>
      </c>
      <c r="E22" s="22">
        <f t="shared" si="1"/>
        <v>1.8571171674114817</v>
      </c>
      <c r="F22" s="22">
        <f t="shared" si="2"/>
        <v>0.99253880831362173</v>
      </c>
      <c r="G22" s="22">
        <f>[17]Manufacrturas!D10/1000000</f>
        <v>28.986689840000022</v>
      </c>
      <c r="H22" s="22">
        <f>[17]Manufacrturas!E10/1000000</f>
        <v>25.978708519999987</v>
      </c>
      <c r="I22" s="22">
        <f t="shared" si="3"/>
        <v>-10.377112173219539</v>
      </c>
      <c r="J22" s="22">
        <f t="shared" si="4"/>
        <v>0.54891989218744486</v>
      </c>
      <c r="K22" s="16"/>
    </row>
    <row r="23" spans="1:11">
      <c r="A23" s="14"/>
      <c r="B23" s="9" t="str">
        <f>+[17]Manufacrturas!A11</f>
        <v>Santander</v>
      </c>
      <c r="C23" s="22">
        <f>[17]Manufacrturas!B11/1000000</f>
        <v>336.00598268999795</v>
      </c>
      <c r="D23" s="22">
        <f>[17]Manufacrturas!C11/1000000</f>
        <v>416.90826612999774</v>
      </c>
      <c r="E23" s="22">
        <f t="shared" si="1"/>
        <v>24.077631830335868</v>
      </c>
      <c r="F23" s="22">
        <f t="shared" si="2"/>
        <v>0.89946006860016658</v>
      </c>
      <c r="G23" s="22">
        <f>[17]Manufacrturas!D11/1000000</f>
        <v>34.419801470000017</v>
      </c>
      <c r="H23" s="22">
        <f>[17]Manufacrturas!E11/1000000</f>
        <v>38.643478000000009</v>
      </c>
      <c r="I23" s="22">
        <f t="shared" si="3"/>
        <v>12.271065926052206</v>
      </c>
      <c r="J23" s="22">
        <f t="shared" si="4"/>
        <v>0.81652148955662984</v>
      </c>
      <c r="K23" s="16"/>
    </row>
    <row r="24" spans="1:11">
      <c r="A24" s="14"/>
      <c r="B24" s="9" t="str">
        <f>+[17]Manufacrturas!A12</f>
        <v>Caldas</v>
      </c>
      <c r="C24" s="22">
        <f>[17]Manufacrturas!B12/1000000</f>
        <v>266.02298011999926</v>
      </c>
      <c r="D24" s="22">
        <f>[17]Manufacrturas!C12/1000000</f>
        <v>292.20881937999889</v>
      </c>
      <c r="E24" s="22">
        <f t="shared" si="1"/>
        <v>9.8434500839692731</v>
      </c>
      <c r="F24" s="22">
        <f t="shared" si="2"/>
        <v>0.63042684944786731</v>
      </c>
      <c r="G24" s="22">
        <f>[17]Manufacrturas!D12/1000000</f>
        <v>19.791187950000005</v>
      </c>
      <c r="H24" s="22">
        <f>[17]Manufacrturas!E12/1000000</f>
        <v>30.30710060000003</v>
      </c>
      <c r="I24" s="22">
        <f t="shared" si="3"/>
        <v>53.134317538528663</v>
      </c>
      <c r="J24" s="22">
        <f t="shared" si="4"/>
        <v>0.64037711424563404</v>
      </c>
      <c r="K24" s="16"/>
    </row>
    <row r="25" spans="1:11">
      <c r="A25" s="14"/>
      <c r="B25" s="9" t="str">
        <f>+[17]Manufacrturas!A13</f>
        <v>Cauca</v>
      </c>
      <c r="C25" s="22">
        <f>[17]Manufacrturas!B13/1000000</f>
        <v>248.80828365999972</v>
      </c>
      <c r="D25" s="22">
        <f>[17]Manufacrturas!C13/1000000</f>
        <v>290.39442076</v>
      </c>
      <c r="E25" s="22">
        <f t="shared" si="1"/>
        <v>16.714128841798683</v>
      </c>
      <c r="F25" s="22">
        <f t="shared" si="2"/>
        <v>0.62651236935765153</v>
      </c>
      <c r="G25" s="22">
        <f>[17]Manufacrturas!D13/1000000</f>
        <v>25.318341710000041</v>
      </c>
      <c r="H25" s="22">
        <f>[17]Manufacrturas!E13/1000000</f>
        <v>29.901717809999955</v>
      </c>
      <c r="I25" s="22">
        <f t="shared" si="3"/>
        <v>18.102986966913438</v>
      </c>
      <c r="J25" s="22">
        <f t="shared" si="4"/>
        <v>0.63181153535204992</v>
      </c>
      <c r="K25" s="16"/>
    </row>
    <row r="26" spans="1:11">
      <c r="A26" s="14"/>
      <c r="B26" s="9" t="str">
        <f>+[17]Manufacrturas!A14</f>
        <v>Nariño</v>
      </c>
      <c r="C26" s="22">
        <f>[17]Manufacrturas!B14/1000000</f>
        <v>274.07781390000065</v>
      </c>
      <c r="D26" s="22">
        <f>[17]Manufacrturas!C14/1000000</f>
        <v>284.08312051999985</v>
      </c>
      <c r="E26" s="22">
        <f t="shared" si="1"/>
        <v>3.650535035152358</v>
      </c>
      <c r="F26" s="22">
        <f t="shared" si="2"/>
        <v>0.61289603452331975</v>
      </c>
      <c r="G26" s="22">
        <f>[17]Manufacrturas!D14/1000000</f>
        <v>36.979449720000019</v>
      </c>
      <c r="H26" s="22">
        <f>[17]Manufacrturas!E14/1000000</f>
        <v>12.188180839999996</v>
      </c>
      <c r="I26" s="22">
        <f t="shared" si="3"/>
        <v>-67.040664660274473</v>
      </c>
      <c r="J26" s="22">
        <f t="shared" si="4"/>
        <v>0.25753146687423867</v>
      </c>
      <c r="K26" s="16"/>
    </row>
    <row r="27" spans="1:11">
      <c r="A27" s="14"/>
      <c r="B27" s="9" t="str">
        <f>+[17]Manufacrturas!A15</f>
        <v>Risaralda</v>
      </c>
      <c r="C27" s="22">
        <f>[17]Manufacrturas!B15/1000000</f>
        <v>230.55610569000004</v>
      </c>
      <c r="D27" s="22">
        <f>[17]Manufacrturas!C15/1000000</f>
        <v>280.12695484000119</v>
      </c>
      <c r="E27" s="22">
        <f t="shared" si="1"/>
        <v>21.500557966854661</v>
      </c>
      <c r="F27" s="22">
        <f t="shared" si="2"/>
        <v>0.60436079225778094</v>
      </c>
      <c r="G27" s="22">
        <f>[17]Manufacrturas!D15/1000000</f>
        <v>22.816692079999996</v>
      </c>
      <c r="H27" s="22">
        <f>[17]Manufacrturas!E15/1000000</f>
        <v>29.929726019999976</v>
      </c>
      <c r="I27" s="22">
        <f t="shared" si="3"/>
        <v>31.174694013751967</v>
      </c>
      <c r="J27" s="22">
        <f t="shared" si="4"/>
        <v>0.63240333781219682</v>
      </c>
      <c r="K27" s="16"/>
    </row>
    <row r="28" spans="1:11">
      <c r="A28" s="14"/>
      <c r="B28" s="9" t="str">
        <f>+[17]Manufacrturas!A16</f>
        <v>Casanare</v>
      </c>
      <c r="C28" s="22">
        <f>[17]Manufacrturas!B16/1000000</f>
        <v>113.59261571000015</v>
      </c>
      <c r="D28" s="22">
        <f>[17]Manufacrturas!C16/1000000</f>
        <v>204.52391364000005</v>
      </c>
      <c r="E28" s="22">
        <f t="shared" si="1"/>
        <v>80.050360106281744</v>
      </c>
      <c r="F28" s="22">
        <f t="shared" si="2"/>
        <v>0.44125076986515632</v>
      </c>
      <c r="G28" s="22">
        <f>[17]Manufacrturas!D16/1000000</f>
        <v>6.6332143399999985</v>
      </c>
      <c r="H28" s="22">
        <f>[17]Manufacrturas!E16/1000000</f>
        <v>4.1240803900000023</v>
      </c>
      <c r="I28" s="22">
        <f t="shared" si="3"/>
        <v>-37.826818513450853</v>
      </c>
      <c r="J28" s="22">
        <f t="shared" si="4"/>
        <v>8.71401964153974E-2</v>
      </c>
      <c r="K28" s="16"/>
    </row>
    <row r="29" spans="1:11">
      <c r="A29" s="14"/>
      <c r="B29" s="9" t="str">
        <f>+[17]Manufacrturas!A17</f>
        <v>Boyacá</v>
      </c>
      <c r="C29" s="22">
        <f>[17]Manufacrturas!B17/1000000</f>
        <v>142.45036954</v>
      </c>
      <c r="D29" s="22">
        <f>[17]Manufacrturas!C17/1000000</f>
        <v>160.48790806999997</v>
      </c>
      <c r="E29" s="22">
        <f t="shared" si="1"/>
        <v>12.662331862140274</v>
      </c>
      <c r="F29" s="22">
        <f t="shared" si="2"/>
        <v>0.34624514918379745</v>
      </c>
      <c r="G29" s="22">
        <f>[17]Manufacrturas!D17/1000000</f>
        <v>22.571024879999992</v>
      </c>
      <c r="H29" s="22">
        <f>[17]Manufacrturas!E17/1000000</f>
        <v>24.844903349999992</v>
      </c>
      <c r="I29" s="22">
        <f t="shared" si="3"/>
        <v>10.074325300198783</v>
      </c>
      <c r="J29" s="22">
        <f t="shared" si="4"/>
        <v>0.52496303493263452</v>
      </c>
      <c r="K29" s="16"/>
    </row>
    <row r="30" spans="1:11">
      <c r="A30" s="14"/>
      <c r="B30" s="9" t="str">
        <f>+[17]Manufacrturas!A18</f>
        <v>Meta</v>
      </c>
      <c r="C30" s="22">
        <f>[17]Manufacrturas!B18/1000000</f>
        <v>85.423450729999999</v>
      </c>
      <c r="D30" s="22">
        <f>[17]Manufacrturas!C18/1000000</f>
        <v>149.73947702000038</v>
      </c>
      <c r="E30" s="22">
        <f t="shared" si="1"/>
        <v>75.290831429048239</v>
      </c>
      <c r="F30" s="22">
        <f t="shared" si="2"/>
        <v>0.3230559123300426</v>
      </c>
      <c r="G30" s="22">
        <f>[17]Manufacrturas!D18/1000000</f>
        <v>1.2068685699999999</v>
      </c>
      <c r="H30" s="22">
        <f>[17]Manufacrturas!E18/1000000</f>
        <v>9.5321353600000016</v>
      </c>
      <c r="I30" s="22">
        <f t="shared" si="3"/>
        <v>689.82381320942034</v>
      </c>
      <c r="J30" s="22">
        <f t="shared" si="4"/>
        <v>0.20141027064910205</v>
      </c>
      <c r="K30" s="16"/>
    </row>
    <row r="31" spans="1:11">
      <c r="A31" s="14"/>
      <c r="B31" s="9" t="str">
        <f>+[17]Manufacrturas!A19</f>
        <v>Norte de Santander</v>
      </c>
      <c r="C31" s="22">
        <f>[17]Manufacrturas!B19/1000000</f>
        <v>113.68302178999984</v>
      </c>
      <c r="D31" s="22">
        <f>[17]Manufacrturas!C19/1000000</f>
        <v>136.34747776999995</v>
      </c>
      <c r="E31" s="22">
        <f t="shared" si="1"/>
        <v>19.936535485366381</v>
      </c>
      <c r="F31" s="22">
        <f t="shared" si="2"/>
        <v>0.29416330083084341</v>
      </c>
      <c r="G31" s="22">
        <f>[17]Manufacrturas!D19/1000000</f>
        <v>10.468694019999994</v>
      </c>
      <c r="H31" s="22">
        <f>[17]Manufacrturas!E19/1000000</f>
        <v>11.21763455000001</v>
      </c>
      <c r="I31" s="22">
        <f t="shared" si="3"/>
        <v>7.1540970494428091</v>
      </c>
      <c r="J31" s="22">
        <f t="shared" si="4"/>
        <v>0.23702420553522438</v>
      </c>
      <c r="K31" s="16"/>
    </row>
    <row r="32" spans="1:11">
      <c r="A32" s="14"/>
      <c r="B32" s="9" t="str">
        <f>+[17]Manufacrturas!A20</f>
        <v>Córdoba</v>
      </c>
      <c r="C32" s="22">
        <f>[17]Manufacrturas!B20/1000000</f>
        <v>43.786859019999909</v>
      </c>
      <c r="D32" s="22">
        <f>[17]Manufacrturas!C20/1000000</f>
        <v>109.88497365999982</v>
      </c>
      <c r="E32" s="22">
        <f t="shared" si="1"/>
        <v>150.95422717991531</v>
      </c>
      <c r="F32" s="22">
        <f t="shared" si="2"/>
        <v>0.23707168692964259</v>
      </c>
      <c r="G32" s="22">
        <f>[17]Manufacrturas!D20/1000000</f>
        <v>3.2881009799999985</v>
      </c>
      <c r="H32" s="22">
        <f>[17]Manufacrturas!E20/1000000</f>
        <v>3.2421517800000008</v>
      </c>
      <c r="I32" s="22">
        <f t="shared" si="3"/>
        <v>-1.397438834132092</v>
      </c>
      <c r="J32" s="22">
        <f t="shared" si="4"/>
        <v>6.8505391796625528E-2</v>
      </c>
      <c r="K32" s="16"/>
    </row>
    <row r="33" spans="1:13">
      <c r="A33" s="14"/>
      <c r="B33" s="9" t="str">
        <f>+[17]Manufacrturas!A21</f>
        <v>Huila</v>
      </c>
      <c r="C33" s="22">
        <f>[17]Manufacrturas!B21/1000000</f>
        <v>33.896552960000022</v>
      </c>
      <c r="D33" s="22">
        <f>[17]Manufacrturas!C21/1000000</f>
        <v>76.799025560000118</v>
      </c>
      <c r="E33" s="22">
        <f t="shared" si="1"/>
        <v>126.56883621950468</v>
      </c>
      <c r="F33" s="22">
        <f t="shared" si="2"/>
        <v>0.1656903026650095</v>
      </c>
      <c r="G33" s="22">
        <f>[17]Manufacrturas!D21/1000000</f>
        <v>3.2837832500000004</v>
      </c>
      <c r="H33" s="22">
        <f>[17]Manufacrturas!E21/1000000</f>
        <v>1.7962048500000001</v>
      </c>
      <c r="I33" s="22">
        <f t="shared" si="3"/>
        <v>-45.300748762878918</v>
      </c>
      <c r="J33" s="22">
        <f t="shared" si="4"/>
        <v>3.7953101935360029E-2</v>
      </c>
      <c r="K33" s="16"/>
    </row>
    <row r="34" spans="1:13">
      <c r="A34" s="14"/>
      <c r="B34" s="9" t="str">
        <f>+[17]Manufacrturas!A22</f>
        <v>Tolima</v>
      </c>
      <c r="C34" s="22">
        <f>[17]Manufacrturas!B22/1000000</f>
        <v>23.624581499999984</v>
      </c>
      <c r="D34" s="22">
        <f>[17]Manufacrturas!C22/1000000</f>
        <v>62.139745789999999</v>
      </c>
      <c r="E34" s="22">
        <f t="shared" si="1"/>
        <v>163.03003839454274</v>
      </c>
      <c r="F34" s="22">
        <f t="shared" si="2"/>
        <v>0.13406359276561416</v>
      </c>
      <c r="G34" s="22">
        <f>[17]Manufacrturas!D22/1000000</f>
        <v>3.9835161499999989</v>
      </c>
      <c r="H34" s="22">
        <f>[17]Manufacrturas!E22/1000000</f>
        <v>10.842534809999995</v>
      </c>
      <c r="I34" s="22">
        <f t="shared" si="3"/>
        <v>172.18503457052628</v>
      </c>
      <c r="J34" s="22">
        <f t="shared" si="4"/>
        <v>0.22909849557616954</v>
      </c>
      <c r="K34" s="16"/>
    </row>
    <row r="35" spans="1:13">
      <c r="A35" s="14"/>
      <c r="B35" s="9" t="str">
        <f>+[17]Manufacrturas!A23</f>
        <v>Quindío</v>
      </c>
      <c r="C35" s="22">
        <f>[17]Manufacrturas!B23/1000000</f>
        <v>32.965155010000061</v>
      </c>
      <c r="D35" s="22">
        <f>[17]Manufacrturas!C23/1000000</f>
        <v>54.845678189999866</v>
      </c>
      <c r="E35" s="22">
        <f t="shared" si="1"/>
        <v>66.37470132739341</v>
      </c>
      <c r="F35" s="22">
        <f t="shared" si="2"/>
        <v>0.11832698335565671</v>
      </c>
      <c r="G35" s="22">
        <f>[17]Manufacrturas!D23/1000000</f>
        <v>3.8115079199999999</v>
      </c>
      <c r="H35" s="22">
        <f>[17]Manufacrturas!E23/1000000</f>
        <v>4.025107170000001</v>
      </c>
      <c r="I35" s="22">
        <f t="shared" si="3"/>
        <v>5.6040615547245487</v>
      </c>
      <c r="J35" s="22">
        <f t="shared" si="4"/>
        <v>8.5048931208352177E-2</v>
      </c>
      <c r="K35" s="16"/>
    </row>
    <row r="36" spans="1:13">
      <c r="A36" s="14"/>
      <c r="B36" s="9" t="str">
        <f>+[17]Manufacrturas!A24</f>
        <v>Sucre</v>
      </c>
      <c r="C36" s="22">
        <f>[17]Manufacrturas!B24/1000000</f>
        <v>5.5665966300000038</v>
      </c>
      <c r="D36" s="22">
        <f>[17]Manufacrturas!C24/1000000</f>
        <v>3.4374444100000008</v>
      </c>
      <c r="E36" s="22">
        <f t="shared" si="1"/>
        <v>-38.248724696978833</v>
      </c>
      <c r="F36" s="22">
        <f t="shared" si="2"/>
        <v>7.4161254069828883E-3</v>
      </c>
      <c r="G36" s="22">
        <f>[17]Manufacrturas!D24/1000000</f>
        <v>7.9708860000000006E-2</v>
      </c>
      <c r="H36" s="22">
        <f>[17]Manufacrturas!E24/1000000</f>
        <v>0.36321208000000005</v>
      </c>
      <c r="I36" s="22">
        <f t="shared" si="3"/>
        <v>355.67340945536046</v>
      </c>
      <c r="J36" s="22">
        <f t="shared" si="4"/>
        <v>7.6745283793182842E-3</v>
      </c>
      <c r="K36" s="16"/>
    </row>
    <row r="37" spans="1:13">
      <c r="A37" s="14"/>
      <c r="B37" s="9" t="str">
        <f>+[17]Manufacrturas!A25</f>
        <v>Aráuca</v>
      </c>
      <c r="C37" s="22">
        <f>[17]Manufacrturas!B25/1000000</f>
        <v>1.3252102500000007</v>
      </c>
      <c r="D37" s="22">
        <f>[17]Manufacrturas!C25/1000000</f>
        <v>2.0646041700000004</v>
      </c>
      <c r="E37" s="22">
        <f t="shared" si="1"/>
        <v>55.794461293971985</v>
      </c>
      <c r="F37" s="22">
        <f t="shared" si="2"/>
        <v>4.4542868521617249E-3</v>
      </c>
      <c r="G37" s="22">
        <f>[17]Manufacrturas!D25/1000000</f>
        <v>1.0295229999999999E-2</v>
      </c>
      <c r="H37" s="22">
        <f>[17]Manufacrturas!E25/1000000</f>
        <v>0.63602134999999993</v>
      </c>
      <c r="I37" s="22">
        <f t="shared" si="3"/>
        <v>6077.8255561070519</v>
      </c>
      <c r="J37" s="22">
        <f t="shared" si="4"/>
        <v>1.3438880943682617E-2</v>
      </c>
      <c r="K37" s="16"/>
    </row>
    <row r="38" spans="1:13">
      <c r="A38" s="14"/>
      <c r="B38" s="9" t="str">
        <f>+[17]Manufacrturas!A26</f>
        <v>San Andrés</v>
      </c>
      <c r="C38" s="22">
        <f>[17]Manufacrturas!B26/1000000</f>
        <v>0.41346609000000029</v>
      </c>
      <c r="D38" s="22">
        <f>[17]Manufacrturas!C26/1000000</f>
        <v>1.7466184099999997</v>
      </c>
      <c r="E38" s="22">
        <f t="shared" si="1"/>
        <v>322.43329072040672</v>
      </c>
      <c r="F38" s="22">
        <f t="shared" si="2"/>
        <v>3.7682474599509382E-3</v>
      </c>
      <c r="G38" s="22">
        <f>[17]Manufacrturas!D26/1000000</f>
        <v>0</v>
      </c>
      <c r="H38" s="22">
        <f>[17]Manufacrturas!E26/1000000</f>
        <v>7.3600079999999998E-2</v>
      </c>
      <c r="I38" s="22" t="str">
        <f t="shared" si="3"/>
        <v/>
      </c>
      <c r="J38" s="22">
        <f t="shared" si="4"/>
        <v>1.5551407394822768E-3</v>
      </c>
      <c r="K38" s="16"/>
    </row>
    <row r="39" spans="1:13">
      <c r="A39" s="14"/>
      <c r="B39" s="9" t="str">
        <f>+[17]Manufacrturas!A27</f>
        <v>Chocó</v>
      </c>
      <c r="C39" s="22">
        <f>[17]Manufacrturas!B27/1000000</f>
        <v>0.88003096000000003</v>
      </c>
      <c r="D39" s="22">
        <f>[17]Manufacrturas!C27/1000000</f>
        <v>1.5039171800000004</v>
      </c>
      <c r="E39" s="22">
        <f t="shared" si="1"/>
        <v>70.893667195526902</v>
      </c>
      <c r="F39" s="22">
        <f t="shared" si="2"/>
        <v>3.2446309171283612E-3</v>
      </c>
      <c r="G39" s="22">
        <f>[17]Manufacrturas!D27/1000000</f>
        <v>0.40026345000000002</v>
      </c>
      <c r="H39" s="22">
        <f>[17]Manufacrturas!E27/1000000</f>
        <v>5.3563900000000005E-2</v>
      </c>
      <c r="I39" s="22">
        <f t="shared" si="3"/>
        <v>-86.617838825903291</v>
      </c>
      <c r="J39" s="22">
        <f t="shared" si="4"/>
        <v>1.1317841374024965E-3</v>
      </c>
      <c r="K39" s="16"/>
    </row>
    <row r="40" spans="1:13">
      <c r="A40" s="14"/>
      <c r="B40" s="9" t="str">
        <f>+[17]Manufacrturas!A28</f>
        <v>Putumayo</v>
      </c>
      <c r="C40" s="22">
        <f>[17]Manufacrturas!B28/1000000</f>
        <v>0.70258813999999981</v>
      </c>
      <c r="D40" s="22">
        <f>[17]Manufacrturas!C28/1000000</f>
        <v>1.26726673</v>
      </c>
      <c r="E40" s="22">
        <f t="shared" si="1"/>
        <v>80.371210080489021</v>
      </c>
      <c r="F40" s="22">
        <f t="shared" si="2"/>
        <v>2.7340686489173284E-3</v>
      </c>
      <c r="G40" s="22">
        <f>[17]Manufacrturas!D28/1000000</f>
        <v>0.27215740000000005</v>
      </c>
      <c r="H40" s="22">
        <f>[17]Manufacrturas!E28/1000000</f>
        <v>9.5172449999999992E-2</v>
      </c>
      <c r="I40" s="22">
        <f t="shared" si="3"/>
        <v>-65.030364781556571</v>
      </c>
      <c r="J40" s="22">
        <f t="shared" si="4"/>
        <v>2.0109564319949111E-3</v>
      </c>
      <c r="K40" s="16"/>
    </row>
    <row r="41" spans="1:13">
      <c r="A41" s="14"/>
      <c r="B41" s="9" t="str">
        <f>+[17]Manufacrturas!A29</f>
        <v>Amazonas</v>
      </c>
      <c r="C41" s="22">
        <f>[17]Manufacrturas!B29/1000000</f>
        <v>1.0307671</v>
      </c>
      <c r="D41" s="22">
        <f>[17]Manufacrturas!C29/1000000</f>
        <v>1.1983201300000004</v>
      </c>
      <c r="E41" s="22">
        <f t="shared" si="1"/>
        <v>16.25517830361489</v>
      </c>
      <c r="F41" s="22">
        <f t="shared" si="2"/>
        <v>2.5853195868241075E-3</v>
      </c>
      <c r="G41" s="22">
        <f>[17]Manufacrturas!D29/1000000</f>
        <v>2.2892599999999999E-2</v>
      </c>
      <c r="H41" s="22">
        <f>[17]Manufacrturas!E29/1000000</f>
        <v>0.26467172999999999</v>
      </c>
      <c r="I41" s="22">
        <f t="shared" si="3"/>
        <v>1056.1453482784832</v>
      </c>
      <c r="J41" s="22">
        <f t="shared" si="4"/>
        <v>5.5924095451017654E-3</v>
      </c>
      <c r="K41" s="16"/>
    </row>
    <row r="42" spans="1:13">
      <c r="A42" s="14"/>
      <c r="B42" s="9" t="str">
        <f>+[17]Manufacrturas!A30</f>
        <v>Caquetá</v>
      </c>
      <c r="C42" s="22">
        <f>[17]Manufacrturas!B30/1000000</f>
        <v>8.3881812900000003</v>
      </c>
      <c r="D42" s="22">
        <f>[17]Manufacrturas!C30/1000000</f>
        <v>0.63392778000000016</v>
      </c>
      <c r="E42" s="22">
        <f t="shared" ref="E42:E43" si="5">IF(OR(OR(D42=0,C42=0),D42=""),"",(D42/C42-1)*100)</f>
        <v>-92.442607544072288</v>
      </c>
      <c r="F42" s="22">
        <f t="shared" ref="F42:F43" si="6">(D42/D$13)*100</f>
        <v>1.3676695110395281E-3</v>
      </c>
      <c r="G42" s="22">
        <f>[17]Manufacrturas!D30/1000000</f>
        <v>7.9572459699999998</v>
      </c>
      <c r="H42" s="22">
        <f>[17]Manufacrturas!E30/1000000</f>
        <v>0.18820279000000004</v>
      </c>
      <c r="I42" s="22">
        <f t="shared" ref="I42:I43" si="7">IF(OR(OR(H42=0,G42=0),H42=""),"",(H42/G42-1)*100)</f>
        <v>-97.634825029796076</v>
      </c>
      <c r="J42" s="22">
        <f t="shared" ref="J42:J43" si="8">(H42/H$13)*100</f>
        <v>3.9766509222982881E-3</v>
      </c>
      <c r="K42" s="16"/>
    </row>
    <row r="43" spans="1:13">
      <c r="A43" s="14"/>
      <c r="B43" s="9" t="str">
        <f>+[17]Manufacrturas!A31</f>
        <v>Vichada</v>
      </c>
      <c r="C43" s="22">
        <f>[17]Manufacrturas!B31/1000000</f>
        <v>0.26578430999999991</v>
      </c>
      <c r="D43" s="22">
        <f>[17]Manufacrturas!C31/1000000</f>
        <v>0.51463495999999975</v>
      </c>
      <c r="E43" s="22">
        <f t="shared" si="5"/>
        <v>93.628796222019247</v>
      </c>
      <c r="F43" s="22">
        <f t="shared" si="6"/>
        <v>1.1103008360148637E-3</v>
      </c>
      <c r="G43" s="22">
        <f>[17]Manufacrturas!D31/1000000</f>
        <v>6.60832E-3</v>
      </c>
      <c r="H43" s="22">
        <f>[17]Manufacrturas!E31/1000000</f>
        <v>0.10055769000000001</v>
      </c>
      <c r="I43" s="22">
        <f t="shared" si="7"/>
        <v>1421.6831206721224</v>
      </c>
      <c r="J43" s="22">
        <f t="shared" si="8"/>
        <v>2.1247444348868861E-3</v>
      </c>
      <c r="K43" s="16"/>
    </row>
    <row r="44" spans="1:13">
      <c r="A44" s="14"/>
      <c r="B44" s="9" t="str">
        <f>+[17]Manufacrturas!A32</f>
        <v>Guaviare</v>
      </c>
      <c r="C44" s="22">
        <f>[17]Manufacrturas!B32/1000000</f>
        <v>4.1549599999999999E-2</v>
      </c>
      <c r="D44" s="22">
        <f>[17]Manufacrturas!C32/1000000</f>
        <v>3.4659459999999996E-2</v>
      </c>
      <c r="E44" s="22">
        <f t="shared" ref="E44" si="9">IF(OR(OR(D44=0,C44=0),D44=""),"",(D44/C44-1)*100)</f>
        <v>-16.582927392802826</v>
      </c>
      <c r="F44" s="22">
        <f t="shared" ref="F44" si="10">(D44/D$13)*100</f>
        <v>7.4776162532416647E-5</v>
      </c>
      <c r="G44" s="22">
        <f>[17]Manufacrturas!D32/1000000</f>
        <v>0</v>
      </c>
      <c r="H44" s="22">
        <f>[17]Manufacrturas!E32/1000000</f>
        <v>0</v>
      </c>
      <c r="I44" s="22" t="str">
        <f t="shared" ref="I44" si="11">IF(OR(OR(H44=0,G44=0),H44=""),"",(H44/G44-1)*100)</f>
        <v/>
      </c>
      <c r="J44" s="22">
        <f t="shared" ref="J44" si="12">(H44/H$13)*100</f>
        <v>0</v>
      </c>
      <c r="K44" s="16"/>
    </row>
    <row r="45" spans="1:13">
      <c r="A45" s="14"/>
      <c r="B45" s="9" t="str">
        <f>+[17]Manufacrturas!A33</f>
        <v>Vaupés</v>
      </c>
      <c r="C45" s="22">
        <f>[17]Manufacrturas!B33/1000000</f>
        <v>0</v>
      </c>
      <c r="D45" s="22">
        <f>[17]Manufacrturas!C33/1000000</f>
        <v>3.3243600000000002E-3</v>
      </c>
      <c r="E45" s="22" t="str">
        <f t="shared" ref="E45" si="13">IF(OR(OR(D45=0,C45=0),D45=""),"",(D45/C45-1)*100)</f>
        <v/>
      </c>
      <c r="F45" s="22">
        <f t="shared" ref="F45" si="14">(D45/D$13)*100</f>
        <v>7.1721510859160721E-6</v>
      </c>
      <c r="G45" s="22">
        <f>[17]Manufacrturas!D33/1000000</f>
        <v>0</v>
      </c>
      <c r="H45" s="22">
        <f>[17]Manufacrturas!E33/1000000</f>
        <v>3.3243600000000002E-3</v>
      </c>
      <c r="I45" s="22" t="str">
        <f t="shared" ref="I45" si="15">IF(OR(OR(H45=0,G45=0),H45=""),"",(H45/G45-1)*100)</f>
        <v/>
      </c>
      <c r="J45" s="22">
        <f t="shared" ref="J45" si="16">(H45/H$13)*100</f>
        <v>7.0242419148257751E-5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f>SUM(C14:C44)</f>
        <v>7294.9316175000095</v>
      </c>
      <c r="D13" s="97">
        <f>SUM(D14:D44)</f>
        <v>10452.612039789979</v>
      </c>
      <c r="E13" s="96">
        <f>IF(OR(OR(D13=0,C13=0),D13=""),"",(D13/C13-1)*100)</f>
        <v>43.285949586078701</v>
      </c>
      <c r="F13" s="96">
        <f>(D13/D$13)*100</f>
        <v>100</v>
      </c>
      <c r="G13" s="97">
        <f t="shared" ref="G13:H13" si="0">SUM(G14:G44)</f>
        <v>606.22918532999938</v>
      </c>
      <c r="H13" s="97">
        <f t="shared" si="0"/>
        <v>1102.5636497200007</v>
      </c>
      <c r="I13" s="96">
        <f>IF(OR(OR(H13=0,G13=0),H13=""),"",(H13/G13-1)*100)</f>
        <v>81.872413338170588</v>
      </c>
      <c r="J13" s="96">
        <f>(H13/H$13)*100</f>
        <v>100</v>
      </c>
      <c r="K13" s="16"/>
    </row>
    <row r="14" spans="1:14">
      <c r="A14" s="14"/>
      <c r="B14" s="10" t="str">
        <f>+[17]Rec_naturales!A2</f>
        <v>Bogotá</v>
      </c>
      <c r="C14" s="25">
        <f>[17]Rec_naturales!B2/1000000</f>
        <v>1644.8988826500233</v>
      </c>
      <c r="D14" s="25">
        <f>[17]Rec_naturales!C2/1000000</f>
        <v>3286.8379814399987</v>
      </c>
      <c r="E14" s="25">
        <f>IF(OR(OR(D14=0,C14=0),D14=""),"",(D14/C14-1)*100)</f>
        <v>99.820062868832423</v>
      </c>
      <c r="F14" s="25">
        <f>(D14/D$13)*100</f>
        <v>31.445135138738394</v>
      </c>
      <c r="G14" s="25">
        <f>[17]Rec_naturales!D2/1000000</f>
        <v>147.21041061999983</v>
      </c>
      <c r="H14" s="25">
        <f>[17]Rec_naturales!E2/1000000</f>
        <v>529.76970511000059</v>
      </c>
      <c r="I14" s="25">
        <f>IF(OR(OR(H14=0,G14=0),H14=""),"",(H14/G14-1)*100)</f>
        <v>259.8724457589596</v>
      </c>
      <c r="J14" s="25">
        <f>(H14/H$13)*100</f>
        <v>48.0488999655065</v>
      </c>
      <c r="K14" s="16"/>
    </row>
    <row r="15" spans="1:14">
      <c r="A15" s="14"/>
      <c r="B15" s="9" t="str">
        <f>+[17]Rec_naturales!A3</f>
        <v>Bolívar</v>
      </c>
      <c r="C15" s="22">
        <f>[17]Rec_naturales!B3/1000000</f>
        <v>1239.0540967199925</v>
      </c>
      <c r="D15" s="22">
        <f>[17]Rec_naturales!C3/1000000</f>
        <v>1716.5996489699924</v>
      </c>
      <c r="E15" s="22">
        <f t="shared" ref="E15:E42" si="1">IF(OR(OR(D15=0,C15=0),D15=""),"",(D15/C15-1)*100)</f>
        <v>38.541138237156233</v>
      </c>
      <c r="F15" s="22">
        <f t="shared" ref="F15:F42" si="2">(D15/D$13)*100</f>
        <v>16.42268595098918</v>
      </c>
      <c r="G15" s="22">
        <f>[17]Rec_naturales!D3/1000000</f>
        <v>108.26322090999997</v>
      </c>
      <c r="H15" s="22">
        <f>[17]Rec_naturales!E3/1000000</f>
        <v>157.7584607999998</v>
      </c>
      <c r="I15" s="22">
        <f t="shared" ref="I15:I42" si="3">IF(OR(OR(H15=0,G15=0),H15=""),"",(H15/G15-1)*100)</f>
        <v>45.717501727706392</v>
      </c>
      <c r="J15" s="22">
        <f t="shared" ref="J15:J42" si="4">(H15/H$13)*100</f>
        <v>14.308331391123136</v>
      </c>
      <c r="K15" s="16"/>
    </row>
    <row r="16" spans="1:14">
      <c r="A16" s="14"/>
      <c r="B16" s="9" t="str">
        <f>+[17]Rec_naturales!A4</f>
        <v>Valle del Cauca</v>
      </c>
      <c r="C16" s="22">
        <f>[17]Rec_naturales!B4/1000000</f>
        <v>1053.5093749500006</v>
      </c>
      <c r="D16" s="22">
        <f>[17]Rec_naturales!C4/1000000</f>
        <v>1318.0436086599998</v>
      </c>
      <c r="E16" s="22">
        <f t="shared" si="1"/>
        <v>25.109812973667545</v>
      </c>
      <c r="F16" s="22">
        <f t="shared" si="2"/>
        <v>12.609705628053547</v>
      </c>
      <c r="G16" s="22">
        <f>[17]Rec_naturales!D4/1000000</f>
        <v>106.27604232999961</v>
      </c>
      <c r="H16" s="22">
        <f>[17]Rec_naturales!E4/1000000</f>
        <v>112.48819447</v>
      </c>
      <c r="I16" s="22">
        <f t="shared" si="3"/>
        <v>5.8452987181352833</v>
      </c>
      <c r="J16" s="22">
        <f t="shared" si="4"/>
        <v>10.202421828305939</v>
      </c>
      <c r="K16" s="16"/>
    </row>
    <row r="17" spans="1:11">
      <c r="A17" s="14"/>
      <c r="B17" s="9" t="str">
        <f>+[17]Rec_naturales!A5</f>
        <v>Magdalena</v>
      </c>
      <c r="C17" s="22">
        <f>[17]Rec_naturales!B5/1000000</f>
        <v>1092.2949533300025</v>
      </c>
      <c r="D17" s="22">
        <f>[17]Rec_naturales!C5/1000000</f>
        <v>1197.3267027599979</v>
      </c>
      <c r="E17" s="22">
        <f t="shared" si="1"/>
        <v>9.6156948368014028</v>
      </c>
      <c r="F17" s="22">
        <f t="shared" si="2"/>
        <v>11.454808599057651</v>
      </c>
      <c r="G17" s="22">
        <f>[17]Rec_naturales!D5/1000000</f>
        <v>27.141836279999993</v>
      </c>
      <c r="H17" s="22">
        <f>[17]Rec_naturales!E5/1000000</f>
        <v>3.4159846800000007</v>
      </c>
      <c r="I17" s="22">
        <f t="shared" si="3"/>
        <v>-87.414319927509325</v>
      </c>
      <c r="J17" s="22">
        <f t="shared" si="4"/>
        <v>0.3098219935753822</v>
      </c>
      <c r="K17" s="16"/>
    </row>
    <row r="18" spans="1:11">
      <c r="A18" s="14"/>
      <c r="B18" s="9" t="str">
        <f>+[17]Rec_naturales!A6</f>
        <v>Antioquia</v>
      </c>
      <c r="C18" s="22">
        <f>[17]Rec_naturales!B6/1000000</f>
        <v>726.95699732999515</v>
      </c>
      <c r="D18" s="22">
        <f>[17]Rec_naturales!C6/1000000</f>
        <v>893.33770453998875</v>
      </c>
      <c r="E18" s="22">
        <f t="shared" si="1"/>
        <v>22.887283267247604</v>
      </c>
      <c r="F18" s="22">
        <f t="shared" si="2"/>
        <v>8.5465499067536257</v>
      </c>
      <c r="G18" s="22">
        <f>[17]Rec_naturales!D6/1000000</f>
        <v>65.748309769999992</v>
      </c>
      <c r="H18" s="22">
        <f>[17]Rec_naturales!E6/1000000</f>
        <v>92.217208340000099</v>
      </c>
      <c r="I18" s="22">
        <f t="shared" si="3"/>
        <v>40.257914861375625</v>
      </c>
      <c r="J18" s="22">
        <f t="shared" si="4"/>
        <v>8.3638897730229846</v>
      </c>
      <c r="K18" s="16"/>
    </row>
    <row r="19" spans="1:11">
      <c r="A19" s="14"/>
      <c r="B19" s="9" t="str">
        <f>+[17]Rec_naturales!A7</f>
        <v>Atlántico</v>
      </c>
      <c r="C19" s="22">
        <f>[17]Rec_naturales!B7/1000000</f>
        <v>436.94703664999952</v>
      </c>
      <c r="D19" s="22">
        <f>[17]Rec_naturales!C7/1000000</f>
        <v>614.03539174000059</v>
      </c>
      <c r="E19" s="22">
        <f t="shared" si="1"/>
        <v>40.528563014801101</v>
      </c>
      <c r="F19" s="22">
        <f t="shared" si="2"/>
        <v>5.8744684046681428</v>
      </c>
      <c r="G19" s="22">
        <f>[17]Rec_naturales!D7/1000000</f>
        <v>45.821519239999972</v>
      </c>
      <c r="H19" s="22">
        <f>[17]Rec_naturales!E7/1000000</f>
        <v>70.552667509999935</v>
      </c>
      <c r="I19" s="22">
        <f t="shared" si="3"/>
        <v>53.97278108668835</v>
      </c>
      <c r="J19" s="22">
        <f t="shared" si="4"/>
        <v>6.3989654953631918</v>
      </c>
      <c r="K19" s="16"/>
    </row>
    <row r="20" spans="1:11">
      <c r="A20" s="14"/>
      <c r="B20" s="9" t="str">
        <f>+[17]Rec_naturales!A8</f>
        <v>Cundinamarca</v>
      </c>
      <c r="C20" s="22">
        <f>[17]Rec_naturales!B8/1000000</f>
        <v>425.25052600999726</v>
      </c>
      <c r="D20" s="22">
        <f>[17]Rec_naturales!C8/1000000</f>
        <v>511.7544336600007</v>
      </c>
      <c r="E20" s="22">
        <f t="shared" si="1"/>
        <v>20.341869641325228</v>
      </c>
      <c r="F20" s="22">
        <f t="shared" si="2"/>
        <v>4.8959478426244472</v>
      </c>
      <c r="G20" s="22">
        <f>[17]Rec_naturales!D8/1000000</f>
        <v>43.227804469999974</v>
      </c>
      <c r="H20" s="22">
        <f>[17]Rec_naturales!E8/1000000</f>
        <v>49.76715784000001</v>
      </c>
      <c r="I20" s="22">
        <f t="shared" si="3"/>
        <v>15.127655568393106</v>
      </c>
      <c r="J20" s="22">
        <f t="shared" si="4"/>
        <v>4.5137673324019456</v>
      </c>
      <c r="K20" s="16"/>
    </row>
    <row r="21" spans="1:11">
      <c r="A21" s="14"/>
      <c r="B21" s="9" t="str">
        <f>+[17]Rec_naturales!A9</f>
        <v>Guajira</v>
      </c>
      <c r="C21" s="22">
        <f>[17]Rec_naturales!B9/1000000</f>
        <v>256.21801245999995</v>
      </c>
      <c r="D21" s="22">
        <f>[17]Rec_naturales!C9/1000000</f>
        <v>330.90469979999966</v>
      </c>
      <c r="E21" s="22">
        <f t="shared" si="1"/>
        <v>29.149663063466157</v>
      </c>
      <c r="F21" s="22">
        <f t="shared" si="2"/>
        <v>3.1657608504012593</v>
      </c>
      <c r="G21" s="22">
        <f>[17]Rec_naturales!D9/1000000</f>
        <v>23.589905979999994</v>
      </c>
      <c r="H21" s="22">
        <f>[17]Rec_naturales!E9/1000000</f>
        <v>30.152950119999957</v>
      </c>
      <c r="I21" s="22">
        <f t="shared" si="3"/>
        <v>27.821408637932876</v>
      </c>
      <c r="J21" s="22">
        <f t="shared" si="4"/>
        <v>2.7348035759801612</v>
      </c>
      <c r="K21" s="16"/>
    </row>
    <row r="22" spans="1:11">
      <c r="A22" s="14"/>
      <c r="B22" s="9" t="str">
        <f>+[17]Rec_naturales!A10</f>
        <v>Santander</v>
      </c>
      <c r="C22" s="22">
        <f>[17]Rec_naturales!B10/1000000</f>
        <v>86.458656070000089</v>
      </c>
      <c r="D22" s="22">
        <f>[17]Rec_naturales!C10/1000000</f>
        <v>111.38216265000044</v>
      </c>
      <c r="E22" s="22">
        <f t="shared" si="1"/>
        <v>28.82708072610032</v>
      </c>
      <c r="F22" s="22">
        <f t="shared" si="2"/>
        <v>1.0655916648011208</v>
      </c>
      <c r="G22" s="22">
        <f>[17]Rec_naturales!D10/1000000</f>
        <v>7.4867543999999997</v>
      </c>
      <c r="H22" s="22">
        <f>[17]Rec_naturales!E10/1000000</f>
        <v>12.475753470000003</v>
      </c>
      <c r="I22" s="22">
        <f t="shared" si="3"/>
        <v>66.637675065179153</v>
      </c>
      <c r="J22" s="22">
        <f t="shared" si="4"/>
        <v>1.1315222910866194</v>
      </c>
      <c r="K22" s="16"/>
    </row>
    <row r="23" spans="1:11">
      <c r="A23" s="14"/>
      <c r="B23" s="9" t="str">
        <f>+[17]Rec_naturales!A11</f>
        <v>Meta</v>
      </c>
      <c r="C23" s="22">
        <f>[17]Rec_naturales!B11/1000000</f>
        <v>12.229941559999999</v>
      </c>
      <c r="D23" s="22">
        <f>[17]Rec_naturales!C11/1000000</f>
        <v>84.954197610000008</v>
      </c>
      <c r="E23" s="22">
        <f t="shared" si="1"/>
        <v>594.64107570110104</v>
      </c>
      <c r="F23" s="22">
        <f t="shared" si="2"/>
        <v>0.81275567567804763</v>
      </c>
      <c r="G23" s="22">
        <f>[17]Rec_naturales!D11/1000000</f>
        <v>3.9300700000000001E-2</v>
      </c>
      <c r="H23" s="22">
        <f>[17]Rec_naturales!E11/1000000</f>
        <v>6.7720265300000007</v>
      </c>
      <c r="I23" s="22">
        <f t="shared" si="3"/>
        <v>17131.312750154579</v>
      </c>
      <c r="J23" s="22">
        <f t="shared" si="4"/>
        <v>0.61420730963874748</v>
      </c>
      <c r="K23" s="16"/>
    </row>
    <row r="24" spans="1:11">
      <c r="A24" s="14"/>
      <c r="B24" s="9" t="str">
        <f>+[17]Rec_naturales!A12</f>
        <v>Nariño</v>
      </c>
      <c r="C24" s="22">
        <f>[17]Rec_naturales!B12/1000000</f>
        <v>78.591824979999899</v>
      </c>
      <c r="D24" s="22">
        <f>[17]Rec_naturales!C12/1000000</f>
        <v>79.948284159999602</v>
      </c>
      <c r="E24" s="22">
        <f t="shared" si="1"/>
        <v>1.7259545510552643</v>
      </c>
      <c r="F24" s="22">
        <f t="shared" si="2"/>
        <v>0.76486416845531346</v>
      </c>
      <c r="G24" s="22">
        <f>[17]Rec_naturales!D12/1000000</f>
        <v>7.6125284599999992</v>
      </c>
      <c r="H24" s="22">
        <f>[17]Rec_naturales!E12/1000000</f>
        <v>8.0116978099999994</v>
      </c>
      <c r="I24" s="22">
        <f t="shared" si="3"/>
        <v>5.2435843372860225</v>
      </c>
      <c r="J24" s="22">
        <f t="shared" si="4"/>
        <v>0.72664265795762384</v>
      </c>
      <c r="K24" s="16"/>
    </row>
    <row r="25" spans="1:11">
      <c r="A25" s="14"/>
      <c r="B25" s="9" t="str">
        <f>+[17]Rec_naturales!A13</f>
        <v>Cauca</v>
      </c>
      <c r="C25" s="22">
        <f>[17]Rec_naturales!B13/1000000</f>
        <v>62.330068970000013</v>
      </c>
      <c r="D25" s="22">
        <f>[17]Rec_naturales!C13/1000000</f>
        <v>75.512827429999987</v>
      </c>
      <c r="E25" s="22">
        <f t="shared" si="1"/>
        <v>21.149917973530474</v>
      </c>
      <c r="F25" s="22">
        <f t="shared" si="2"/>
        <v>0.7224302130658361</v>
      </c>
      <c r="G25" s="22">
        <f>[17]Rec_naturales!D13/1000000</f>
        <v>7.4130032299999984</v>
      </c>
      <c r="H25" s="22">
        <f>[17]Rec_naturales!E13/1000000</f>
        <v>9.4566314700000031</v>
      </c>
      <c r="I25" s="22">
        <f t="shared" si="3"/>
        <v>27.56815526168339</v>
      </c>
      <c r="J25" s="22">
        <f t="shared" si="4"/>
        <v>0.85769483443441497</v>
      </c>
      <c r="K25" s="16"/>
    </row>
    <row r="26" spans="1:11">
      <c r="A26" s="14"/>
      <c r="B26" s="9" t="str">
        <f>+[17]Rec_naturales!A14</f>
        <v>Risaralda</v>
      </c>
      <c r="C26" s="22">
        <f>[17]Rec_naturales!B14/1000000</f>
        <v>43.355990480000024</v>
      </c>
      <c r="D26" s="22">
        <f>[17]Rec_naturales!C14/1000000</f>
        <v>58.733202279999958</v>
      </c>
      <c r="E26" s="22">
        <f t="shared" si="1"/>
        <v>35.467329035173087</v>
      </c>
      <c r="F26" s="22">
        <f t="shared" si="2"/>
        <v>0.56189976301062505</v>
      </c>
      <c r="G26" s="22">
        <f>[17]Rec_naturales!D14/1000000</f>
        <v>4.3066295200000022</v>
      </c>
      <c r="H26" s="22">
        <f>[17]Rec_naturales!E14/1000000</f>
        <v>5.7033679599999987</v>
      </c>
      <c r="I26" s="22">
        <f t="shared" si="3"/>
        <v>32.432286861768311</v>
      </c>
      <c r="J26" s="22">
        <f t="shared" si="4"/>
        <v>0.51728242278333647</v>
      </c>
      <c r="K26" s="16"/>
    </row>
    <row r="27" spans="1:11">
      <c r="A27" s="14"/>
      <c r="B27" s="9" t="str">
        <f>+[17]Rec_naturales!A15</f>
        <v>Cesar</v>
      </c>
      <c r="C27" s="22">
        <f>[17]Rec_naturales!B15/1000000</f>
        <v>51.665816270000001</v>
      </c>
      <c r="D27" s="22">
        <f>[17]Rec_naturales!C15/1000000</f>
        <v>45.041870109999877</v>
      </c>
      <c r="E27" s="22">
        <f t="shared" si="1"/>
        <v>-12.820751975317869</v>
      </c>
      <c r="F27" s="22">
        <f t="shared" si="2"/>
        <v>0.4309149707129557</v>
      </c>
      <c r="G27" s="22">
        <f>[17]Rec_naturales!D15/1000000</f>
        <v>4.850042559999995</v>
      </c>
      <c r="H27" s="22">
        <f>[17]Rec_naturales!E15/1000000</f>
        <v>4.1599607600000006</v>
      </c>
      <c r="I27" s="22">
        <f t="shared" si="3"/>
        <v>-14.228365864071824</v>
      </c>
      <c r="J27" s="22">
        <f t="shared" si="4"/>
        <v>0.37729892156851302</v>
      </c>
      <c r="K27" s="16"/>
    </row>
    <row r="28" spans="1:11">
      <c r="A28" s="14"/>
      <c r="B28" s="9" t="str">
        <f>+[17]Rec_naturales!A16</f>
        <v>Caldas</v>
      </c>
      <c r="C28" s="22">
        <f>[17]Rec_naturales!B16/1000000</f>
        <v>35.310510900000011</v>
      </c>
      <c r="D28" s="22">
        <f>[17]Rec_naturales!C16/1000000</f>
        <v>42.236840699999952</v>
      </c>
      <c r="E28" s="22">
        <f t="shared" si="1"/>
        <v>19.615490185388218</v>
      </c>
      <c r="F28" s="22">
        <f t="shared" si="2"/>
        <v>0.40407929175230928</v>
      </c>
      <c r="G28" s="22">
        <f>[17]Rec_naturales!D16/1000000</f>
        <v>2.0686467400000002</v>
      </c>
      <c r="H28" s="22">
        <f>[17]Rec_naturales!E16/1000000</f>
        <v>4.917559390000001</v>
      </c>
      <c r="I28" s="22">
        <f t="shared" si="3"/>
        <v>137.71866384494439</v>
      </c>
      <c r="J28" s="22">
        <f t="shared" si="4"/>
        <v>0.44601138367375248</v>
      </c>
      <c r="K28" s="16"/>
    </row>
    <row r="29" spans="1:11">
      <c r="A29" s="14"/>
      <c r="B29" s="9" t="str">
        <f>+[17]Rec_naturales!A17</f>
        <v>Quindío</v>
      </c>
      <c r="C29" s="22">
        <f>[17]Rec_naturales!B17/1000000</f>
        <v>14.639216899999997</v>
      </c>
      <c r="D29" s="22">
        <f>[17]Rec_naturales!C17/1000000</f>
        <v>29.968240989999984</v>
      </c>
      <c r="E29" s="22">
        <f t="shared" si="1"/>
        <v>104.71204979550505</v>
      </c>
      <c r="F29" s="22">
        <f t="shared" si="2"/>
        <v>0.28670576192744762</v>
      </c>
      <c r="G29" s="22">
        <f>[17]Rec_naturales!D17/1000000</f>
        <v>1.5750029900000002</v>
      </c>
      <c r="H29" s="22">
        <f>[17]Rec_naturales!E17/1000000</f>
        <v>1.8063050900000004</v>
      </c>
      <c r="I29" s="22">
        <f t="shared" si="3"/>
        <v>14.685819739300943</v>
      </c>
      <c r="J29" s="22">
        <f t="shared" si="4"/>
        <v>0.16382773824066454</v>
      </c>
      <c r="K29" s="16"/>
    </row>
    <row r="30" spans="1:11">
      <c r="A30" s="14"/>
      <c r="B30" s="9" t="str">
        <f>+[17]Rec_naturales!A18</f>
        <v>Tolima</v>
      </c>
      <c r="C30" s="22">
        <f>[17]Rec_naturales!B18/1000000</f>
        <v>2.1662574699999992</v>
      </c>
      <c r="D30" s="22">
        <f>[17]Rec_naturales!C18/1000000</f>
        <v>23.013923190000003</v>
      </c>
      <c r="E30" s="22">
        <f t="shared" si="1"/>
        <v>962.38171171776776</v>
      </c>
      <c r="F30" s="22">
        <f t="shared" si="2"/>
        <v>0.2201738962700697</v>
      </c>
      <c r="G30" s="22">
        <f>[17]Rec_naturales!D18/1000000</f>
        <v>0.34804724999999992</v>
      </c>
      <c r="H30" s="22">
        <f>[17]Rec_naturales!E18/1000000</f>
        <v>0.11907812000000002</v>
      </c>
      <c r="I30" s="22">
        <f t="shared" si="3"/>
        <v>-65.786794752723935</v>
      </c>
      <c r="J30" s="22">
        <f t="shared" si="4"/>
        <v>1.0800112993951892E-2</v>
      </c>
      <c r="K30" s="16"/>
    </row>
    <row r="31" spans="1:11">
      <c r="A31" s="14"/>
      <c r="B31" s="9" t="str">
        <f>+[17]Rec_naturales!A19</f>
        <v>Boyacá</v>
      </c>
      <c r="C31" s="22">
        <f>[17]Rec_naturales!B19/1000000</f>
        <v>10.658665750000004</v>
      </c>
      <c r="D31" s="22">
        <f>[17]Rec_naturales!C19/1000000</f>
        <v>12.840730959999995</v>
      </c>
      <c r="E31" s="22">
        <f t="shared" si="1"/>
        <v>20.47221726603059</v>
      </c>
      <c r="F31" s="22">
        <f t="shared" si="2"/>
        <v>0.12284710186429151</v>
      </c>
      <c r="G31" s="22">
        <f>[17]Rec_naturales!D19/1000000</f>
        <v>1.0426284800000001</v>
      </c>
      <c r="H31" s="22">
        <f>[17]Rec_naturales!E19/1000000</f>
        <v>1.6127494099999997</v>
      </c>
      <c r="I31" s="22">
        <f t="shared" si="3"/>
        <v>54.681119970941097</v>
      </c>
      <c r="J31" s="22">
        <f t="shared" si="4"/>
        <v>0.14627268098395607</v>
      </c>
      <c r="K31" s="16"/>
    </row>
    <row r="32" spans="1:11">
      <c r="A32" s="14"/>
      <c r="B32" s="9" t="str">
        <f>+[17]Rec_naturales!A20</f>
        <v>Norte de Santander</v>
      </c>
      <c r="C32" s="22">
        <f>[17]Rec_naturales!B20/1000000</f>
        <v>10.613347020000013</v>
      </c>
      <c r="D32" s="22">
        <f>[17]Rec_naturales!C20/1000000</f>
        <v>9.5075185100000024</v>
      </c>
      <c r="E32" s="22">
        <f t="shared" si="1"/>
        <v>-10.419225037268308</v>
      </c>
      <c r="F32" s="22">
        <f t="shared" si="2"/>
        <v>9.0958302803239161E-2</v>
      </c>
      <c r="G32" s="22">
        <f>[17]Rec_naturales!D20/1000000</f>
        <v>0.79821220999999953</v>
      </c>
      <c r="H32" s="22">
        <f>[17]Rec_naturales!E20/1000000</f>
        <v>0.99538582000000031</v>
      </c>
      <c r="I32" s="22">
        <f t="shared" si="3"/>
        <v>24.701903520117895</v>
      </c>
      <c r="J32" s="22">
        <f t="shared" si="4"/>
        <v>9.0279216102651438E-2</v>
      </c>
      <c r="K32" s="16"/>
    </row>
    <row r="33" spans="1:13">
      <c r="A33" s="14"/>
      <c r="B33" s="9" t="str">
        <f>+[17]Rec_naturales!A21</f>
        <v>Córdoba</v>
      </c>
      <c r="C33" s="22">
        <f>[17]Rec_naturales!B21/1000000</f>
        <v>3.5849266799999993</v>
      </c>
      <c r="D33" s="22">
        <f>[17]Rec_naturales!C21/1000000</f>
        <v>4.6726300800000011</v>
      </c>
      <c r="E33" s="22">
        <f t="shared" si="1"/>
        <v>30.341022204671763</v>
      </c>
      <c r="F33" s="22">
        <f t="shared" si="2"/>
        <v>4.4702989666245058E-2</v>
      </c>
      <c r="G33" s="22">
        <f>[17]Rec_naturales!D21/1000000</f>
        <v>0.44034208999999996</v>
      </c>
      <c r="H33" s="22">
        <f>[17]Rec_naturales!E21/1000000</f>
        <v>0.12738228999999995</v>
      </c>
      <c r="I33" s="22">
        <f t="shared" si="3"/>
        <v>-71.071970430989239</v>
      </c>
      <c r="J33" s="22">
        <f t="shared" si="4"/>
        <v>1.1553282210269588E-2</v>
      </c>
      <c r="K33" s="16"/>
    </row>
    <row r="34" spans="1:13">
      <c r="A34" s="14"/>
      <c r="B34" s="9" t="str">
        <f>+[17]Rec_naturales!A22</f>
        <v>Casanare</v>
      </c>
      <c r="C34" s="22">
        <f>[17]Rec_naturales!B22/1000000</f>
        <v>3.2142945699999994</v>
      </c>
      <c r="D34" s="22">
        <f>[17]Rec_naturales!C22/1000000</f>
        <v>3.815750980000002</v>
      </c>
      <c r="E34" s="22">
        <f t="shared" si="1"/>
        <v>18.711925646565831</v>
      </c>
      <c r="F34" s="22">
        <f t="shared" si="2"/>
        <v>3.6505238742953194E-2</v>
      </c>
      <c r="G34" s="22">
        <f>[17]Rec_naturales!D22/1000000</f>
        <v>0.60029479000000008</v>
      </c>
      <c r="H34" s="22">
        <f>[17]Rec_naturales!E22/1000000</f>
        <v>7.2339529999999999E-2</v>
      </c>
      <c r="I34" s="22">
        <f t="shared" si="3"/>
        <v>-87.949332360522405</v>
      </c>
      <c r="J34" s="22">
        <f t="shared" si="4"/>
        <v>6.5610298342749489E-3</v>
      </c>
      <c r="K34" s="16"/>
    </row>
    <row r="35" spans="1:13">
      <c r="A35" s="14"/>
      <c r="B35" s="9" t="str">
        <f>+[17]Rec_naturales!A23</f>
        <v>Sucre</v>
      </c>
      <c r="C35" s="22">
        <f>[17]Rec_naturales!B23/1000000</f>
        <v>3.1207876899999998</v>
      </c>
      <c r="D35" s="22">
        <f>[17]Rec_naturales!C23/1000000</f>
        <v>0.85110964999999994</v>
      </c>
      <c r="E35" s="22">
        <f t="shared" si="1"/>
        <v>-72.727729837975616</v>
      </c>
      <c r="F35" s="22">
        <f t="shared" si="2"/>
        <v>8.1425546720769806E-3</v>
      </c>
      <c r="G35" s="22">
        <f>[17]Rec_naturales!D23/1000000</f>
        <v>0</v>
      </c>
      <c r="H35" s="22">
        <f>[17]Rec_naturales!E23/1000000</f>
        <v>8.2830000000000001E-2</v>
      </c>
      <c r="I35" s="22" t="str">
        <f t="shared" si="3"/>
        <v/>
      </c>
      <c r="J35" s="22">
        <f t="shared" si="4"/>
        <v>7.5124914576165215E-3</v>
      </c>
      <c r="K35" s="16"/>
    </row>
    <row r="36" spans="1:13">
      <c r="A36" s="14"/>
      <c r="B36" s="9" t="str">
        <f>+[17]Rec_naturales!A24</f>
        <v>Huila</v>
      </c>
      <c r="C36" s="22">
        <f>[17]Rec_naturales!B24/1000000</f>
        <v>1.4162289300000004</v>
      </c>
      <c r="D36" s="22">
        <f>[17]Rec_naturales!C24/1000000</f>
        <v>0.84156727000000009</v>
      </c>
      <c r="E36" s="22">
        <f t="shared" si="1"/>
        <v>-40.576890347805573</v>
      </c>
      <c r="F36" s="22">
        <f t="shared" si="2"/>
        <v>8.051262849863787E-3</v>
      </c>
      <c r="G36" s="22">
        <f>[17]Rec_naturales!D24/1000000</f>
        <v>0.25529386999999998</v>
      </c>
      <c r="H36" s="22">
        <f>[17]Rec_naturales!E24/1000000</f>
        <v>9.7557320000000003E-2</v>
      </c>
      <c r="I36" s="22">
        <f t="shared" si="3"/>
        <v>-61.786266156723627</v>
      </c>
      <c r="J36" s="22">
        <f t="shared" si="4"/>
        <v>8.8482256806466427E-3</v>
      </c>
      <c r="K36" s="16"/>
    </row>
    <row r="37" spans="1:13">
      <c r="A37" s="14"/>
      <c r="B37" s="9" t="str">
        <f>+[17]Rec_naturales!A25</f>
        <v>Putumayo</v>
      </c>
      <c r="C37" s="22">
        <f>[17]Rec_naturales!B25/1000000</f>
        <v>0.13950922999999998</v>
      </c>
      <c r="D37" s="22">
        <f>[17]Rec_naturales!C25/1000000</f>
        <v>0.26782535000000002</v>
      </c>
      <c r="E37" s="22">
        <f t="shared" si="1"/>
        <v>91.976796087255337</v>
      </c>
      <c r="F37" s="22">
        <f t="shared" si="2"/>
        <v>2.5622815520222955E-3</v>
      </c>
      <c r="G37" s="22">
        <f>[17]Rec_naturales!D25/1000000</f>
        <v>9.9513729999999995E-2</v>
      </c>
      <c r="H37" s="22">
        <f>[17]Rec_naturales!E25/1000000</f>
        <v>0</v>
      </c>
      <c r="I37" s="22" t="str">
        <f t="shared" si="3"/>
        <v/>
      </c>
      <c r="J37" s="22">
        <f t="shared" si="4"/>
        <v>0</v>
      </c>
      <c r="K37" s="16"/>
    </row>
    <row r="38" spans="1:13">
      <c r="A38" s="14"/>
      <c r="B38" s="9" t="str">
        <f>+[17]Rec_naturales!A26</f>
        <v>Amazonas</v>
      </c>
      <c r="C38" s="22">
        <f>[17]Rec_naturales!B26/1000000</f>
        <v>9.4997550000000014E-2</v>
      </c>
      <c r="D38" s="22">
        <f>[17]Rec_naturales!C26/1000000</f>
        <v>7.6358800000000004E-2</v>
      </c>
      <c r="E38" s="22">
        <f t="shared" si="1"/>
        <v>-19.620242837841616</v>
      </c>
      <c r="F38" s="22">
        <f t="shared" si="2"/>
        <v>7.3052362136205573E-4</v>
      </c>
      <c r="G38" s="22">
        <f>[17]Rec_naturales!D26/1000000</f>
        <v>1.3894709999999999E-2</v>
      </c>
      <c r="H38" s="22">
        <f>[17]Rec_naturales!E26/1000000</f>
        <v>6.8000000000000005E-7</v>
      </c>
      <c r="I38" s="22">
        <f t="shared" si="3"/>
        <v>-99.995106051151836</v>
      </c>
      <c r="J38" s="22">
        <f t="shared" si="4"/>
        <v>6.167444393552136E-8</v>
      </c>
      <c r="K38" s="16"/>
    </row>
    <row r="39" spans="1:13">
      <c r="A39" s="14"/>
      <c r="B39" s="9" t="str">
        <f>+[17]Rec_naturales!A27</f>
        <v>Caquetá</v>
      </c>
      <c r="C39" s="22">
        <f>[17]Rec_naturales!B27/1000000</f>
        <v>7.2376999999999999E-4</v>
      </c>
      <c r="D39" s="22">
        <f>[17]Rec_naturales!C27/1000000</f>
        <v>3.6014049999999999E-2</v>
      </c>
      <c r="E39" s="22">
        <f t="shared" si="1"/>
        <v>4875.8970391146358</v>
      </c>
      <c r="F39" s="22">
        <f t="shared" si="2"/>
        <v>3.4454593610578146E-4</v>
      </c>
      <c r="G39" s="22">
        <f>[17]Rec_naturales!D27/1000000</f>
        <v>0</v>
      </c>
      <c r="H39" s="22">
        <f>[17]Rec_naturales!E27/1000000</f>
        <v>0</v>
      </c>
      <c r="I39" s="22" t="str">
        <f t="shared" si="3"/>
        <v/>
      </c>
      <c r="J39" s="22">
        <f t="shared" si="4"/>
        <v>0</v>
      </c>
      <c r="K39" s="16"/>
    </row>
    <row r="40" spans="1:13">
      <c r="A40" s="14"/>
      <c r="B40" s="9" t="str">
        <f>+[17]Rec_naturales!A28</f>
        <v>San Andrés</v>
      </c>
      <c r="C40" s="22">
        <f>[17]Rec_naturales!B28/1000000</f>
        <v>3.6414400000000001E-3</v>
      </c>
      <c r="D40" s="22">
        <f>[17]Rec_naturales!C28/1000000</f>
        <v>3.131246E-2</v>
      </c>
      <c r="E40" s="22">
        <f t="shared" si="1"/>
        <v>759.89224043235652</v>
      </c>
      <c r="F40" s="22">
        <f t="shared" si="2"/>
        <v>2.9956588727107438E-4</v>
      </c>
      <c r="G40" s="22">
        <f>[17]Rec_naturales!D28/1000000</f>
        <v>0</v>
      </c>
      <c r="H40" s="22">
        <f>[17]Rec_naturales!E28/1000000</f>
        <v>2.1146040000000001E-2</v>
      </c>
      <c r="I40" s="22" t="str">
        <f t="shared" si="3"/>
        <v/>
      </c>
      <c r="J40" s="22">
        <f t="shared" si="4"/>
        <v>1.9178974388798415E-3</v>
      </c>
      <c r="K40" s="16"/>
    </row>
    <row r="41" spans="1:13">
      <c r="A41" s="14"/>
      <c r="B41" s="9" t="str">
        <f>+[17]Rec_naturales!A29</f>
        <v>Aráuca</v>
      </c>
      <c r="C41" s="22">
        <f>[17]Rec_naturales!B29/1000000</f>
        <v>0.14699307</v>
      </c>
      <c r="D41" s="22">
        <f>[17]Rec_naturales!C29/1000000</f>
        <v>2.7601950000000004E-2</v>
      </c>
      <c r="E41" s="22">
        <f t="shared" si="1"/>
        <v>-81.222278029841817</v>
      </c>
      <c r="F41" s="22">
        <f t="shared" si="2"/>
        <v>2.6406748758040199E-4</v>
      </c>
      <c r="G41" s="22">
        <f>[17]Rec_naturales!D29/1000000</f>
        <v>0</v>
      </c>
      <c r="H41" s="22">
        <f>[17]Rec_naturales!E29/1000000</f>
        <v>5.9377600000000003E-3</v>
      </c>
      <c r="I41" s="22" t="str">
        <f t="shared" si="3"/>
        <v/>
      </c>
      <c r="J41" s="22">
        <f t="shared" si="4"/>
        <v>5.3854124444497253E-4</v>
      </c>
      <c r="K41" s="16"/>
    </row>
    <row r="42" spans="1:13">
      <c r="A42" s="14"/>
      <c r="B42" s="9" t="str">
        <f>+[17]Rec_naturales!A30</f>
        <v>Chocó</v>
      </c>
      <c r="C42" s="22">
        <f>[17]Rec_naturales!B30/1000000</f>
        <v>0</v>
      </c>
      <c r="D42" s="22">
        <f>[17]Rec_naturales!C30/1000000</f>
        <v>7.6737500000000009E-3</v>
      </c>
      <c r="E42" s="22" t="str">
        <f t="shared" si="1"/>
        <v/>
      </c>
      <c r="F42" s="22">
        <f t="shared" si="2"/>
        <v>7.3414663921212439E-5</v>
      </c>
      <c r="G42" s="22">
        <f>[17]Rec_naturales!D30/1000000</f>
        <v>0</v>
      </c>
      <c r="H42" s="22">
        <f>[17]Rec_naturales!E30/1000000</f>
        <v>0</v>
      </c>
      <c r="I42" s="22" t="str">
        <f t="shared" si="3"/>
        <v/>
      </c>
      <c r="J42" s="22">
        <f t="shared" si="4"/>
        <v>0</v>
      </c>
      <c r="K42" s="16"/>
    </row>
    <row r="43" spans="1:13">
      <c r="A43" s="14"/>
      <c r="B43" s="9" t="str">
        <f>+[17]Rec_naturales!A31</f>
        <v>Vaupés</v>
      </c>
      <c r="C43" s="22">
        <f>[17]Rec_naturales!B31/1000000</f>
        <v>0</v>
      </c>
      <c r="D43" s="22">
        <f>[17]Rec_naturales!C31/1000000</f>
        <v>3.3243600000000002E-3</v>
      </c>
      <c r="E43" s="22" t="str">
        <f t="shared" ref="E43" si="5">IF(OR(OR(D43=0,C43=0),D43=""),"",(D43/C43-1)*100)</f>
        <v/>
      </c>
      <c r="F43" s="22">
        <f t="shared" ref="F43" si="6">(D43/D$13)*100</f>
        <v>3.1804107789949081E-5</v>
      </c>
      <c r="G43" s="22">
        <f>[17]Rec_naturales!D31/1000000</f>
        <v>0</v>
      </c>
      <c r="H43" s="22">
        <f>[17]Rec_naturales!E31/1000000</f>
        <v>3.3243600000000002E-3</v>
      </c>
      <c r="I43" s="22" t="str">
        <f t="shared" ref="I43" si="7">IF(OR(OR(H43=0,G43=0),H43=""),"",(H43/G43-1)*100)</f>
        <v/>
      </c>
      <c r="J43" s="22">
        <f t="shared" ref="J43" si="8">(H43/H$13)*100</f>
        <v>3.0151184476689681E-4</v>
      </c>
      <c r="K43" s="16"/>
    </row>
    <row r="44" spans="1:13">
      <c r="A44" s="14"/>
      <c r="B44" s="9" t="str">
        <f>+[17]Rec_naturales!A32</f>
        <v>Vichada</v>
      </c>
      <c r="C44" s="22">
        <f>[17]Rec_naturales!B32/1000000</f>
        <v>5.9338100000000005E-2</v>
      </c>
      <c r="D44" s="22">
        <f>[17]Rec_naturales!C32/1000000</f>
        <v>9.0093000000000009E-4</v>
      </c>
      <c r="E44" s="22">
        <f t="shared" ref="E44" si="9">IF(OR(OR(D44=0,C44=0),D44=""),"",(D44/C44-1)*100)</f>
        <v>-98.481700627421503</v>
      </c>
      <c r="F44" s="22">
        <f t="shared" ref="F44" si="10">(D44/D$13)*100</f>
        <v>8.6191852961769549E-6</v>
      </c>
      <c r="G44" s="22">
        <f>[17]Rec_naturales!D32/1000000</f>
        <v>0</v>
      </c>
      <c r="H44" s="22">
        <f>[17]Rec_naturales!E32/1000000</f>
        <v>2.8704000000000002E-4</v>
      </c>
      <c r="I44" s="22" t="str">
        <f t="shared" ref="I44" si="11">IF(OR(OR(H44=0,G44=0),H44=""),"",(H44/G44-1)*100)</f>
        <v/>
      </c>
      <c r="J44" s="22">
        <f t="shared" ref="J44" si="12">(H44/H$13)*100</f>
        <v>2.6033871157723605E-5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f>SUM(C14:C44)</f>
        <v>5327.9233650700035</v>
      </c>
      <c r="D13" s="97">
        <f>SUM(D14:D44)</f>
        <v>7430.0515959700424</v>
      </c>
      <c r="E13" s="96">
        <f>IF(OR(OR(D13=0,C13=0),D13=""),"",(D13/C13-1)*100)</f>
        <v>39.454926185343496</v>
      </c>
      <c r="F13" s="96">
        <f>(D13/D$13)*100</f>
        <v>100</v>
      </c>
      <c r="G13" s="97">
        <f t="shared" ref="G13:H13" si="0">SUM(G14:G44)</f>
        <v>592.10626001999924</v>
      </c>
      <c r="H13" s="97">
        <f t="shared" si="0"/>
        <v>747.57939757999941</v>
      </c>
      <c r="I13" s="96">
        <f>IF(OR(OR(H13=0,G13=0),H13=""),"",(H13/G13-1)*100)</f>
        <v>26.257641247493126</v>
      </c>
      <c r="J13" s="96">
        <f>(H13/H$13)*100</f>
        <v>100</v>
      </c>
      <c r="K13" s="16"/>
    </row>
    <row r="14" spans="1:14">
      <c r="A14" s="14"/>
      <c r="B14" s="10" t="str">
        <f>+[17]Baja_tek!A2</f>
        <v>Bogotá</v>
      </c>
      <c r="C14" s="25">
        <f>[17]Baja_tek!B2/1000000</f>
        <v>2221.1914241400168</v>
      </c>
      <c r="D14" s="25">
        <f>[17]Baja_tek!C2/1000000</f>
        <v>3079.593575190037</v>
      </c>
      <c r="E14" s="25">
        <f>IF(OR(OR(D14=0,C14=0),D14=""),"",(D14/C14-1)*100)</f>
        <v>38.646023108178063</v>
      </c>
      <c r="F14" s="25">
        <f>(D14/D$13)*100</f>
        <v>41.447808745505426</v>
      </c>
      <c r="G14" s="25">
        <f>[17]Baja_tek!D2/1000000</f>
        <v>255.13199222999961</v>
      </c>
      <c r="H14" s="25">
        <f>[17]Baja_tek!E2/1000000</f>
        <v>334.43166214999923</v>
      </c>
      <c r="I14" s="25">
        <f>IF(OR(OR(H14=0,G14=0),H14=""),"",(H14/G14-1)*100)</f>
        <v>31.081821306248237</v>
      </c>
      <c r="J14" s="25">
        <f>(H14/H$13)*100</f>
        <v>44.735270023838673</v>
      </c>
      <c r="K14" s="16"/>
    </row>
    <row r="15" spans="1:14">
      <c r="A15" s="14"/>
      <c r="B15" s="9" t="str">
        <f>+[17]Baja_tek!A3</f>
        <v>Antioquia</v>
      </c>
      <c r="C15" s="22">
        <f>[17]Baja_tek!B3/1000000</f>
        <v>974.75099915998919</v>
      </c>
      <c r="D15" s="22">
        <f>[17]Baja_tek!C3/1000000</f>
        <v>1412.3763403699988</v>
      </c>
      <c r="E15" s="22">
        <f t="shared" ref="E15:E41" si="1">IF(OR(OR(D15=0,C15=0),D15=""),"",(D15/C15-1)*100)</f>
        <v>44.896116196561152</v>
      </c>
      <c r="F15" s="22">
        <f t="shared" ref="F15:F41" si="2">(D15/D$13)*100</f>
        <v>19.008970827821063</v>
      </c>
      <c r="G15" s="22">
        <f>[17]Baja_tek!D3/1000000</f>
        <v>104.84157546999982</v>
      </c>
      <c r="H15" s="22">
        <f>[17]Baja_tek!E3/1000000</f>
        <v>141.15249771000001</v>
      </c>
      <c r="I15" s="22">
        <f t="shared" ref="I15:I41" si="3">IF(OR(OR(H15=0,G15=0),H15=""),"",(H15/G15-1)*100)</f>
        <v>34.634086789730148</v>
      </c>
      <c r="J15" s="22">
        <f t="shared" ref="J15:J41" si="4">(H15/H$13)*100</f>
        <v>18.881271764166708</v>
      </c>
      <c r="K15" s="16"/>
    </row>
    <row r="16" spans="1:14">
      <c r="A16" s="14"/>
      <c r="B16" s="9" t="str">
        <f>+[17]Baja_tek!A4</f>
        <v>Atlántico</v>
      </c>
      <c r="C16" s="22">
        <f>[17]Baja_tek!B4/1000000</f>
        <v>496.9652658500014</v>
      </c>
      <c r="D16" s="22">
        <f>[17]Baja_tek!C4/1000000</f>
        <v>668.17335292000041</v>
      </c>
      <c r="E16" s="22">
        <f t="shared" si="1"/>
        <v>34.450714936217409</v>
      </c>
      <c r="F16" s="22">
        <f t="shared" si="2"/>
        <v>8.9928494343485905</v>
      </c>
      <c r="G16" s="22">
        <f>[17]Baja_tek!D4/1000000</f>
        <v>41.766154439999958</v>
      </c>
      <c r="H16" s="22">
        <f>[17]Baja_tek!E4/1000000</f>
        <v>73.7333039600001</v>
      </c>
      <c r="I16" s="22">
        <f t="shared" si="3"/>
        <v>76.538407590105578</v>
      </c>
      <c r="J16" s="22">
        <f t="shared" si="4"/>
        <v>9.8629395350759133</v>
      </c>
      <c r="K16" s="16"/>
    </row>
    <row r="17" spans="1:11">
      <c r="A17" s="14"/>
      <c r="B17" s="9" t="str">
        <f>+[17]Baja_tek!A5</f>
        <v>Valle del Cauca</v>
      </c>
      <c r="C17" s="22">
        <f>[17]Baja_tek!B5/1000000</f>
        <v>451.89370490999914</v>
      </c>
      <c r="D17" s="22">
        <f>[17]Baja_tek!C5/1000000</f>
        <v>576.34050604000026</v>
      </c>
      <c r="E17" s="22">
        <f t="shared" si="1"/>
        <v>27.538954355380184</v>
      </c>
      <c r="F17" s="22">
        <f t="shared" si="2"/>
        <v>7.7568843041762907</v>
      </c>
      <c r="G17" s="22">
        <f>[17]Baja_tek!D5/1000000</f>
        <v>57.609250920000029</v>
      </c>
      <c r="H17" s="22">
        <f>[17]Baja_tek!E5/1000000</f>
        <v>58.310394940000151</v>
      </c>
      <c r="I17" s="22">
        <f t="shared" si="3"/>
        <v>1.2170684548107991</v>
      </c>
      <c r="J17" s="22">
        <f t="shared" si="4"/>
        <v>7.7998932459558965</v>
      </c>
      <c r="K17" s="16"/>
    </row>
    <row r="18" spans="1:11">
      <c r="A18" s="14"/>
      <c r="B18" s="9" t="str">
        <f>+[17]Baja_tek!A6</f>
        <v>Cundinamarca</v>
      </c>
      <c r="C18" s="22">
        <f>[17]Baja_tek!B6/1000000</f>
        <v>367.5311023499961</v>
      </c>
      <c r="D18" s="22">
        <f>[17]Baja_tek!C6/1000000</f>
        <v>570.21477692000508</v>
      </c>
      <c r="E18" s="22">
        <f t="shared" si="1"/>
        <v>55.147353046870947</v>
      </c>
      <c r="F18" s="22">
        <f t="shared" si="2"/>
        <v>7.6744389935230295</v>
      </c>
      <c r="G18" s="22">
        <f>[17]Baja_tek!D6/1000000</f>
        <v>44.323048999999983</v>
      </c>
      <c r="H18" s="22">
        <f>[17]Baja_tek!E6/1000000</f>
        <v>69.09954096999985</v>
      </c>
      <c r="I18" s="22">
        <f t="shared" si="3"/>
        <v>55.899791483207473</v>
      </c>
      <c r="J18" s="22">
        <f t="shared" si="4"/>
        <v>9.2431039691145891</v>
      </c>
      <c r="K18" s="16"/>
    </row>
    <row r="19" spans="1:11">
      <c r="A19" s="14"/>
      <c r="B19" s="9" t="str">
        <f>+[17]Baja_tek!A7</f>
        <v>Bolívar</v>
      </c>
      <c r="C19" s="22">
        <f>[17]Baja_tek!B7/1000000</f>
        <v>249.15464724000068</v>
      </c>
      <c r="D19" s="22">
        <f>[17]Baja_tek!C7/1000000</f>
        <v>340.49900611000368</v>
      </c>
      <c r="E19" s="22">
        <f t="shared" si="1"/>
        <v>36.66171186524754</v>
      </c>
      <c r="F19" s="22">
        <f t="shared" si="2"/>
        <v>4.5827273433025102</v>
      </c>
      <c r="G19" s="22">
        <f>[17]Baja_tek!D7/1000000</f>
        <v>36.945338129999918</v>
      </c>
      <c r="H19" s="22">
        <f>[17]Baja_tek!E7/1000000</f>
        <v>19.104627010000033</v>
      </c>
      <c r="I19" s="22">
        <f t="shared" si="3"/>
        <v>-48.289478518842088</v>
      </c>
      <c r="J19" s="22">
        <f t="shared" si="4"/>
        <v>2.5555315023185381</v>
      </c>
      <c r="K19" s="16"/>
    </row>
    <row r="20" spans="1:11">
      <c r="A20" s="14"/>
      <c r="B20" s="9" t="str">
        <f>+[17]Baja_tek!A8</f>
        <v>Casanare</v>
      </c>
      <c r="C20" s="22">
        <f>[17]Baja_tek!B8/1000000</f>
        <v>26.046271839999971</v>
      </c>
      <c r="D20" s="22">
        <f>[17]Baja_tek!C8/1000000</f>
        <v>129.74930006999983</v>
      </c>
      <c r="E20" s="22">
        <f t="shared" si="1"/>
        <v>398.14922023020694</v>
      </c>
      <c r="F20" s="22">
        <f t="shared" si="2"/>
        <v>1.7462772417404755</v>
      </c>
      <c r="G20" s="22">
        <f>[17]Baja_tek!D8/1000000</f>
        <v>2.938913369999999</v>
      </c>
      <c r="H20" s="22">
        <f>[17]Baja_tek!E8/1000000</f>
        <v>1.2193019999999994</v>
      </c>
      <c r="I20" s="22">
        <f t="shared" si="3"/>
        <v>-58.511808736982275</v>
      </c>
      <c r="J20" s="22">
        <f t="shared" si="4"/>
        <v>0.16310000034070232</v>
      </c>
      <c r="K20" s="16"/>
    </row>
    <row r="21" spans="1:11">
      <c r="A21" s="14"/>
      <c r="B21" s="9" t="str">
        <f>+[17]Baja_tek!A9</f>
        <v>Caldas</v>
      </c>
      <c r="C21" s="22">
        <f>[17]Baja_tek!B9/1000000</f>
        <v>102.51154515999991</v>
      </c>
      <c r="D21" s="22">
        <f>[17]Baja_tek!C9/1000000</f>
        <v>114.89905251999961</v>
      </c>
      <c r="E21" s="22">
        <f t="shared" si="1"/>
        <v>12.084011942913641</v>
      </c>
      <c r="F21" s="22">
        <f t="shared" si="2"/>
        <v>1.5464098874134236</v>
      </c>
      <c r="G21" s="22">
        <f>[17]Baja_tek!D9/1000000</f>
        <v>8.4805165100000046</v>
      </c>
      <c r="H21" s="22">
        <f>[17]Baja_tek!E9/1000000</f>
        <v>9.1019995799999904</v>
      </c>
      <c r="I21" s="22">
        <f t="shared" si="3"/>
        <v>7.3283634229960981</v>
      </c>
      <c r="J21" s="22">
        <f t="shared" si="4"/>
        <v>1.2175294837530584</v>
      </c>
      <c r="K21" s="16"/>
    </row>
    <row r="22" spans="1:11">
      <c r="A22" s="14"/>
      <c r="B22" s="9" t="str">
        <f>+[17]Baja_tek!A10</f>
        <v>Cauca</v>
      </c>
      <c r="C22" s="22">
        <f>[17]Baja_tek!B10/1000000</f>
        <v>94.288495210000136</v>
      </c>
      <c r="D22" s="22">
        <f>[17]Baja_tek!C10/1000000</f>
        <v>101.11415173999985</v>
      </c>
      <c r="E22" s="22">
        <f t="shared" si="1"/>
        <v>7.2391191680358791</v>
      </c>
      <c r="F22" s="22">
        <f t="shared" si="2"/>
        <v>1.3608808826420906</v>
      </c>
      <c r="G22" s="22">
        <f>[17]Baja_tek!D10/1000000</f>
        <v>6.9674171400000029</v>
      </c>
      <c r="H22" s="22">
        <f>[17]Baja_tek!E10/1000000</f>
        <v>7.5023532300000033</v>
      </c>
      <c r="I22" s="22">
        <f t="shared" si="3"/>
        <v>7.6776814026094042</v>
      </c>
      <c r="J22" s="22">
        <f t="shared" si="4"/>
        <v>1.0035527001260314</v>
      </c>
      <c r="K22" s="16"/>
    </row>
    <row r="23" spans="1:11">
      <c r="A23" s="14"/>
      <c r="B23" s="9" t="str">
        <f>+[17]Baja_tek!A11</f>
        <v>Magdalena</v>
      </c>
      <c r="C23" s="22">
        <f>[17]Baja_tek!B11/1000000</f>
        <v>21.470915979999969</v>
      </c>
      <c r="D23" s="22">
        <f>[17]Baja_tek!C11/1000000</f>
        <v>69.361139829999843</v>
      </c>
      <c r="E23" s="22">
        <f t="shared" si="1"/>
        <v>223.04695288551889</v>
      </c>
      <c r="F23" s="22">
        <f t="shared" si="2"/>
        <v>0.93352164428602857</v>
      </c>
      <c r="G23" s="22">
        <f>[17]Baja_tek!D11/1000000</f>
        <v>1.8308825399999991</v>
      </c>
      <c r="H23" s="22">
        <f>[17]Baja_tek!E11/1000000</f>
        <v>1.5426702299999997</v>
      </c>
      <c r="I23" s="22">
        <f t="shared" si="3"/>
        <v>-15.741714921810301</v>
      </c>
      <c r="J23" s="22">
        <f t="shared" si="4"/>
        <v>0.20635536974317387</v>
      </c>
      <c r="K23" s="16"/>
    </row>
    <row r="24" spans="1:11">
      <c r="A24" s="14"/>
      <c r="B24" s="9" t="str">
        <f>+[17]Baja_tek!A12</f>
        <v>Santander</v>
      </c>
      <c r="C24" s="22">
        <f>[17]Baja_tek!B12/1000000</f>
        <v>54.257208890000079</v>
      </c>
      <c r="D24" s="22">
        <f>[17]Baja_tek!C12/1000000</f>
        <v>64.213035060000024</v>
      </c>
      <c r="E24" s="22">
        <f t="shared" si="1"/>
        <v>18.349315001042864</v>
      </c>
      <c r="F24" s="22">
        <f t="shared" si="2"/>
        <v>0.86423403970476187</v>
      </c>
      <c r="G24" s="22">
        <f>[17]Baja_tek!D12/1000000</f>
        <v>4.9633149799999972</v>
      </c>
      <c r="H24" s="22">
        <f>[17]Baja_tek!E12/1000000</f>
        <v>5.4308249700000006</v>
      </c>
      <c r="I24" s="22">
        <f t="shared" si="3"/>
        <v>9.4193093100854099</v>
      </c>
      <c r="J24" s="22">
        <f t="shared" si="4"/>
        <v>0.72645460637093617</v>
      </c>
      <c r="K24" s="16"/>
    </row>
    <row r="25" spans="1:11">
      <c r="A25" s="14"/>
      <c r="B25" s="9" t="str">
        <f>+[17]Baja_tek!A13</f>
        <v>Nariño</v>
      </c>
      <c r="C25" s="22">
        <f>[17]Baja_tek!B13/1000000</f>
        <v>60.838140690000095</v>
      </c>
      <c r="D25" s="22">
        <f>[17]Baja_tek!C13/1000000</f>
        <v>57.661065900000153</v>
      </c>
      <c r="E25" s="22">
        <f t="shared" si="1"/>
        <v>-5.2221760132162505</v>
      </c>
      <c r="F25" s="22">
        <f t="shared" si="2"/>
        <v>0.77605202541628004</v>
      </c>
      <c r="G25" s="22">
        <f>[17]Baja_tek!D13/1000000</f>
        <v>7.2867679199999973</v>
      </c>
      <c r="H25" s="22">
        <f>[17]Baja_tek!E13/1000000</f>
        <v>2.7916290099999999</v>
      </c>
      <c r="I25" s="22">
        <f t="shared" si="3"/>
        <v>-61.689063784537268</v>
      </c>
      <c r="J25" s="22">
        <f t="shared" si="4"/>
        <v>0.37342241092208056</v>
      </c>
      <c r="K25" s="16"/>
    </row>
    <row r="26" spans="1:11">
      <c r="A26" s="14"/>
      <c r="B26" s="9" t="str">
        <f>+[17]Baja_tek!A14</f>
        <v>Risaralda</v>
      </c>
      <c r="C26" s="22">
        <f>[17]Baja_tek!B14/1000000</f>
        <v>44.276677389999975</v>
      </c>
      <c r="D26" s="22">
        <f>[17]Baja_tek!C14/1000000</f>
        <v>55.58865904000006</v>
      </c>
      <c r="E26" s="22">
        <f t="shared" si="1"/>
        <v>25.548397749816097</v>
      </c>
      <c r="F26" s="22">
        <f t="shared" si="2"/>
        <v>0.74815979838081581</v>
      </c>
      <c r="G26" s="22">
        <f>[17]Baja_tek!D14/1000000</f>
        <v>3.6857142600000019</v>
      </c>
      <c r="H26" s="22">
        <f>[17]Baja_tek!E14/1000000</f>
        <v>6.15497885</v>
      </c>
      <c r="I26" s="22">
        <f t="shared" si="3"/>
        <v>66.995551358883603</v>
      </c>
      <c r="J26" s="22">
        <f t="shared" si="4"/>
        <v>0.82332109069944615</v>
      </c>
      <c r="K26" s="16"/>
    </row>
    <row r="27" spans="1:11">
      <c r="A27" s="14"/>
      <c r="B27" s="9" t="str">
        <f>+[17]Baja_tek!A15</f>
        <v>Boyacá</v>
      </c>
      <c r="C27" s="22">
        <f>[17]Baja_tek!B15/1000000</f>
        <v>40.109039859999989</v>
      </c>
      <c r="D27" s="22">
        <f>[17]Baja_tek!C15/1000000</f>
        <v>53.535398019999995</v>
      </c>
      <c r="E27" s="22">
        <f t="shared" si="1"/>
        <v>33.474643638602444</v>
      </c>
      <c r="F27" s="22">
        <f t="shared" si="2"/>
        <v>0.72052525246307653</v>
      </c>
      <c r="G27" s="22">
        <f>[17]Baja_tek!D15/1000000</f>
        <v>3.6714203299999997</v>
      </c>
      <c r="H27" s="22">
        <f>[17]Baja_tek!E15/1000000</f>
        <v>5.0926755800000008</v>
      </c>
      <c r="I27" s="22">
        <f t="shared" si="3"/>
        <v>38.71131938739363</v>
      </c>
      <c r="J27" s="22">
        <f t="shared" si="4"/>
        <v>0.68122203427295858</v>
      </c>
      <c r="K27" s="16"/>
    </row>
    <row r="28" spans="1:11">
      <c r="A28" s="14"/>
      <c r="B28" s="9" t="str">
        <f>+[17]Baja_tek!A16</f>
        <v>Norte de Santander</v>
      </c>
      <c r="C28" s="22">
        <f>[17]Baja_tek!B16/1000000</f>
        <v>40.477884220000057</v>
      </c>
      <c r="D28" s="22">
        <f>[17]Baja_tek!C16/1000000</f>
        <v>44.995647200000064</v>
      </c>
      <c r="E28" s="22">
        <f t="shared" si="1"/>
        <v>11.161065028610828</v>
      </c>
      <c r="F28" s="22">
        <f t="shared" si="2"/>
        <v>0.60558996958251388</v>
      </c>
      <c r="G28" s="22">
        <f>[17]Baja_tek!D16/1000000</f>
        <v>4.0273711900000002</v>
      </c>
      <c r="H28" s="22">
        <f>[17]Baja_tek!E16/1000000</f>
        <v>3.1652275399999983</v>
      </c>
      <c r="I28" s="22">
        <f t="shared" si="3"/>
        <v>-21.407106753425474</v>
      </c>
      <c r="J28" s="22">
        <f t="shared" si="4"/>
        <v>0.42339683921817595</v>
      </c>
      <c r="K28" s="16"/>
    </row>
    <row r="29" spans="1:11">
      <c r="A29" s="14"/>
      <c r="B29" s="9" t="str">
        <f>+[17]Baja_tek!A17</f>
        <v>Guajira</v>
      </c>
      <c r="C29" s="22">
        <f>[17]Baja_tek!B17/1000000</f>
        <v>27.586992589999987</v>
      </c>
      <c r="D29" s="22">
        <f>[17]Baja_tek!C17/1000000</f>
        <v>32.114144459999999</v>
      </c>
      <c r="E29" s="22">
        <f t="shared" si="1"/>
        <v>16.410458136132821</v>
      </c>
      <c r="F29" s="22">
        <f t="shared" si="2"/>
        <v>0.43221966961061575</v>
      </c>
      <c r="G29" s="22">
        <f>[17]Baja_tek!D17/1000000</f>
        <v>2.2024471599999988</v>
      </c>
      <c r="H29" s="22">
        <f>[17]Baja_tek!E17/1000000</f>
        <v>3.4200935300000057</v>
      </c>
      <c r="I29" s="22">
        <f t="shared" si="3"/>
        <v>55.28606506954781</v>
      </c>
      <c r="J29" s="22">
        <f t="shared" si="4"/>
        <v>0.4574890026492493</v>
      </c>
      <c r="K29" s="16"/>
    </row>
    <row r="30" spans="1:11">
      <c r="A30" s="14"/>
      <c r="B30" s="9" t="str">
        <f>+[17]Baja_tek!A18</f>
        <v>Cesar</v>
      </c>
      <c r="C30" s="22">
        <f>[17]Baja_tek!B18/1000000</f>
        <v>24.791798429999979</v>
      </c>
      <c r="D30" s="22">
        <f>[17]Baja_tek!C18/1000000</f>
        <v>14.514202730000006</v>
      </c>
      <c r="E30" s="22">
        <f t="shared" si="1"/>
        <v>-41.455627872334155</v>
      </c>
      <c r="F30" s="22">
        <f t="shared" si="2"/>
        <v>0.19534457523649379</v>
      </c>
      <c r="G30" s="22">
        <f>[17]Baja_tek!D18/1000000</f>
        <v>1.5658657700000014</v>
      </c>
      <c r="H30" s="22">
        <f>[17]Baja_tek!E18/1000000</f>
        <v>1.1274420300000021</v>
      </c>
      <c r="I30" s="22">
        <f t="shared" si="3"/>
        <v>-27.998807330720233</v>
      </c>
      <c r="J30" s="22">
        <f t="shared" si="4"/>
        <v>0.15081234630725002</v>
      </c>
      <c r="K30" s="16"/>
    </row>
    <row r="31" spans="1:11">
      <c r="A31" s="14"/>
      <c r="B31" s="9" t="str">
        <f>+[17]Baja_tek!A19</f>
        <v>Huila</v>
      </c>
      <c r="C31" s="22">
        <f>[17]Baja_tek!B19/1000000</f>
        <v>5.4508201100000004</v>
      </c>
      <c r="D31" s="22">
        <f>[17]Baja_tek!C19/1000000</f>
        <v>11.105349060000014</v>
      </c>
      <c r="E31" s="22">
        <f t="shared" si="1"/>
        <v>103.73721450880926</v>
      </c>
      <c r="F31" s="22">
        <f t="shared" si="2"/>
        <v>0.14946530204478528</v>
      </c>
      <c r="G31" s="22">
        <f>[17]Baja_tek!D19/1000000</f>
        <v>0.30382890000000012</v>
      </c>
      <c r="H31" s="22">
        <f>[17]Baja_tek!E19/1000000</f>
        <v>0.94545345000000014</v>
      </c>
      <c r="I31" s="22">
        <f t="shared" si="3"/>
        <v>211.17956520923445</v>
      </c>
      <c r="J31" s="22">
        <f t="shared" si="4"/>
        <v>0.12646863370774286</v>
      </c>
      <c r="K31" s="16"/>
    </row>
    <row r="32" spans="1:11">
      <c r="A32" s="14"/>
      <c r="B32" s="9" t="str">
        <f>+[17]Baja_tek!A20</f>
        <v>Quindío</v>
      </c>
      <c r="C32" s="22">
        <f>[17]Baja_tek!B20/1000000</f>
        <v>7.536736010000018</v>
      </c>
      <c r="D32" s="22">
        <f>[17]Baja_tek!C20/1000000</f>
        <v>10.382666910000021</v>
      </c>
      <c r="E32" s="22">
        <f t="shared" si="1"/>
        <v>37.760787909035386</v>
      </c>
      <c r="F32" s="22">
        <f t="shared" si="2"/>
        <v>0.13973882651947445</v>
      </c>
      <c r="G32" s="22">
        <f>[17]Baja_tek!D20/1000000</f>
        <v>1.2079571200000006</v>
      </c>
      <c r="H32" s="22">
        <f>[17]Baja_tek!E20/1000000</f>
        <v>0.91119714999999912</v>
      </c>
      <c r="I32" s="22">
        <f t="shared" si="3"/>
        <v>-24.56709473263432</v>
      </c>
      <c r="J32" s="22">
        <f t="shared" si="4"/>
        <v>0.12188633781905296</v>
      </c>
      <c r="K32" s="16"/>
    </row>
    <row r="33" spans="1:13">
      <c r="A33" s="14"/>
      <c r="B33" s="9" t="str">
        <f>+[17]Baja_tek!A21</f>
        <v>Tolima</v>
      </c>
      <c r="C33" s="22">
        <f>[17]Baja_tek!B21/1000000</f>
        <v>4.5064743800000029</v>
      </c>
      <c r="D33" s="22">
        <f>[17]Baja_tek!C21/1000000</f>
        <v>9.0754013899999908</v>
      </c>
      <c r="E33" s="22">
        <f t="shared" si="1"/>
        <v>101.38584234001536</v>
      </c>
      <c r="F33" s="22">
        <f t="shared" si="2"/>
        <v>0.12214452716482295</v>
      </c>
      <c r="G33" s="22">
        <f>[17]Baja_tek!D21/1000000</f>
        <v>0.44954164000000002</v>
      </c>
      <c r="H33" s="22">
        <f>[17]Baja_tek!E21/1000000</f>
        <v>1.24286407</v>
      </c>
      <c r="I33" s="22">
        <f t="shared" si="3"/>
        <v>176.47362544657707</v>
      </c>
      <c r="J33" s="22">
        <f t="shared" si="4"/>
        <v>0.16625178195430401</v>
      </c>
      <c r="K33" s="16"/>
    </row>
    <row r="34" spans="1:13">
      <c r="A34" s="14"/>
      <c r="B34" s="9" t="str">
        <f>+[17]Baja_tek!A22</f>
        <v>Córdoba</v>
      </c>
      <c r="C34" s="22">
        <f>[17]Baja_tek!B22/1000000</f>
        <v>8.3859714200000042</v>
      </c>
      <c r="D34" s="22">
        <f>[17]Baja_tek!C22/1000000</f>
        <v>7.44252862</v>
      </c>
      <c r="E34" s="22">
        <f t="shared" si="1"/>
        <v>-11.25025060006708</v>
      </c>
      <c r="F34" s="22">
        <f t="shared" si="2"/>
        <v>0.10016792647895911</v>
      </c>
      <c r="G34" s="22">
        <f>[17]Baja_tek!D22/1000000</f>
        <v>1.4564413600000001</v>
      </c>
      <c r="H34" s="22">
        <f>[17]Baja_tek!E22/1000000</f>
        <v>1.1213519400000009</v>
      </c>
      <c r="I34" s="22">
        <f t="shared" si="3"/>
        <v>-23.007408962898388</v>
      </c>
      <c r="J34" s="22">
        <f t="shared" si="4"/>
        <v>0.14999770507720603</v>
      </c>
      <c r="K34" s="16"/>
    </row>
    <row r="35" spans="1:13">
      <c r="A35" s="14"/>
      <c r="B35" s="9" t="str">
        <f>+[17]Baja_tek!A23</f>
        <v>Meta</v>
      </c>
      <c r="C35" s="22">
        <f>[17]Baja_tek!B23/1000000</f>
        <v>2.2654383699999991</v>
      </c>
      <c r="D35" s="22">
        <f>[17]Baja_tek!C23/1000000</f>
        <v>5.4900579699999952</v>
      </c>
      <c r="E35" s="22">
        <f t="shared" si="1"/>
        <v>142.3397627012028</v>
      </c>
      <c r="F35" s="22">
        <f t="shared" si="2"/>
        <v>7.3889903711809035E-2</v>
      </c>
      <c r="G35" s="22">
        <f>[17]Baja_tek!D23/1000000</f>
        <v>0.10470517999999999</v>
      </c>
      <c r="H35" s="22">
        <f>[17]Baja_tek!E23/1000000</f>
        <v>0.54709987999999976</v>
      </c>
      <c r="I35" s="22">
        <f t="shared" si="3"/>
        <v>422.51462630597632</v>
      </c>
      <c r="J35" s="22">
        <f t="shared" si="4"/>
        <v>7.3182846099160176E-2</v>
      </c>
      <c r="K35" s="16"/>
    </row>
    <row r="36" spans="1:13">
      <c r="A36" s="14"/>
      <c r="B36" s="9" t="str">
        <f>+[17]Baja_tek!A24</f>
        <v>San Andrés</v>
      </c>
      <c r="C36" s="22">
        <f>[17]Baja_tek!B24/1000000</f>
        <v>9.4604790000000064E-2</v>
      </c>
      <c r="D36" s="22">
        <f>[17]Baja_tek!C24/1000000</f>
        <v>0.63319577999999965</v>
      </c>
      <c r="E36" s="22">
        <f t="shared" si="1"/>
        <v>569.30625817149348</v>
      </c>
      <c r="F36" s="22">
        <f t="shared" si="2"/>
        <v>8.5220912913099595E-3</v>
      </c>
      <c r="G36" s="22">
        <f>[17]Baja_tek!D24/1000000</f>
        <v>0</v>
      </c>
      <c r="H36" s="22">
        <f>[17]Baja_tek!E24/1000000</f>
        <v>3.2616540000000006E-2</v>
      </c>
      <c r="I36" s="22" t="str">
        <f t="shared" si="3"/>
        <v/>
      </c>
      <c r="J36" s="22">
        <f t="shared" si="4"/>
        <v>4.3629533004231396E-3</v>
      </c>
      <c r="K36" s="16"/>
    </row>
    <row r="37" spans="1:13">
      <c r="A37" s="14"/>
      <c r="B37" s="9" t="str">
        <f>+[17]Baja_tek!A25</f>
        <v>Amazonas</v>
      </c>
      <c r="C37" s="22">
        <f>[17]Baja_tek!B25/1000000</f>
        <v>0.19582665999999996</v>
      </c>
      <c r="D37" s="22">
        <f>[17]Baja_tek!C25/1000000</f>
        <v>0.30072624999999997</v>
      </c>
      <c r="E37" s="22">
        <f t="shared" si="1"/>
        <v>53.567573485653085</v>
      </c>
      <c r="F37" s="22">
        <f t="shared" si="2"/>
        <v>4.0474315166681984E-3</v>
      </c>
      <c r="G37" s="22">
        <f>[17]Baja_tek!D25/1000000</f>
        <v>0</v>
      </c>
      <c r="H37" s="22">
        <f>[17]Baja_tek!E25/1000000</f>
        <v>0.13461283999999998</v>
      </c>
      <c r="I37" s="22" t="str">
        <f t="shared" si="3"/>
        <v/>
      </c>
      <c r="J37" s="22">
        <f t="shared" si="4"/>
        <v>1.8006494084207944E-2</v>
      </c>
      <c r="K37" s="16"/>
    </row>
    <row r="38" spans="1:13">
      <c r="A38" s="14"/>
      <c r="B38" s="9" t="str">
        <f>+[17]Baja_tek!A26</f>
        <v>Caquetá</v>
      </c>
      <c r="C38" s="22">
        <f>[17]Baja_tek!B26/1000000</f>
        <v>0.33211860000000004</v>
      </c>
      <c r="D38" s="22">
        <f>[17]Baja_tek!C26/1000000</f>
        <v>0.25085618000000004</v>
      </c>
      <c r="E38" s="22">
        <f t="shared" si="1"/>
        <v>-24.467891891631478</v>
      </c>
      <c r="F38" s="22">
        <f t="shared" si="2"/>
        <v>3.3762373889309324E-3</v>
      </c>
      <c r="G38" s="22">
        <f>[17]Baja_tek!D26/1000000</f>
        <v>0.31654937999999999</v>
      </c>
      <c r="H38" s="22">
        <f>[17]Baja_tek!E26/1000000</f>
        <v>0.18038327000000004</v>
      </c>
      <c r="I38" s="22">
        <f t="shared" si="3"/>
        <v>-43.01575634108017</v>
      </c>
      <c r="J38" s="22">
        <f t="shared" si="4"/>
        <v>2.4128978217420313E-2</v>
      </c>
      <c r="K38" s="16"/>
    </row>
    <row r="39" spans="1:13">
      <c r="A39" s="14"/>
      <c r="B39" s="9" t="str">
        <f>+[17]Baja_tek!A27</f>
        <v>Sucre</v>
      </c>
      <c r="C39" s="22">
        <f>[17]Baja_tek!B27/1000000</f>
        <v>0.48885957000000002</v>
      </c>
      <c r="D39" s="22">
        <f>[17]Baja_tek!C27/1000000</f>
        <v>0.12437705000000002</v>
      </c>
      <c r="E39" s="22">
        <f t="shared" si="1"/>
        <v>-74.557713987270418</v>
      </c>
      <c r="F39" s="22">
        <f t="shared" si="2"/>
        <v>1.6739728976775936E-3</v>
      </c>
      <c r="G39" s="22">
        <f>[17]Baja_tek!D27/1000000</f>
        <v>2.0961700000000001E-3</v>
      </c>
      <c r="H39" s="22">
        <f>[17]Baja_tek!E27/1000000</f>
        <v>1.257289E-2</v>
      </c>
      <c r="I39" s="22">
        <f t="shared" si="3"/>
        <v>499.80297399542974</v>
      </c>
      <c r="J39" s="22">
        <f t="shared" si="4"/>
        <v>1.681813335239025E-3</v>
      </c>
      <c r="K39" s="16"/>
    </row>
    <row r="40" spans="1:13">
      <c r="A40" s="14"/>
      <c r="B40" s="9" t="str">
        <f>+[17]Baja_tek!A28</f>
        <v>Putumayo</v>
      </c>
      <c r="C40" s="22">
        <f>[17]Baja_tek!B28/1000000</f>
        <v>9.9607429999999997E-2</v>
      </c>
      <c r="D40" s="22">
        <f>[17]Baja_tek!C28/1000000</f>
        <v>9.780664E-2</v>
      </c>
      <c r="E40" s="22">
        <f t="shared" si="1"/>
        <v>-1.8078872228708187</v>
      </c>
      <c r="F40" s="22">
        <f t="shared" si="2"/>
        <v>1.3163655559679959E-3</v>
      </c>
      <c r="G40" s="22">
        <f>[17]Baja_tek!D28/1000000</f>
        <v>2.7148909999999998E-2</v>
      </c>
      <c r="H40" s="22">
        <f>[17]Baja_tek!E28/1000000</f>
        <v>0</v>
      </c>
      <c r="I40" s="22" t="str">
        <f t="shared" si="3"/>
        <v/>
      </c>
      <c r="J40" s="22">
        <f t="shared" si="4"/>
        <v>0</v>
      </c>
      <c r="K40" s="16"/>
    </row>
    <row r="41" spans="1:13">
      <c r="A41" s="14"/>
      <c r="B41" s="9" t="str">
        <f>+[17]Baja_tek!A29</f>
        <v>Chocó</v>
      </c>
      <c r="C41" s="22">
        <f>[17]Baja_tek!B29/1000000</f>
        <v>0.26363365000000011</v>
      </c>
      <c r="D41" s="22">
        <f>[17]Baja_tek!C29/1000000</f>
        <v>9.2794150000000006E-2</v>
      </c>
      <c r="E41" s="22">
        <f t="shared" si="1"/>
        <v>-64.801856667386744</v>
      </c>
      <c r="F41" s="22">
        <f t="shared" si="2"/>
        <v>1.2489031711479671E-3</v>
      </c>
      <c r="G41" s="22">
        <f>[17]Baja_tek!D29/1000000</f>
        <v>0</v>
      </c>
      <c r="H41" s="22">
        <f>[17]Baja_tek!E29/1000000</f>
        <v>4.9175900000000002E-2</v>
      </c>
      <c r="I41" s="22" t="str">
        <f t="shared" si="3"/>
        <v/>
      </c>
      <c r="J41" s="22">
        <f t="shared" si="4"/>
        <v>6.5780170185518834E-3</v>
      </c>
      <c r="K41" s="16"/>
    </row>
    <row r="42" spans="1:13">
      <c r="A42" s="14"/>
      <c r="B42" s="9" t="str">
        <f>+[17]Baja_tek!A30</f>
        <v>Vichada</v>
      </c>
      <c r="C42" s="22">
        <f>[17]Baja_tek!B30/1000000</f>
        <v>9.1590820000000003E-2</v>
      </c>
      <c r="D42" s="22">
        <f>[17]Baja_tek!C30/1000000</f>
        <v>9.0382980000000002E-2</v>
      </c>
      <c r="E42" s="22">
        <f t="shared" ref="E42:E43" si="5">IF(OR(OR(D42=0,C42=0),D42=""),"",(D42/C42-1)*100)</f>
        <v>-1.3187347814988426</v>
      </c>
      <c r="F42" s="22">
        <f t="shared" ref="F42:F43" si="6">(D42/D$13)*100</f>
        <v>1.2164515795424959E-3</v>
      </c>
      <c r="G42" s="22">
        <f>[17]Baja_tek!D30/1000000</f>
        <v>0</v>
      </c>
      <c r="H42" s="22">
        <f>[17]Baja_tek!E30/1000000</f>
        <v>2.0464110000000001E-2</v>
      </c>
      <c r="I42" s="22" t="str">
        <f t="shared" ref="I42:I43" si="7">IF(OR(OR(H42=0,G42=0),H42=""),"",(H42/G42-1)*100)</f>
        <v/>
      </c>
      <c r="J42" s="22">
        <f t="shared" ref="J42:J43" si="8">(H42/H$13)*100</f>
        <v>2.7373828206401466E-3</v>
      </c>
      <c r="K42" s="16"/>
    </row>
    <row r="43" spans="1:13">
      <c r="A43" s="14"/>
      <c r="B43" s="9" t="str">
        <f>+[17]Baja_tek!A31</f>
        <v>Aráuca</v>
      </c>
      <c r="C43" s="22">
        <f>[17]Baja_tek!B31/1000000</f>
        <v>2.801975E-2</v>
      </c>
      <c r="D43" s="22">
        <f>[17]Baja_tek!C31/1000000</f>
        <v>2.209887E-2</v>
      </c>
      <c r="E43" s="22">
        <f t="shared" si="5"/>
        <v>-21.131095031183367</v>
      </c>
      <c r="F43" s="22">
        <f t="shared" si="6"/>
        <v>2.9742552544300126E-4</v>
      </c>
      <c r="G43" s="22">
        <f>[17]Baja_tek!D31/1000000</f>
        <v>0</v>
      </c>
      <c r="H43" s="22">
        <f>[17]Baja_tek!E31/1000000</f>
        <v>3.8224999999999999E-4</v>
      </c>
      <c r="I43" s="22" t="str">
        <f t="shared" si="7"/>
        <v/>
      </c>
      <c r="J43" s="22">
        <f t="shared" si="8"/>
        <v>5.1131692665339259E-5</v>
      </c>
      <c r="K43" s="16"/>
    </row>
    <row r="44" spans="1:13">
      <c r="A44" s="14"/>
      <c r="B44" s="9" t="str">
        <f>+[17]Baja_tek!A32</f>
        <v>Guaviare</v>
      </c>
      <c r="C44" s="22">
        <f>[17]Baja_tek!B32/1000000</f>
        <v>4.1549599999999999E-2</v>
      </c>
      <c r="D44" s="22">
        <f>[17]Baja_tek!C32/1000000</f>
        <v>0</v>
      </c>
      <c r="E44" s="22" t="str">
        <f t="shared" ref="E44" si="9">IF(OR(OR(D44=0,C44=0),D44=""),"",(D44/C44-1)*100)</f>
        <v/>
      </c>
      <c r="F44" s="22">
        <f t="shared" ref="F44" si="10">(D44/D$13)*100</f>
        <v>0</v>
      </c>
      <c r="G44" s="22">
        <f>[17]Baja_tek!D32/1000000</f>
        <v>0</v>
      </c>
      <c r="H44" s="22">
        <f>[17]Baja_tek!E32/1000000</f>
        <v>0</v>
      </c>
      <c r="I44" s="22" t="str">
        <f t="shared" ref="I44" si="11">IF(OR(OR(H44=0,G44=0),H44=""),"",(H44/G44-1)*100)</f>
        <v/>
      </c>
      <c r="J44" s="22">
        <f t="shared" ref="J44" si="12">(H44/H$13)*100</f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f>SUM(C14:C44)</f>
        <v>12916.129452100336</v>
      </c>
      <c r="D13" s="97">
        <f>SUM(D14:D44)</f>
        <v>18243.113201780172</v>
      </c>
      <c r="E13" s="96">
        <f>IF(OR(OR(D13=0,C13=0),D13=""),"",(D13/C13-1)*100)</f>
        <v>41.242879838228895</v>
      </c>
      <c r="F13" s="96">
        <f>(D13/D$13)*100</f>
        <v>100</v>
      </c>
      <c r="G13" s="97">
        <f t="shared" ref="G13:H13" si="0">SUM(G14:G44)</f>
        <v>1456.7115924099919</v>
      </c>
      <c r="H13" s="97">
        <f t="shared" si="0"/>
        <v>1875.1903875299931</v>
      </c>
      <c r="I13" s="96">
        <f>IF(OR(OR(H13=0,G13=0),H13=""),"",(H13/G13-1)*100)</f>
        <v>28.727635401573725</v>
      </c>
      <c r="J13" s="96">
        <f>(H13/H$13)*100</f>
        <v>100</v>
      </c>
      <c r="K13" s="16"/>
    </row>
    <row r="14" spans="1:14">
      <c r="A14" s="14"/>
      <c r="B14" s="10" t="str">
        <f>+[17]Tek_media!A2</f>
        <v>Bogotá</v>
      </c>
      <c r="C14" s="25">
        <f>[17]Tek_media!B2/1000000</f>
        <v>5098.3074336603358</v>
      </c>
      <c r="D14" s="25">
        <f>[17]Tek_media!C2/1000000</f>
        <v>7716.3642874601983</v>
      </c>
      <c r="E14" s="25">
        <f>IF(OR(OR(D14=0,C14=0),D14=""),"",(D14/C14-1)*100)</f>
        <v>51.35149042826994</v>
      </c>
      <c r="F14" s="25">
        <f>(D14/D$13)*100</f>
        <v>42.297409450417881</v>
      </c>
      <c r="G14" s="25">
        <f>[17]Tek_media!D2/1000000</f>
        <v>597.66459053999483</v>
      </c>
      <c r="H14" s="25">
        <f>[17]Tek_media!E2/1000000</f>
        <v>880.65103765999606</v>
      </c>
      <c r="I14" s="25">
        <f>IF(OR(OR(H14=0,G14=0),H14=""),"",(H14/G14-1)*100)</f>
        <v>47.348705544747219</v>
      </c>
      <c r="J14" s="25">
        <f>(H14/H$13)*100</f>
        <v>46.963286688984816</v>
      </c>
      <c r="K14" s="16"/>
    </row>
    <row r="15" spans="1:14">
      <c r="A15" s="14"/>
      <c r="B15" s="9" t="str">
        <f>+[17]Tek_media!A3</f>
        <v>Cundinamarca</v>
      </c>
      <c r="C15" s="22">
        <f>[17]Tek_media!B3/1000000</f>
        <v>1817.3997527500121</v>
      </c>
      <c r="D15" s="22">
        <f>[17]Tek_media!C3/1000000</f>
        <v>2593.4290825000035</v>
      </c>
      <c r="E15" s="22">
        <f t="shared" ref="E15:E43" si="1">IF(OR(OR(D15=0,C15=0),D15=""),"",(D15/C15-1)*100)</f>
        <v>42.699979934284492</v>
      </c>
      <c r="F15" s="22">
        <f t="shared" ref="F15:F43" si="2">(D15/D$13)*100</f>
        <v>14.21593482326764</v>
      </c>
      <c r="G15" s="22">
        <f>[17]Tek_media!D3/1000000</f>
        <v>210.81670803999802</v>
      </c>
      <c r="H15" s="22">
        <f>[17]Tek_media!E3/1000000</f>
        <v>305.8498260399989</v>
      </c>
      <c r="I15" s="22">
        <f t="shared" ref="I15:I43" si="3">IF(OR(OR(H15=0,G15=0),H15=""),"",(H15/G15-1)*100)</f>
        <v>45.078551355602393</v>
      </c>
      <c r="J15" s="22">
        <f t="shared" ref="J15:J43" si="4">(H15/H$13)*100</f>
        <v>16.310334570500082</v>
      </c>
      <c r="K15" s="16"/>
    </row>
    <row r="16" spans="1:14">
      <c r="A16" s="14"/>
      <c r="B16" s="9" t="str">
        <f>+[17]Tek_media!A4</f>
        <v>Antioquia</v>
      </c>
      <c r="C16" s="22">
        <f>[17]Tek_media!B4/1000000</f>
        <v>1630.3009148199828</v>
      </c>
      <c r="D16" s="22">
        <f>[17]Tek_media!C4/1000000</f>
        <v>2423.7380412399539</v>
      </c>
      <c r="E16" s="22">
        <f t="shared" si="1"/>
        <v>48.668139679451869</v>
      </c>
      <c r="F16" s="22">
        <f t="shared" si="2"/>
        <v>13.285769892626902</v>
      </c>
      <c r="G16" s="22">
        <f>[17]Tek_media!D4/1000000</f>
        <v>184.74542027999968</v>
      </c>
      <c r="H16" s="22">
        <f>[17]Tek_media!E4/1000000</f>
        <v>268.28091891999907</v>
      </c>
      <c r="I16" s="22">
        <f t="shared" si="3"/>
        <v>45.216546376842913</v>
      </c>
      <c r="J16" s="22">
        <f t="shared" si="4"/>
        <v>14.30686295663981</v>
      </c>
      <c r="K16" s="16"/>
    </row>
    <row r="17" spans="1:11">
      <c r="A17" s="14"/>
      <c r="B17" s="9" t="str">
        <f>+[17]Tek_media!A5</f>
        <v>Valle del Cauca</v>
      </c>
      <c r="C17" s="22">
        <f>[17]Tek_media!B5/1000000</f>
        <v>1378.4551026500078</v>
      </c>
      <c r="D17" s="22">
        <f>[17]Tek_media!C5/1000000</f>
        <v>1766.5136158600144</v>
      </c>
      <c r="E17" s="22">
        <f t="shared" si="1"/>
        <v>28.151697684167189</v>
      </c>
      <c r="F17" s="22">
        <f t="shared" si="2"/>
        <v>9.683180695757768</v>
      </c>
      <c r="G17" s="22">
        <f>[17]Tek_media!D5/1000000</f>
        <v>166.69175735999997</v>
      </c>
      <c r="H17" s="22">
        <f>[17]Tek_media!E5/1000000</f>
        <v>131.85209645999961</v>
      </c>
      <c r="I17" s="22">
        <f t="shared" si="3"/>
        <v>-20.900650069192096</v>
      </c>
      <c r="J17" s="22">
        <f t="shared" si="4"/>
        <v>7.0313978429505291</v>
      </c>
      <c r="K17" s="16"/>
    </row>
    <row r="18" spans="1:11">
      <c r="A18" s="14"/>
      <c r="B18" s="9" t="str">
        <f>+[17]Tek_media!A6</f>
        <v>Atlántico</v>
      </c>
      <c r="C18" s="22">
        <f>[17]Tek_media!B6/1000000</f>
        <v>713.15577370999927</v>
      </c>
      <c r="D18" s="22">
        <f>[17]Tek_media!C6/1000000</f>
        <v>895.06564124999147</v>
      </c>
      <c r="E18" s="22">
        <f t="shared" si="1"/>
        <v>25.507732566428732</v>
      </c>
      <c r="F18" s="22">
        <f t="shared" si="2"/>
        <v>4.9063207104511664</v>
      </c>
      <c r="G18" s="22">
        <f>[17]Tek_media!D6/1000000</f>
        <v>56.764979519999962</v>
      </c>
      <c r="H18" s="22">
        <f>[17]Tek_media!E6/1000000</f>
        <v>104.69871893999981</v>
      </c>
      <c r="I18" s="22">
        <f t="shared" si="3"/>
        <v>84.442449949464688</v>
      </c>
      <c r="J18" s="22">
        <f t="shared" si="4"/>
        <v>5.5833647418547887</v>
      </c>
      <c r="K18" s="16"/>
    </row>
    <row r="19" spans="1:11">
      <c r="A19" s="14"/>
      <c r="B19" s="9" t="str">
        <f>+[17]Tek_media!A7</f>
        <v>Bolívar</v>
      </c>
      <c r="C19" s="22">
        <f>[17]Tek_media!B7/1000000</f>
        <v>562.19150873000069</v>
      </c>
      <c r="D19" s="22">
        <f>[17]Tek_media!C7/1000000</f>
        <v>668.06644325999855</v>
      </c>
      <c r="E19" s="22">
        <f t="shared" si="1"/>
        <v>18.832538892159899</v>
      </c>
      <c r="F19" s="22">
        <f t="shared" si="2"/>
        <v>3.6620199407347225</v>
      </c>
      <c r="G19" s="22">
        <f>[17]Tek_media!D7/1000000</f>
        <v>44.489821989999989</v>
      </c>
      <c r="H19" s="22">
        <f>[17]Tek_media!E7/1000000</f>
        <v>42.008332119999942</v>
      </c>
      <c r="I19" s="22">
        <f t="shared" si="3"/>
        <v>-5.5776574483885621</v>
      </c>
      <c r="J19" s="22">
        <f t="shared" si="4"/>
        <v>2.2402169080726493</v>
      </c>
      <c r="K19" s="16"/>
    </row>
    <row r="20" spans="1:11">
      <c r="A20" s="14"/>
      <c r="B20" s="9" t="str">
        <f>+[17]Tek_media!A8</f>
        <v>Cesar</v>
      </c>
      <c r="C20" s="22">
        <f>[17]Tek_media!B8/1000000</f>
        <v>351.52424955000083</v>
      </c>
      <c r="D20" s="22">
        <f>[17]Tek_media!C8/1000000</f>
        <v>379.39111073999879</v>
      </c>
      <c r="E20" s="22">
        <f t="shared" si="1"/>
        <v>7.927436364823004</v>
      </c>
      <c r="F20" s="22">
        <f t="shared" si="2"/>
        <v>2.0796401718483972</v>
      </c>
      <c r="G20" s="22">
        <f>[17]Tek_media!D8/1000000</f>
        <v>21.721969219999966</v>
      </c>
      <c r="H20" s="22">
        <f>[17]Tek_media!E8/1000000</f>
        <v>19.431929229999962</v>
      </c>
      <c r="I20" s="22">
        <f t="shared" si="3"/>
        <v>-10.542506375948212</v>
      </c>
      <c r="J20" s="22">
        <f t="shared" si="4"/>
        <v>1.0362643366360129</v>
      </c>
      <c r="K20" s="16"/>
    </row>
    <row r="21" spans="1:11">
      <c r="A21" s="14"/>
      <c r="B21" s="9" t="str">
        <f>+[17]Tek_media!A9</f>
        <v>Magdalena</v>
      </c>
      <c r="C21" s="22">
        <f>[17]Tek_media!B9/1000000</f>
        <v>174.25190849000009</v>
      </c>
      <c r="D21" s="22">
        <f>[17]Tek_media!C9/1000000</f>
        <v>362.76820930000071</v>
      </c>
      <c r="E21" s="22">
        <f t="shared" si="1"/>
        <v>108.18607523074513</v>
      </c>
      <c r="F21" s="22">
        <f t="shared" si="2"/>
        <v>1.9885213959238142</v>
      </c>
      <c r="G21" s="22">
        <f>[17]Tek_media!D9/1000000</f>
        <v>28.538737420000047</v>
      </c>
      <c r="H21" s="22">
        <f>[17]Tek_media!E9/1000000</f>
        <v>8.4107647800000009</v>
      </c>
      <c r="I21" s="22">
        <f t="shared" si="3"/>
        <v>-70.528602382718901</v>
      </c>
      <c r="J21" s="22">
        <f t="shared" si="4"/>
        <v>0.44852857800101503</v>
      </c>
      <c r="K21" s="16"/>
    </row>
    <row r="22" spans="1:11">
      <c r="A22" s="14"/>
      <c r="B22" s="9" t="str">
        <f>+[17]Tek_media!A10</f>
        <v>Guajira</v>
      </c>
      <c r="C22" s="22">
        <f>[17]Tek_media!B10/1000000</f>
        <v>286.01571983000156</v>
      </c>
      <c r="D22" s="22">
        <f>[17]Tek_media!C10/1000000</f>
        <v>314.03395055999903</v>
      </c>
      <c r="E22" s="22">
        <f t="shared" si="1"/>
        <v>9.7960457371540919</v>
      </c>
      <c r="F22" s="22">
        <f t="shared" si="2"/>
        <v>1.7213835549151526</v>
      </c>
      <c r="G22" s="22">
        <f>[17]Tek_media!D10/1000000</f>
        <v>33.080974529999985</v>
      </c>
      <c r="H22" s="22">
        <f>[17]Tek_media!E10/1000000</f>
        <v>17.734857980000012</v>
      </c>
      <c r="I22" s="22">
        <f t="shared" si="3"/>
        <v>-46.389554020191014</v>
      </c>
      <c r="J22" s="22">
        <f t="shared" si="4"/>
        <v>0.94576305947047989</v>
      </c>
      <c r="K22" s="16"/>
    </row>
    <row r="23" spans="1:11">
      <c r="A23" s="14"/>
      <c r="B23" s="9" t="str">
        <f>+[17]Tek_media!A11</f>
        <v>Santander</v>
      </c>
      <c r="C23" s="22">
        <f>[17]Tek_media!B11/1000000</f>
        <v>158.02044430999948</v>
      </c>
      <c r="D23" s="22">
        <f>[17]Tek_media!C11/1000000</f>
        <v>180.54922883999993</v>
      </c>
      <c r="E23" s="22">
        <f t="shared" si="1"/>
        <v>14.256879626160401</v>
      </c>
      <c r="F23" s="22">
        <f t="shared" si="2"/>
        <v>0.98968430904864335</v>
      </c>
      <c r="G23" s="22">
        <f>[17]Tek_media!D11/1000000</f>
        <v>18.907367620000002</v>
      </c>
      <c r="H23" s="22">
        <f>[17]Tek_media!E11/1000000</f>
        <v>17.509408669999964</v>
      </c>
      <c r="I23" s="22">
        <f t="shared" si="3"/>
        <v>-7.3937259701942537</v>
      </c>
      <c r="J23" s="22">
        <f t="shared" si="4"/>
        <v>0.93374031705993399</v>
      </c>
      <c r="K23" s="16"/>
    </row>
    <row r="24" spans="1:11">
      <c r="A24" s="14"/>
      <c r="B24" s="9" t="str">
        <f>+[17]Tek_media!A12</f>
        <v>Nariño</v>
      </c>
      <c r="C24" s="22">
        <f>[17]Tek_media!B12/1000000</f>
        <v>133.15602876999986</v>
      </c>
      <c r="D24" s="22">
        <f>[17]Tek_media!C12/1000000</f>
        <v>143.89035078999999</v>
      </c>
      <c r="E24" s="22">
        <f t="shared" si="1"/>
        <v>8.061461519358982</v>
      </c>
      <c r="F24" s="22">
        <f t="shared" si="2"/>
        <v>0.78873791549985606</v>
      </c>
      <c r="G24" s="22">
        <f>[17]Tek_media!D12/1000000</f>
        <v>21.890343329999997</v>
      </c>
      <c r="H24" s="22">
        <f>[17]Tek_media!E12/1000000</f>
        <v>1.1780958799999999</v>
      </c>
      <c r="I24" s="22">
        <f t="shared" si="3"/>
        <v>-94.618193683671208</v>
      </c>
      <c r="J24" s="22">
        <f t="shared" si="4"/>
        <v>6.2825400974446735E-2</v>
      </c>
      <c r="K24" s="16"/>
    </row>
    <row r="25" spans="1:11">
      <c r="A25" s="14"/>
      <c r="B25" s="9" t="str">
        <f>+[17]Tek_media!A13</f>
        <v>Risaralda</v>
      </c>
      <c r="C25" s="22">
        <f>[17]Tek_media!B13/1000000</f>
        <v>120.14484738999948</v>
      </c>
      <c r="D25" s="22">
        <f>[17]Tek_media!C13/1000000</f>
        <v>135.95898124000018</v>
      </c>
      <c r="E25" s="22">
        <f t="shared" si="1"/>
        <v>13.162556858278563</v>
      </c>
      <c r="F25" s="22">
        <f t="shared" si="2"/>
        <v>0.74526195028342657</v>
      </c>
      <c r="G25" s="22">
        <f>[17]Tek_media!D13/1000000</f>
        <v>11.295410780000022</v>
      </c>
      <c r="H25" s="22">
        <f>[17]Tek_media!E13/1000000</f>
        <v>14.391348440000007</v>
      </c>
      <c r="I25" s="22">
        <f t="shared" si="3"/>
        <v>27.408809828162607</v>
      </c>
      <c r="J25" s="22">
        <f t="shared" si="4"/>
        <v>0.7674606554994311</v>
      </c>
      <c r="K25" s="16"/>
    </row>
    <row r="26" spans="1:11">
      <c r="A26" s="14"/>
      <c r="B26" s="9" t="str">
        <f>+[17]Tek_media!A14</f>
        <v>Caldas</v>
      </c>
      <c r="C26" s="22">
        <f>[17]Tek_media!B14/1000000</f>
        <v>119.09860863000011</v>
      </c>
      <c r="D26" s="22">
        <f>[17]Tek_media!C14/1000000</f>
        <v>127.66502389999988</v>
      </c>
      <c r="E26" s="22">
        <f t="shared" si="1"/>
        <v>7.1927081000692228</v>
      </c>
      <c r="F26" s="22">
        <f t="shared" si="2"/>
        <v>0.69979845264317198</v>
      </c>
      <c r="G26" s="22">
        <f>[17]Tek_media!D14/1000000</f>
        <v>8.4639577999999975</v>
      </c>
      <c r="H26" s="22">
        <f>[17]Tek_media!E14/1000000</f>
        <v>15.58434563</v>
      </c>
      <c r="I26" s="22">
        <f t="shared" si="3"/>
        <v>84.125984536454141</v>
      </c>
      <c r="J26" s="22">
        <f t="shared" si="4"/>
        <v>0.83108071231784364</v>
      </c>
      <c r="K26" s="16"/>
    </row>
    <row r="27" spans="1:11">
      <c r="A27" s="14"/>
      <c r="B27" s="9" t="str">
        <f>+[17]Tek_media!A15</f>
        <v>Cauca</v>
      </c>
      <c r="C27" s="22">
        <f>[17]Tek_media!B15/1000000</f>
        <v>73.967280649999978</v>
      </c>
      <c r="D27" s="22">
        <f>[17]Tek_media!C15/1000000</f>
        <v>96.135524070000116</v>
      </c>
      <c r="E27" s="22">
        <f t="shared" si="1"/>
        <v>29.970337188541961</v>
      </c>
      <c r="F27" s="22">
        <f t="shared" si="2"/>
        <v>0.52696885124091197</v>
      </c>
      <c r="G27" s="22">
        <f>[17]Tek_media!D15/1000000</f>
        <v>9.6504658299999999</v>
      </c>
      <c r="H27" s="22">
        <f>[17]Tek_media!E15/1000000</f>
        <v>11.590209129999996</v>
      </c>
      <c r="I27" s="22">
        <f t="shared" si="3"/>
        <v>20.099996561513088</v>
      </c>
      <c r="J27" s="22">
        <f t="shared" si="4"/>
        <v>0.61808172690489616</v>
      </c>
      <c r="K27" s="16"/>
    </row>
    <row r="28" spans="1:11">
      <c r="A28" s="14"/>
      <c r="B28" s="9" t="str">
        <f>+[17]Tek_media!A16</f>
        <v>Córdoba</v>
      </c>
      <c r="C28" s="22">
        <f>[17]Tek_media!B16/1000000</f>
        <v>29.063198779999997</v>
      </c>
      <c r="D28" s="22">
        <f>[17]Tek_media!C16/1000000</f>
        <v>94.38657067000004</v>
      </c>
      <c r="E28" s="22">
        <f t="shared" si="1"/>
        <v>224.76318723372145</v>
      </c>
      <c r="F28" s="22">
        <f t="shared" si="2"/>
        <v>0.51738192722933807</v>
      </c>
      <c r="G28" s="22">
        <f>[17]Tek_media!D16/1000000</f>
        <v>1.1937878299999996</v>
      </c>
      <c r="H28" s="22">
        <f>[17]Tek_media!E16/1000000</f>
        <v>1.7233631599999999</v>
      </c>
      <c r="I28" s="22">
        <f t="shared" si="3"/>
        <v>44.360925508848624</v>
      </c>
      <c r="J28" s="22">
        <f t="shared" si="4"/>
        <v>9.1903369997007045E-2</v>
      </c>
      <c r="K28" s="16"/>
    </row>
    <row r="29" spans="1:11">
      <c r="A29" s="14"/>
      <c r="B29" s="9" t="str">
        <f>+[17]Tek_media!A17</f>
        <v>Boyacá</v>
      </c>
      <c r="C29" s="22">
        <f>[17]Tek_media!B17/1000000</f>
        <v>78.208994919999896</v>
      </c>
      <c r="D29" s="22">
        <f>[17]Tek_media!C17/1000000</f>
        <v>86.788146460000064</v>
      </c>
      <c r="E29" s="22">
        <f t="shared" si="1"/>
        <v>10.969520256302733</v>
      </c>
      <c r="F29" s="22">
        <f t="shared" si="2"/>
        <v>0.47573100873775886</v>
      </c>
      <c r="G29" s="22">
        <f>[17]Tek_media!D17/1000000</f>
        <v>17.287233909999998</v>
      </c>
      <c r="H29" s="22">
        <f>[17]Tek_media!E17/1000000</f>
        <v>17.485362529999996</v>
      </c>
      <c r="I29" s="22">
        <f t="shared" si="3"/>
        <v>1.1460978721725246</v>
      </c>
      <c r="J29" s="22">
        <f t="shared" si="4"/>
        <v>0.93245798646780453</v>
      </c>
      <c r="K29" s="16"/>
    </row>
    <row r="30" spans="1:11">
      <c r="A30" s="14"/>
      <c r="B30" s="9" t="str">
        <f>+[17]Tek_media!A18</f>
        <v>Norte de Santander</v>
      </c>
      <c r="C30" s="22">
        <f>[17]Tek_media!B18/1000000</f>
        <v>60.348148870000095</v>
      </c>
      <c r="D30" s="22">
        <f>[17]Tek_media!C18/1000000</f>
        <v>77.370459919999902</v>
      </c>
      <c r="E30" s="22">
        <f t="shared" si="1"/>
        <v>28.206848708265575</v>
      </c>
      <c r="F30" s="22">
        <f t="shared" si="2"/>
        <v>0.42410776638962067</v>
      </c>
      <c r="G30" s="22">
        <f>[17]Tek_media!D18/1000000</f>
        <v>5.4289658400000018</v>
      </c>
      <c r="H30" s="22">
        <f>[17]Tek_media!E18/1000000</f>
        <v>6.7683843199999991</v>
      </c>
      <c r="I30" s="22">
        <f t="shared" si="3"/>
        <v>24.671705799497111</v>
      </c>
      <c r="J30" s="22">
        <f t="shared" si="4"/>
        <v>0.36094384682268649</v>
      </c>
      <c r="K30" s="16"/>
    </row>
    <row r="31" spans="1:11">
      <c r="A31" s="14"/>
      <c r="B31" s="9" t="str">
        <f>+[17]Tek_media!A19</f>
        <v>Huila</v>
      </c>
      <c r="C31" s="22">
        <f>[17]Tek_media!B19/1000000</f>
        <v>19.430129869999991</v>
      </c>
      <c r="D31" s="22">
        <f>[17]Tek_media!C19/1000000</f>
        <v>61.196782429999999</v>
      </c>
      <c r="E31" s="22">
        <f t="shared" si="1"/>
        <v>214.95817495531759</v>
      </c>
      <c r="F31" s="22">
        <f t="shared" si="2"/>
        <v>0.33545142078068335</v>
      </c>
      <c r="G31" s="22">
        <f>[17]Tek_media!D19/1000000</f>
        <v>2.4422839000000001</v>
      </c>
      <c r="H31" s="22">
        <f>[17]Tek_media!E19/1000000</f>
        <v>0.64951843000000009</v>
      </c>
      <c r="I31" s="22">
        <f t="shared" si="3"/>
        <v>-73.405285519836568</v>
      </c>
      <c r="J31" s="22">
        <f t="shared" si="4"/>
        <v>3.4637465844497416E-2</v>
      </c>
      <c r="K31" s="16"/>
    </row>
    <row r="32" spans="1:11">
      <c r="A32" s="14"/>
      <c r="B32" s="9" t="str">
        <f>+[17]Tek_media!A20</f>
        <v>Casanare</v>
      </c>
      <c r="C32" s="22">
        <f>[17]Tek_media!B20/1000000</f>
        <v>62.443068690000025</v>
      </c>
      <c r="D32" s="22">
        <f>[17]Tek_media!C20/1000000</f>
        <v>49.941305819999876</v>
      </c>
      <c r="E32" s="22">
        <f t="shared" si="1"/>
        <v>-20.021057792763873</v>
      </c>
      <c r="F32" s="22">
        <f t="shared" si="2"/>
        <v>0.27375429438834253</v>
      </c>
      <c r="G32" s="22">
        <f>[17]Tek_media!D20/1000000</f>
        <v>2.7127009000000015</v>
      </c>
      <c r="H32" s="22">
        <f>[17]Tek_media!E20/1000000</f>
        <v>2.2932049100000009</v>
      </c>
      <c r="I32" s="22">
        <f t="shared" si="3"/>
        <v>-15.464144609529207</v>
      </c>
      <c r="J32" s="22">
        <f t="shared" si="4"/>
        <v>0.12229184435083511</v>
      </c>
      <c r="K32" s="16"/>
    </row>
    <row r="33" spans="1:13">
      <c r="A33" s="14"/>
      <c r="B33" s="9" t="str">
        <f>+[17]Tek_media!A21</f>
        <v>Meta</v>
      </c>
      <c r="C33" s="22">
        <f>[17]Tek_media!B21/1000000</f>
        <v>16.071854469999998</v>
      </c>
      <c r="D33" s="22">
        <f>[17]Tek_media!C21/1000000</f>
        <v>32.572410449999971</v>
      </c>
      <c r="E33" s="22">
        <f t="shared" si="1"/>
        <v>102.66740537503121</v>
      </c>
      <c r="F33" s="22">
        <f t="shared" si="2"/>
        <v>0.17854633740266185</v>
      </c>
      <c r="G33" s="22">
        <f>[17]Tek_media!D21/1000000</f>
        <v>0.86760928000000004</v>
      </c>
      <c r="H33" s="22">
        <f>[17]Tek_media!E21/1000000</f>
        <v>1.7110054800000003</v>
      </c>
      <c r="I33" s="22">
        <f t="shared" si="3"/>
        <v>97.209218416843157</v>
      </c>
      <c r="J33" s="22">
        <f t="shared" si="4"/>
        <v>9.1244360646160427E-2</v>
      </c>
      <c r="K33" s="16"/>
    </row>
    <row r="34" spans="1:13">
      <c r="A34" s="14"/>
      <c r="B34" s="9" t="str">
        <f>+[17]Tek_media!A22</f>
        <v>Tolima</v>
      </c>
      <c r="C34" s="22">
        <f>[17]Tek_media!B22/1000000</f>
        <v>13.667973789999989</v>
      </c>
      <c r="D34" s="22">
        <f>[17]Tek_media!C22/1000000</f>
        <v>18.343561409999996</v>
      </c>
      <c r="E34" s="22">
        <f t="shared" si="1"/>
        <v>34.208344937132118</v>
      </c>
      <c r="F34" s="22">
        <f t="shared" si="2"/>
        <v>0.10055060891805474</v>
      </c>
      <c r="G34" s="22">
        <f>[17]Tek_media!D22/1000000</f>
        <v>2.8533702000000005</v>
      </c>
      <c r="H34" s="22">
        <f>[17]Tek_media!E22/1000000</f>
        <v>3.0707024699999992</v>
      </c>
      <c r="I34" s="22">
        <f t="shared" si="3"/>
        <v>7.6166867516874737</v>
      </c>
      <c r="J34" s="22">
        <f t="shared" si="4"/>
        <v>0.16375417079887755</v>
      </c>
      <c r="K34" s="16"/>
    </row>
    <row r="35" spans="1:13">
      <c r="A35" s="14"/>
      <c r="B35" s="9" t="str">
        <f>+[17]Tek_media!A23</f>
        <v>Quindío</v>
      </c>
      <c r="C35" s="22">
        <f>[17]Tek_media!B23/1000000</f>
        <v>8.7770048999999961</v>
      </c>
      <c r="D35" s="22">
        <f>[17]Tek_media!C23/1000000</f>
        <v>12.393245340000018</v>
      </c>
      <c r="E35" s="22">
        <f t="shared" si="1"/>
        <v>41.201303647443829</v>
      </c>
      <c r="F35" s="22">
        <f t="shared" si="2"/>
        <v>6.7933829072499965E-2</v>
      </c>
      <c r="G35" s="22">
        <f>[17]Tek_media!D23/1000000</f>
        <v>0.95997621000000011</v>
      </c>
      <c r="H35" s="22">
        <f>[17]Tek_media!E23/1000000</f>
        <v>1.133834820000001</v>
      </c>
      <c r="I35" s="22">
        <f t="shared" si="3"/>
        <v>18.110720681296975</v>
      </c>
      <c r="J35" s="22">
        <f t="shared" si="4"/>
        <v>6.0465050777776863E-2</v>
      </c>
      <c r="K35" s="16"/>
    </row>
    <row r="36" spans="1:13">
      <c r="A36" s="14"/>
      <c r="B36" s="9" t="str">
        <f>+[17]Tek_media!A24</f>
        <v>Aráuca</v>
      </c>
      <c r="C36" s="22">
        <f>[17]Tek_media!B24/1000000</f>
        <v>0.60621314000000015</v>
      </c>
      <c r="D36" s="22">
        <f>[17]Tek_media!C24/1000000</f>
        <v>1.7643589800000001</v>
      </c>
      <c r="E36" s="22">
        <f t="shared" si="1"/>
        <v>191.04598095646685</v>
      </c>
      <c r="F36" s="22">
        <f t="shared" si="2"/>
        <v>9.6713700150028829E-3</v>
      </c>
      <c r="G36" s="22">
        <f>[17]Tek_media!D24/1000000</f>
        <v>0</v>
      </c>
      <c r="H36" s="22">
        <f>[17]Tek_media!E24/1000000</f>
        <v>0.62411757000000001</v>
      </c>
      <c r="I36" s="22" t="str">
        <f t="shared" si="3"/>
        <v/>
      </c>
      <c r="J36" s="22">
        <f t="shared" si="4"/>
        <v>3.3282890854730206E-2</v>
      </c>
      <c r="K36" s="16"/>
    </row>
    <row r="37" spans="1:13">
      <c r="A37" s="14"/>
      <c r="B37" s="9" t="str">
        <f>+[17]Tek_media!A25</f>
        <v>Chocó</v>
      </c>
      <c r="C37" s="22">
        <f>[17]Tek_media!B25/1000000</f>
        <v>0.53528264000000003</v>
      </c>
      <c r="D37" s="22">
        <f>[17]Tek_media!C25/1000000</f>
        <v>1.3965124799999999</v>
      </c>
      <c r="E37" s="22">
        <f t="shared" si="1"/>
        <v>160.89254080797386</v>
      </c>
      <c r="F37" s="22">
        <f t="shared" si="2"/>
        <v>7.6550118642235224E-3</v>
      </c>
      <c r="G37" s="22">
        <f>[17]Tek_media!D25/1000000</f>
        <v>0.40026345000000002</v>
      </c>
      <c r="H37" s="22">
        <f>[17]Tek_media!E25/1000000</f>
        <v>4.3880000000000004E-3</v>
      </c>
      <c r="I37" s="22">
        <f t="shared" si="3"/>
        <v>-98.903722036073987</v>
      </c>
      <c r="J37" s="22">
        <f t="shared" si="4"/>
        <v>2.3400290600784747E-4</v>
      </c>
      <c r="K37" s="16"/>
    </row>
    <row r="38" spans="1:13">
      <c r="A38" s="14"/>
      <c r="B38" s="9" t="str">
        <f>+[17]Tek_media!A26</f>
        <v>Sucre</v>
      </c>
      <c r="C38" s="22">
        <f>[17]Tek_media!B26/1000000</f>
        <v>1.6538390400000005</v>
      </c>
      <c r="D38" s="22">
        <f>[17]Tek_media!C26/1000000</f>
        <v>1.1414051599999999</v>
      </c>
      <c r="E38" s="22">
        <f t="shared" si="1"/>
        <v>-30.984507416150997</v>
      </c>
      <c r="F38" s="22">
        <f t="shared" si="2"/>
        <v>6.2566358459510132E-3</v>
      </c>
      <c r="G38" s="22">
        <f>[17]Tek_media!D26/1000000</f>
        <v>5.5102829999999998E-2</v>
      </c>
      <c r="H38" s="22">
        <f>[17]Tek_media!E26/1000000</f>
        <v>0.25076039</v>
      </c>
      <c r="I38" s="22">
        <f t="shared" si="3"/>
        <v>355.07715302462685</v>
      </c>
      <c r="J38" s="22">
        <f t="shared" si="4"/>
        <v>1.3372529619795162E-2</v>
      </c>
      <c r="K38" s="16"/>
    </row>
    <row r="39" spans="1:13">
      <c r="A39" s="14"/>
      <c r="B39" s="9" t="str">
        <f>+[17]Tek_media!A27</f>
        <v>Putumayo</v>
      </c>
      <c r="C39" s="22">
        <f>[17]Tek_media!B27/1000000</f>
        <v>0.38639676000000006</v>
      </c>
      <c r="D39" s="22">
        <f>[17]Tek_media!C27/1000000</f>
        <v>0.82056965999999998</v>
      </c>
      <c r="E39" s="22">
        <f t="shared" si="1"/>
        <v>112.36452914356731</v>
      </c>
      <c r="F39" s="22">
        <f t="shared" si="2"/>
        <v>4.4979694579756722E-3</v>
      </c>
      <c r="G39" s="22">
        <f>[17]Tek_media!D27/1000000</f>
        <v>0.13616359</v>
      </c>
      <c r="H39" s="22">
        <f>[17]Tek_media!E27/1000000</f>
        <v>9.5172449999999992E-2</v>
      </c>
      <c r="I39" s="22">
        <f t="shared" si="3"/>
        <v>-30.10433258993833</v>
      </c>
      <c r="J39" s="22">
        <f t="shared" si="4"/>
        <v>5.0753486490169916E-3</v>
      </c>
      <c r="K39" s="16"/>
    </row>
    <row r="40" spans="1:13">
      <c r="A40" s="14"/>
      <c r="B40" s="9" t="str">
        <f>+[17]Tek_media!A28</f>
        <v>Amazonas</v>
      </c>
      <c r="C40" s="22">
        <f>[17]Tek_media!B28/1000000</f>
        <v>0.71750703999999987</v>
      </c>
      <c r="D40" s="22">
        <f>[17]Tek_media!C28/1000000</f>
        <v>0.76803527000000016</v>
      </c>
      <c r="E40" s="22">
        <f t="shared" si="1"/>
        <v>7.0421929239886438</v>
      </c>
      <c r="F40" s="22">
        <f t="shared" si="2"/>
        <v>4.2100011193542059E-3</v>
      </c>
      <c r="G40" s="22">
        <f>[17]Tek_media!D28/1000000</f>
        <v>8.9978899999999997E-3</v>
      </c>
      <c r="H40" s="22">
        <f>[17]Tek_media!E28/1000000</f>
        <v>0.13005</v>
      </c>
      <c r="I40" s="22">
        <f t="shared" si="3"/>
        <v>1345.3388516641123</v>
      </c>
      <c r="J40" s="22">
        <f t="shared" si="4"/>
        <v>6.935295789954549E-3</v>
      </c>
      <c r="K40" s="16"/>
    </row>
    <row r="41" spans="1:13">
      <c r="A41" s="14"/>
      <c r="B41" s="9" t="str">
        <f>+[17]Tek_media!A29</f>
        <v>Vichada</v>
      </c>
      <c r="C41" s="22">
        <f>[17]Tek_media!B29/1000000</f>
        <v>2.2103310000000001E-2</v>
      </c>
      <c r="D41" s="22">
        <f>[17]Tek_media!C29/1000000</f>
        <v>0.29565706999999997</v>
      </c>
      <c r="E41" s="22">
        <f t="shared" si="1"/>
        <v>1237.6144568392695</v>
      </c>
      <c r="F41" s="22">
        <f t="shared" si="2"/>
        <v>1.620650306391508E-3</v>
      </c>
      <c r="G41" s="22">
        <f>[17]Tek_media!D29/1000000</f>
        <v>6.60832E-3</v>
      </c>
      <c r="H41" s="22">
        <f>[17]Tek_media!E29/1000000</f>
        <v>7.826698E-2</v>
      </c>
      <c r="I41" s="22">
        <f t="shared" si="3"/>
        <v>1084.3703089438768</v>
      </c>
      <c r="J41" s="22">
        <f t="shared" si="4"/>
        <v>4.1738151240788687E-3</v>
      </c>
      <c r="K41" s="16"/>
    </row>
    <row r="42" spans="1:13">
      <c r="A42" s="14"/>
      <c r="B42" s="9" t="str">
        <f>+[17]Tek_media!A30</f>
        <v>Caquetá</v>
      </c>
      <c r="C42" s="22">
        <f>[17]Tek_media!B30/1000000</f>
        <v>7.9311797400000001</v>
      </c>
      <c r="D42" s="22">
        <f>[17]Tek_media!C30/1000000</f>
        <v>0.19762301999999998</v>
      </c>
      <c r="E42" s="22">
        <f t="shared" si="1"/>
        <v>-97.508277122969361</v>
      </c>
      <c r="F42" s="22">
        <f t="shared" si="2"/>
        <v>1.0832746462413872E-3</v>
      </c>
      <c r="G42" s="22">
        <f>[17]Tek_media!D30/1000000</f>
        <v>7.6360239999999999</v>
      </c>
      <c r="H42" s="22">
        <f>[17]Tek_media!E30/1000000</f>
        <v>3.6613999999999999E-4</v>
      </c>
      <c r="I42" s="22">
        <f t="shared" si="3"/>
        <v>-99.995205096264755</v>
      </c>
      <c r="J42" s="22">
        <f t="shared" si="4"/>
        <v>1.9525484048704026E-5</v>
      </c>
      <c r="K42" s="16"/>
    </row>
    <row r="43" spans="1:13">
      <c r="A43" s="14"/>
      <c r="B43" s="9" t="str">
        <f>+[17]Tek_media!A31</f>
        <v>San Andrés</v>
      </c>
      <c r="C43" s="22">
        <f>[17]Tek_media!B31/1000000</f>
        <v>0.27698220000000012</v>
      </c>
      <c r="D43" s="22">
        <f>[17]Tek_media!C31/1000000</f>
        <v>0.13240716999999999</v>
      </c>
      <c r="E43" s="22">
        <f t="shared" si="1"/>
        <v>-52.196505768240733</v>
      </c>
      <c r="F43" s="22">
        <f t="shared" si="2"/>
        <v>7.2579262396442088E-4</v>
      </c>
      <c r="G43" s="22">
        <f>[17]Tek_media!D31/1000000</f>
        <v>0</v>
      </c>
      <c r="H43" s="22">
        <f>[17]Tek_media!E31/1000000</f>
        <v>0</v>
      </c>
      <c r="I43" s="22" t="str">
        <f t="shared" si="3"/>
        <v/>
      </c>
      <c r="J43" s="22">
        <f t="shared" si="4"/>
        <v>0</v>
      </c>
      <c r="K43" s="16"/>
    </row>
    <row r="44" spans="1:13">
      <c r="A44" s="14"/>
      <c r="B44" s="9" t="str">
        <f>+[17]Tek_media!A32</f>
        <v>Guaviare</v>
      </c>
      <c r="C44" s="22">
        <f>[17]Tek_media!B32/1000000</f>
        <v>0</v>
      </c>
      <c r="D44" s="22">
        <f>[17]Tek_media!C32/1000000</f>
        <v>3.4659459999999996E-2</v>
      </c>
      <c r="E44" s="22" t="str">
        <f t="shared" ref="E44" si="5">IF(OR(OR(D44=0,C44=0),D44=""),"",(D44/C44-1)*100)</f>
        <v/>
      </c>
      <c r="F44" s="22">
        <f t="shared" ref="F44" si="6">(D44/D$13)*100</f>
        <v>1.8998654240997588E-4</v>
      </c>
      <c r="G44" s="22">
        <f>[17]Tek_media!D32/1000000</f>
        <v>0</v>
      </c>
      <c r="H44" s="22">
        <f>[17]Tek_media!E32/1000000</f>
        <v>0</v>
      </c>
      <c r="I44" s="22" t="str">
        <f t="shared" ref="I44" si="7">IF(OR(OR(H44=0,G44=0),H44=""),"",(H44/G44-1)*100)</f>
        <v/>
      </c>
      <c r="J44" s="22">
        <f t="shared" ref="J44" si="8">(H44/H$13)*100</f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tr">
        <f>+'Resumen importaciones totales'!C10:D10</f>
        <v>Año corrido a noviembre</v>
      </c>
      <c r="D10" s="119"/>
      <c r="E10" s="118" t="s">
        <v>124</v>
      </c>
      <c r="F10" s="118" t="s">
        <v>125</v>
      </c>
      <c r="G10" s="119" t="str">
        <f>+'Resumen importaciones totales'!G10:H10</f>
        <v>Noviembre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f>SUM(C14:C43)</f>
        <v>8280.6791694300082</v>
      </c>
      <c r="D13" s="97">
        <f>SUM(D14:D43)</f>
        <v>10225.170879219882</v>
      </c>
      <c r="E13" s="96">
        <f>IF(OR(OR(D13=0,C13=0),D13=""),"",(D13/C13-1)*100)</f>
        <v>23.482273253242347</v>
      </c>
      <c r="F13" s="96">
        <f>(D13/D$13)*100</f>
        <v>100</v>
      </c>
      <c r="G13" s="97">
        <f t="shared" ref="G13:H13" si="0">SUM(G14:G43)</f>
        <v>848.48555732999807</v>
      </c>
      <c r="H13" s="97">
        <f t="shared" si="0"/>
        <v>1007.3623354899993</v>
      </c>
      <c r="I13" s="96">
        <f>IF(OR(OR(H13=0,G13=0),H13=""),"",(H13/G13-1)*100)</f>
        <v>18.724747497170412</v>
      </c>
      <c r="J13" s="96">
        <f>(H13/H$13)*100</f>
        <v>100</v>
      </c>
      <c r="K13" s="16"/>
    </row>
    <row r="14" spans="1:14">
      <c r="A14" s="14"/>
      <c r="B14" s="10" t="str">
        <f>+[17]Alta_tek!A2</f>
        <v>Bogotá</v>
      </c>
      <c r="C14" s="25">
        <f>[17]Alta_tek!B2/1000000</f>
        <v>6557.6194796600084</v>
      </c>
      <c r="D14" s="25">
        <f>[17]Alta_tek!C2/1000000</f>
        <v>8101.535095229885</v>
      </c>
      <c r="E14" s="25">
        <f>IF(OR(OR(D14=0,C14=0),D14=""),"",(D14/C14-1)*100)</f>
        <v>23.5438427063158</v>
      </c>
      <c r="F14" s="25">
        <f>(D14/D$13)*100</f>
        <v>79.231292962489661</v>
      </c>
      <c r="G14" s="25">
        <f>[17]Alta_tek!D2/1000000</f>
        <v>690.05750553999792</v>
      </c>
      <c r="H14" s="25">
        <f>[17]Alta_tek!E2/1000000</f>
        <v>794.91544923999925</v>
      </c>
      <c r="I14" s="25">
        <f>IF(OR(OR(H14=0,G14=0),H14=""),"",(H14/G14-1)*100)</f>
        <v>15.195537018026606</v>
      </c>
      <c r="J14" s="25">
        <f>(H14/H$13)*100</f>
        <v>78.910578769389659</v>
      </c>
      <c r="K14" s="16"/>
    </row>
    <row r="15" spans="1:14">
      <c r="A15" s="14"/>
      <c r="B15" s="9" t="str">
        <f>+[17]Alta_tek!A3</f>
        <v>Cundinamarca</v>
      </c>
      <c r="C15" s="22">
        <f>[17]Alta_tek!B3/1000000</f>
        <v>435.0386713100022</v>
      </c>
      <c r="D15" s="22">
        <f>[17]Alta_tek!C3/1000000</f>
        <v>727.63567372000352</v>
      </c>
      <c r="E15" s="22">
        <f t="shared" ref="E15:E42" si="1">IF(OR(OR(D15=0,C15=0),D15=""),"",(D15/C15-1)*100)</f>
        <v>67.257699534830763</v>
      </c>
      <c r="F15" s="22">
        <f t="shared" ref="F15:F42" si="2">(D15/D$13)*100</f>
        <v>7.1161223838199339</v>
      </c>
      <c r="G15" s="22">
        <f>[17]Alta_tek!D3/1000000</f>
        <v>42.563247369999978</v>
      </c>
      <c r="H15" s="22">
        <f>[17]Alta_tek!E3/1000000</f>
        <v>88.821348549999769</v>
      </c>
      <c r="I15" s="22">
        <f t="shared" ref="I15:I42" si="3">IF(OR(OR(H15=0,G15=0),H15=""),"",(H15/G15-1)*100)</f>
        <v>108.68085505290668</v>
      </c>
      <c r="J15" s="22">
        <f t="shared" ref="J15:J42" si="4">(H15/H$13)*100</f>
        <v>8.817219526755034</v>
      </c>
      <c r="K15" s="16"/>
    </row>
    <row r="16" spans="1:14">
      <c r="A16" s="14"/>
      <c r="B16" s="9" t="str">
        <f>+[17]Alta_tek!A4</f>
        <v>Valle del Cauca</v>
      </c>
      <c r="C16" s="22">
        <f>[17]Alta_tek!B4/1000000</f>
        <v>515.6684763800007</v>
      </c>
      <c r="D16" s="22">
        <f>[17]Alta_tek!C4/1000000</f>
        <v>485.40738341999571</v>
      </c>
      <c r="E16" s="22">
        <f t="shared" si="1"/>
        <v>-5.8683232243394556</v>
      </c>
      <c r="F16" s="22">
        <f t="shared" si="2"/>
        <v>4.7471811391090348</v>
      </c>
      <c r="G16" s="22">
        <f>[17]Alta_tek!D4/1000000</f>
        <v>58.373270470000044</v>
      </c>
      <c r="H16" s="22">
        <f>[17]Alta_tek!E4/1000000</f>
        <v>32.124720580000051</v>
      </c>
      <c r="I16" s="22">
        <f t="shared" si="3"/>
        <v>-44.96672822793095</v>
      </c>
      <c r="J16" s="22">
        <f t="shared" si="4"/>
        <v>3.1889936171153357</v>
      </c>
      <c r="K16" s="16"/>
    </row>
    <row r="17" spans="1:11">
      <c r="A17" s="14"/>
      <c r="B17" s="9" t="str">
        <f>+[17]Alta_tek!A5</f>
        <v>Antioquia</v>
      </c>
      <c r="C17" s="22">
        <f>[17]Alta_tek!B5/1000000</f>
        <v>251.64250770000035</v>
      </c>
      <c r="D17" s="22">
        <f>[17]Alta_tek!C5/1000000</f>
        <v>420.85914658999855</v>
      </c>
      <c r="E17" s="22">
        <f t="shared" si="1"/>
        <v>67.244854788894614</v>
      </c>
      <c r="F17" s="22">
        <f t="shared" si="2"/>
        <v>4.1159130889958044</v>
      </c>
      <c r="G17" s="22">
        <f>[17]Alta_tek!D5/1000000</f>
        <v>29.211348010000005</v>
      </c>
      <c r="H17" s="22">
        <f>[17]Alta_tek!E5/1000000</f>
        <v>41.529994799999962</v>
      </c>
      <c r="I17" s="22">
        <f t="shared" si="3"/>
        <v>42.170757699312198</v>
      </c>
      <c r="J17" s="22">
        <f t="shared" si="4"/>
        <v>4.1226471684390527</v>
      </c>
      <c r="K17" s="16"/>
    </row>
    <row r="18" spans="1:11">
      <c r="A18" s="14"/>
      <c r="B18" s="9" t="str">
        <f>+[17]Alta_tek!A6</f>
        <v>Atlántico</v>
      </c>
      <c r="C18" s="22">
        <f>[17]Alta_tek!B6/1000000</f>
        <v>97.659487609999715</v>
      </c>
      <c r="D18" s="22">
        <f>[17]Alta_tek!C6/1000000</f>
        <v>122.17766104999994</v>
      </c>
      <c r="E18" s="22">
        <f t="shared" si="1"/>
        <v>25.105777267553187</v>
      </c>
      <c r="F18" s="22">
        <f t="shared" si="2"/>
        <v>1.194871582031902</v>
      </c>
      <c r="G18" s="22">
        <f>[17]Alta_tek!D6/1000000</f>
        <v>9.0190749699999966</v>
      </c>
      <c r="H18" s="22">
        <f>[17]Alta_tek!E6/1000000</f>
        <v>12.99139469</v>
      </c>
      <c r="I18" s="22">
        <f t="shared" si="3"/>
        <v>44.043538092465859</v>
      </c>
      <c r="J18" s="22">
        <f t="shared" si="4"/>
        <v>1.2896446722599322</v>
      </c>
      <c r="K18" s="16"/>
    </row>
    <row r="19" spans="1:11">
      <c r="A19" s="14"/>
      <c r="B19" s="9" t="str">
        <f>+[17]Alta_tek!A7</f>
        <v>Bolívar</v>
      </c>
      <c r="C19" s="22">
        <f>[17]Alta_tek!B7/1000000</f>
        <v>108.8765739300003</v>
      </c>
      <c r="D19" s="22">
        <f>[17]Alta_tek!C7/1000000</f>
        <v>98.165875770000099</v>
      </c>
      <c r="E19" s="22">
        <f t="shared" si="1"/>
        <v>-9.8374680368675129</v>
      </c>
      <c r="F19" s="22">
        <f t="shared" si="2"/>
        <v>0.96004142062308062</v>
      </c>
      <c r="G19" s="22">
        <f>[17]Alta_tek!D7/1000000</f>
        <v>4.6197703399999979</v>
      </c>
      <c r="H19" s="22">
        <f>[17]Alta_tek!E7/1000000</f>
        <v>14.280108320000005</v>
      </c>
      <c r="I19" s="22">
        <f t="shared" si="3"/>
        <v>209.10861945574575</v>
      </c>
      <c r="J19" s="22">
        <f t="shared" si="4"/>
        <v>1.4175741753391944</v>
      </c>
      <c r="K19" s="16"/>
    </row>
    <row r="20" spans="1:11">
      <c r="A20" s="14"/>
      <c r="B20" s="9" t="str">
        <f>+[17]Alta_tek!A8</f>
        <v>Santander</v>
      </c>
      <c r="C20" s="22">
        <f>[17]Alta_tek!B8/1000000</f>
        <v>37.269673420000032</v>
      </c>
      <c r="D20" s="22">
        <f>[17]Alta_tek!C8/1000000</f>
        <v>60.763839580000095</v>
      </c>
      <c r="E20" s="22">
        <f t="shared" si="1"/>
        <v>63.03829361539934</v>
      </c>
      <c r="F20" s="22">
        <f t="shared" si="2"/>
        <v>0.59425744858198404</v>
      </c>
      <c r="G20" s="22">
        <f>[17]Alta_tek!D8/1000000</f>
        <v>3.0623644700000003</v>
      </c>
      <c r="H20" s="22">
        <f>[17]Alta_tek!E8/1000000</f>
        <v>3.2274908900000008</v>
      </c>
      <c r="I20" s="22">
        <f t="shared" si="3"/>
        <v>5.3921217287372869</v>
      </c>
      <c r="J20" s="22">
        <f t="shared" si="4"/>
        <v>0.32039026835662765</v>
      </c>
      <c r="K20" s="16"/>
    </row>
    <row r="21" spans="1:11">
      <c r="A21" s="14"/>
      <c r="B21" s="9" t="str">
        <f>+[17]Alta_tek!A9</f>
        <v>Risaralda</v>
      </c>
      <c r="C21" s="22">
        <f>[17]Alta_tek!B9/1000000</f>
        <v>22.77859043000003</v>
      </c>
      <c r="D21" s="22">
        <f>[17]Alta_tek!C9/1000000</f>
        <v>29.846112280000071</v>
      </c>
      <c r="E21" s="22">
        <f t="shared" si="1"/>
        <v>31.027037742826803</v>
      </c>
      <c r="F21" s="22">
        <f t="shared" si="2"/>
        <v>0.29188864061582459</v>
      </c>
      <c r="G21" s="22">
        <f>[17]Alta_tek!D9/1000000</f>
        <v>3.5289375199999995</v>
      </c>
      <c r="H21" s="22">
        <f>[17]Alta_tek!E9/1000000</f>
        <v>3.6800307700000006</v>
      </c>
      <c r="I21" s="22">
        <f t="shared" si="3"/>
        <v>4.2815507257833563</v>
      </c>
      <c r="J21" s="22">
        <f t="shared" si="4"/>
        <v>0.36531351633371989</v>
      </c>
      <c r="K21" s="16"/>
    </row>
    <row r="22" spans="1:11">
      <c r="A22" s="14"/>
      <c r="B22" s="9" t="str">
        <f>+[17]Alta_tek!A10</f>
        <v>Guajira</v>
      </c>
      <c r="C22" s="22">
        <f>[17]Alta_tek!B10/1000000</f>
        <v>22.912685560000007</v>
      </c>
      <c r="D22" s="22">
        <f>[17]Alta_tek!C10/1000000</f>
        <v>29.478376219999912</v>
      </c>
      <c r="E22" s="22">
        <f t="shared" si="1"/>
        <v>28.655264538095039</v>
      </c>
      <c r="F22" s="22">
        <f t="shared" si="2"/>
        <v>0.28829226003359398</v>
      </c>
      <c r="G22" s="22">
        <f>[17]Alta_tek!D10/1000000</f>
        <v>1.7070974799999981</v>
      </c>
      <c r="H22" s="22">
        <f>[17]Alta_tek!E10/1000000</f>
        <v>2.6745341999999983</v>
      </c>
      <c r="I22" s="22">
        <f t="shared" si="3"/>
        <v>56.671439758671617</v>
      </c>
      <c r="J22" s="22">
        <f t="shared" si="4"/>
        <v>0.26549872928285101</v>
      </c>
      <c r="K22" s="16"/>
    </row>
    <row r="23" spans="1:11">
      <c r="A23" s="14"/>
      <c r="B23" s="9" t="str">
        <f>+[17]Alta_tek!A11</f>
        <v>Meta</v>
      </c>
      <c r="C23" s="22">
        <f>[17]Alta_tek!B11/1000000</f>
        <v>54.856216330000031</v>
      </c>
      <c r="D23" s="22">
        <f>[17]Alta_tek!C11/1000000</f>
        <v>26.722810990000003</v>
      </c>
      <c r="E23" s="22">
        <f t="shared" si="1"/>
        <v>-51.285719690831641</v>
      </c>
      <c r="F23" s="22">
        <f t="shared" si="2"/>
        <v>0.26134341719713922</v>
      </c>
      <c r="G23" s="22">
        <f>[17]Alta_tek!D11/1000000</f>
        <v>0.19525341000000002</v>
      </c>
      <c r="H23" s="22">
        <f>[17]Alta_tek!E11/1000000</f>
        <v>0.50200347000000001</v>
      </c>
      <c r="I23" s="22">
        <f t="shared" si="3"/>
        <v>157.10356095701479</v>
      </c>
      <c r="J23" s="22">
        <f t="shared" si="4"/>
        <v>4.9833456375537051E-2</v>
      </c>
      <c r="K23" s="16"/>
    </row>
    <row r="24" spans="1:11">
      <c r="A24" s="14"/>
      <c r="B24" s="9" t="str">
        <f>+[17]Alta_tek!A12</f>
        <v>Cesar</v>
      </c>
      <c r="C24" s="22">
        <f>[17]Alta_tek!B12/1000000</f>
        <v>23.681364499999976</v>
      </c>
      <c r="D24" s="22">
        <f>[17]Alta_tek!C12/1000000</f>
        <v>21.103960530000023</v>
      </c>
      <c r="E24" s="22">
        <f t="shared" si="1"/>
        <v>-10.883680161250652</v>
      </c>
      <c r="F24" s="22">
        <f t="shared" si="2"/>
        <v>0.20639225279734519</v>
      </c>
      <c r="G24" s="22">
        <f>[17]Alta_tek!D12/1000000</f>
        <v>0.84881229000000025</v>
      </c>
      <c r="H24" s="22">
        <f>[17]Alta_tek!E12/1000000</f>
        <v>1.2593764999999981</v>
      </c>
      <c r="I24" s="22">
        <f t="shared" si="3"/>
        <v>48.369258414012563</v>
      </c>
      <c r="J24" s="22">
        <f t="shared" si="4"/>
        <v>0.1250172312018609</v>
      </c>
      <c r="K24" s="16"/>
    </row>
    <row r="25" spans="1:11">
      <c r="A25" s="14"/>
      <c r="B25" s="9" t="str">
        <f>+[17]Alta_tek!A13</f>
        <v>Casanare</v>
      </c>
      <c r="C25" s="22">
        <f>[17]Alta_tek!B13/1000000</f>
        <v>21.888980610000019</v>
      </c>
      <c r="D25" s="22">
        <f>[17]Alta_tek!C13/1000000</f>
        <v>21.017556770000013</v>
      </c>
      <c r="E25" s="22">
        <f t="shared" si="1"/>
        <v>-3.9811074600792251</v>
      </c>
      <c r="F25" s="22">
        <f t="shared" si="2"/>
        <v>0.20554724237140104</v>
      </c>
      <c r="G25" s="22">
        <f>[17]Alta_tek!D13/1000000</f>
        <v>0.38130527999999986</v>
      </c>
      <c r="H25" s="22">
        <f>[17]Alta_tek!E13/1000000</f>
        <v>0.53923395000000018</v>
      </c>
      <c r="I25" s="22">
        <f t="shared" si="3"/>
        <v>41.417907981762127</v>
      </c>
      <c r="J25" s="22">
        <f t="shared" si="4"/>
        <v>5.3529294376259071E-2</v>
      </c>
      <c r="K25" s="16"/>
    </row>
    <row r="26" spans="1:11">
      <c r="A26" s="14"/>
      <c r="B26" s="9" t="str">
        <f>+[17]Alta_tek!A14</f>
        <v>Cauca</v>
      </c>
      <c r="C26" s="22">
        <f>[17]Alta_tek!B14/1000000</f>
        <v>18.222438829999987</v>
      </c>
      <c r="D26" s="22">
        <f>[17]Alta_tek!C14/1000000</f>
        <v>17.631917519999984</v>
      </c>
      <c r="E26" s="22">
        <f t="shared" si="1"/>
        <v>-3.2406272042346806</v>
      </c>
      <c r="F26" s="22">
        <f t="shared" si="2"/>
        <v>0.17243640940839897</v>
      </c>
      <c r="G26" s="22">
        <f>[17]Alta_tek!D14/1000000</f>
        <v>1.2874555099999996</v>
      </c>
      <c r="H26" s="22">
        <f>[17]Alta_tek!E14/1000000</f>
        <v>1.35252398</v>
      </c>
      <c r="I26" s="22">
        <f t="shared" si="3"/>
        <v>5.0540363915177355</v>
      </c>
      <c r="J26" s="22">
        <f t="shared" si="4"/>
        <v>0.13426390210848094</v>
      </c>
      <c r="K26" s="16"/>
    </row>
    <row r="27" spans="1:11">
      <c r="A27" s="14"/>
      <c r="B27" s="9" t="str">
        <f>+[17]Alta_tek!A15</f>
        <v>Magdalena</v>
      </c>
      <c r="C27" s="22">
        <f>[17]Alta_tek!B15/1000000</f>
        <v>69.321499550000027</v>
      </c>
      <c r="D27" s="22">
        <f>[17]Alta_tek!C15/1000000</f>
        <v>17.250576890000001</v>
      </c>
      <c r="E27" s="22">
        <f t="shared" si="1"/>
        <v>-75.115112913047199</v>
      </c>
      <c r="F27" s="22">
        <f t="shared" si="2"/>
        <v>0.16870697902034587</v>
      </c>
      <c r="G27" s="22">
        <f>[17]Alta_tek!D15/1000000</f>
        <v>0.95050703000000025</v>
      </c>
      <c r="H27" s="22">
        <f>[17]Alta_tek!E15/1000000</f>
        <v>0.60255719000000008</v>
      </c>
      <c r="I27" s="22">
        <f t="shared" si="3"/>
        <v>-36.606761340839334</v>
      </c>
      <c r="J27" s="22">
        <f t="shared" si="4"/>
        <v>5.9815338411169136E-2</v>
      </c>
      <c r="K27" s="16"/>
    </row>
    <row r="28" spans="1:11">
      <c r="A28" s="14"/>
      <c r="B28" s="9" t="str">
        <f>+[17]Alta_tek!A16</f>
        <v>Tolima</v>
      </c>
      <c r="C28" s="22">
        <f>[17]Alta_tek!B16/1000000</f>
        <v>3.2838758599999989</v>
      </c>
      <c r="D28" s="22">
        <f>[17]Alta_tek!C16/1000000</f>
        <v>11.706859800000016</v>
      </c>
      <c r="E28" s="22">
        <f t="shared" si="1"/>
        <v>256.49519954752554</v>
      </c>
      <c r="F28" s="22">
        <f t="shared" si="2"/>
        <v>0.11449060302543498</v>
      </c>
      <c r="G28" s="22">
        <f>[17]Alta_tek!D16/1000000</f>
        <v>0.33255706000000002</v>
      </c>
      <c r="H28" s="22">
        <f>[17]Alta_tek!E16/1000000</f>
        <v>6.4098901499999998</v>
      </c>
      <c r="I28" s="22">
        <f t="shared" si="3"/>
        <v>1827.4557424822074</v>
      </c>
      <c r="J28" s="22">
        <f t="shared" si="4"/>
        <v>0.63630432905575263</v>
      </c>
      <c r="K28" s="16"/>
    </row>
    <row r="29" spans="1:11">
      <c r="A29" s="14"/>
      <c r="B29" s="9" t="str">
        <f>+[17]Alta_tek!A17</f>
        <v>Caldas</v>
      </c>
      <c r="C29" s="22">
        <f>[17]Alta_tek!B17/1000000</f>
        <v>9.1023154300000009</v>
      </c>
      <c r="D29" s="22">
        <f>[17]Alta_tek!C17/1000000</f>
        <v>7.4079022600000002</v>
      </c>
      <c r="E29" s="22">
        <f t="shared" si="1"/>
        <v>-18.615188443321184</v>
      </c>
      <c r="F29" s="22">
        <f t="shared" si="2"/>
        <v>7.2447711118986971E-2</v>
      </c>
      <c r="G29" s="22">
        <f>[17]Alta_tek!D17/1000000</f>
        <v>0.77806690000000023</v>
      </c>
      <c r="H29" s="22">
        <f>[17]Alta_tek!E17/1000000</f>
        <v>0.70319600000000004</v>
      </c>
      <c r="I29" s="22">
        <f t="shared" si="3"/>
        <v>-9.6226815457642783</v>
      </c>
      <c r="J29" s="22">
        <f t="shared" si="4"/>
        <v>6.9805667258539386E-2</v>
      </c>
      <c r="K29" s="16"/>
    </row>
    <row r="30" spans="1:11">
      <c r="A30" s="14"/>
      <c r="B30" s="9" t="str">
        <f>+[17]Alta_tek!A18</f>
        <v>Boyacá</v>
      </c>
      <c r="C30" s="22">
        <f>[17]Alta_tek!B18/1000000</f>
        <v>13.473669010000002</v>
      </c>
      <c r="D30" s="22">
        <f>[17]Alta_tek!C18/1000000</f>
        <v>7.3236326300000023</v>
      </c>
      <c r="E30" s="22">
        <f t="shared" si="1"/>
        <v>-45.644852752695009</v>
      </c>
      <c r="F30" s="22">
        <f t="shared" si="2"/>
        <v>7.1623572031284735E-2</v>
      </c>
      <c r="G30" s="22">
        <f>[17]Alta_tek!D18/1000000</f>
        <v>0.56974216</v>
      </c>
      <c r="H30" s="22">
        <f>[17]Alta_tek!E18/1000000</f>
        <v>0.65411582999999995</v>
      </c>
      <c r="I30" s="22">
        <f t="shared" si="3"/>
        <v>14.809097153701934</v>
      </c>
      <c r="J30" s="22">
        <f t="shared" si="4"/>
        <v>6.4933520636527089E-2</v>
      </c>
      <c r="K30" s="16"/>
    </row>
    <row r="31" spans="1:11">
      <c r="A31" s="14"/>
      <c r="B31" s="9" t="str">
        <f>+[17]Alta_tek!A19</f>
        <v>Norte de Santander</v>
      </c>
      <c r="C31" s="22">
        <f>[17]Alta_tek!B19/1000000</f>
        <v>2.2436416799999992</v>
      </c>
      <c r="D31" s="22">
        <f>[17]Alta_tek!C19/1000000</f>
        <v>4.4738521400000035</v>
      </c>
      <c r="E31" s="22">
        <f t="shared" si="1"/>
        <v>99.401365194820457</v>
      </c>
      <c r="F31" s="22">
        <f t="shared" si="2"/>
        <v>4.3753323957568237E-2</v>
      </c>
      <c r="G31" s="22">
        <f>[17]Alta_tek!D19/1000000</f>
        <v>0.21414478000000003</v>
      </c>
      <c r="H31" s="22">
        <f>[17]Alta_tek!E19/1000000</f>
        <v>0.28863686999999988</v>
      </c>
      <c r="I31" s="22">
        <f t="shared" si="3"/>
        <v>34.785853757443832</v>
      </c>
      <c r="J31" s="22">
        <f t="shared" si="4"/>
        <v>2.8652735945264587E-2</v>
      </c>
      <c r="K31" s="16"/>
    </row>
    <row r="32" spans="1:11">
      <c r="A32" s="14"/>
      <c r="B32" s="9" t="str">
        <f>+[17]Alta_tek!A20</f>
        <v>Huila</v>
      </c>
      <c r="C32" s="22">
        <f>[17]Alta_tek!B20/1000000</f>
        <v>7.5993740499999953</v>
      </c>
      <c r="D32" s="22">
        <f>[17]Alta_tek!C20/1000000</f>
        <v>3.6553268000000005</v>
      </c>
      <c r="E32" s="22">
        <f t="shared" si="1"/>
        <v>-51.899633102018413</v>
      </c>
      <c r="F32" s="22">
        <f t="shared" si="2"/>
        <v>3.5748319936917079E-2</v>
      </c>
      <c r="G32" s="22">
        <f>[17]Alta_tek!D20/1000000</f>
        <v>0.28237657999999993</v>
      </c>
      <c r="H32" s="22">
        <f>[17]Alta_tek!E20/1000000</f>
        <v>0.10367564999999999</v>
      </c>
      <c r="I32" s="22">
        <f t="shared" si="3"/>
        <v>-63.28461446767291</v>
      </c>
      <c r="J32" s="22">
        <f t="shared" si="4"/>
        <v>1.0291793364457118E-2</v>
      </c>
      <c r="K32" s="16"/>
    </row>
    <row r="33" spans="1:13">
      <c r="A33" s="14"/>
      <c r="B33" s="9" t="str">
        <f>+[17]Alta_tek!A21</f>
        <v>Córdoba</v>
      </c>
      <c r="C33" s="22">
        <f>[17]Alta_tek!B21/1000000</f>
        <v>2.752762140000002</v>
      </c>
      <c r="D33" s="22">
        <f>[17]Alta_tek!C21/1000000</f>
        <v>3.3832442899999977</v>
      </c>
      <c r="E33" s="22">
        <f t="shared" si="1"/>
        <v>22.903618908388324</v>
      </c>
      <c r="F33" s="22">
        <f t="shared" si="2"/>
        <v>3.3087410762744324E-2</v>
      </c>
      <c r="G33" s="22">
        <f>[17]Alta_tek!D21/1000000</f>
        <v>0.19752970000000006</v>
      </c>
      <c r="H33" s="22">
        <f>[17]Alta_tek!E21/1000000</f>
        <v>0.27005438999999998</v>
      </c>
      <c r="I33" s="22">
        <f t="shared" si="3"/>
        <v>36.715840706486105</v>
      </c>
      <c r="J33" s="22">
        <f t="shared" si="4"/>
        <v>2.6808069002166993E-2</v>
      </c>
      <c r="K33" s="16"/>
    </row>
    <row r="34" spans="1:13">
      <c r="A34" s="14"/>
      <c r="B34" s="9" t="str">
        <f>+[17]Alta_tek!A22</f>
        <v>Nariño</v>
      </c>
      <c r="C34" s="22">
        <f>[17]Alta_tek!B22/1000000</f>
        <v>1.4918194600000001</v>
      </c>
      <c r="D34" s="22">
        <f>[17]Alta_tek!C22/1000000</f>
        <v>2.5834196699999992</v>
      </c>
      <c r="E34" s="22">
        <f t="shared" si="1"/>
        <v>73.172407202678457</v>
      </c>
      <c r="F34" s="22">
        <f t="shared" si="2"/>
        <v>2.5265295812807956E-2</v>
      </c>
      <c r="G34" s="22">
        <f>[17]Alta_tek!D22/1000000</f>
        <v>0.18981001</v>
      </c>
      <c r="H34" s="22">
        <f>[17]Alta_tek!E22/1000000</f>
        <v>0.20675813999999995</v>
      </c>
      <c r="I34" s="22">
        <f t="shared" si="3"/>
        <v>8.928996948053447</v>
      </c>
      <c r="J34" s="22">
        <f t="shared" si="4"/>
        <v>2.0524704241540761E-2</v>
      </c>
      <c r="K34" s="16"/>
    </row>
    <row r="35" spans="1:13">
      <c r="A35" s="14"/>
      <c r="B35" s="9" t="str">
        <f>+[17]Alta_tek!A23</f>
        <v>Quindío</v>
      </c>
      <c r="C35" s="22">
        <f>[17]Alta_tek!B23/1000000</f>
        <v>2.012197199999997</v>
      </c>
      <c r="D35" s="22">
        <f>[17]Alta_tek!C23/1000000</f>
        <v>2.1015249500000008</v>
      </c>
      <c r="E35" s="22">
        <f t="shared" si="1"/>
        <v>4.439313900248143</v>
      </c>
      <c r="F35" s="22">
        <f t="shared" si="2"/>
        <v>2.0552467776072357E-2</v>
      </c>
      <c r="G35" s="22">
        <f>[17]Alta_tek!D23/1000000</f>
        <v>6.857160000000001E-2</v>
      </c>
      <c r="H35" s="22">
        <f>[17]Alta_tek!E23/1000000</f>
        <v>0.17377010999999998</v>
      </c>
      <c r="I35" s="22">
        <f t="shared" si="3"/>
        <v>153.41411021472439</v>
      </c>
      <c r="J35" s="22">
        <f t="shared" si="4"/>
        <v>1.7250010634502735E-2</v>
      </c>
      <c r="K35" s="16"/>
    </row>
    <row r="36" spans="1:13">
      <c r="A36" s="14"/>
      <c r="B36" s="9" t="str">
        <f>+[17]Alta_tek!A24</f>
        <v>Sucre</v>
      </c>
      <c r="C36" s="22">
        <f>[17]Alta_tek!B24/1000000</f>
        <v>0.30311032999999987</v>
      </c>
      <c r="D36" s="22">
        <f>[17]Alta_tek!C24/1000000</f>
        <v>1.3205525500000006</v>
      </c>
      <c r="E36" s="22">
        <f t="shared" si="1"/>
        <v>335.66728656195954</v>
      </c>
      <c r="F36" s="22">
        <f t="shared" si="2"/>
        <v>1.2914723534681415E-2</v>
      </c>
      <c r="G36" s="22">
        <f>[17]Alta_tek!D24/1000000</f>
        <v>2.250986E-2</v>
      </c>
      <c r="H36" s="22">
        <f>[17]Alta_tek!E24/1000000</f>
        <v>1.7048799999999999E-2</v>
      </c>
      <c r="I36" s="22">
        <f t="shared" si="3"/>
        <v>-24.260746179674154</v>
      </c>
      <c r="J36" s="22">
        <f t="shared" si="4"/>
        <v>1.6924198373673711E-3</v>
      </c>
      <c r="K36" s="16"/>
    </row>
    <row r="37" spans="1:13">
      <c r="A37" s="14"/>
      <c r="B37" s="9" t="str">
        <f>+[17]Alta_tek!A25</f>
        <v>San Andrés</v>
      </c>
      <c r="C37" s="22">
        <f>[17]Alta_tek!B25/1000000</f>
        <v>3.8237659999999993E-2</v>
      </c>
      <c r="D37" s="22">
        <f>[17]Alta_tek!C25/1000000</f>
        <v>0.94970299999999996</v>
      </c>
      <c r="E37" s="22">
        <f t="shared" si="1"/>
        <v>2383.6849326030938</v>
      </c>
      <c r="F37" s="22">
        <f t="shared" si="2"/>
        <v>9.2878936813665901E-3</v>
      </c>
      <c r="G37" s="22">
        <f>[17]Alta_tek!D25/1000000</f>
        <v>0</v>
      </c>
      <c r="H37" s="22">
        <f>[17]Alta_tek!E25/1000000</f>
        <v>1.9837500000000001E-2</v>
      </c>
      <c r="I37" s="22" t="str">
        <f t="shared" si="3"/>
        <v/>
      </c>
      <c r="J37" s="22">
        <f t="shared" si="4"/>
        <v>1.9692517082595391E-3</v>
      </c>
      <c r="K37" s="16"/>
    </row>
    <row r="38" spans="1:13">
      <c r="A38" s="14"/>
      <c r="B38" s="9" t="str">
        <f>+[17]Alta_tek!A26</f>
        <v>Aráuca</v>
      </c>
      <c r="C38" s="22">
        <f>[17]Alta_tek!B26/1000000</f>
        <v>0.54398429000000004</v>
      </c>
      <c r="D38" s="22">
        <f>[17]Alta_tek!C26/1000000</f>
        <v>0.25054437000000002</v>
      </c>
      <c r="E38" s="22">
        <f t="shared" si="1"/>
        <v>-53.942719559051966</v>
      </c>
      <c r="F38" s="22">
        <f t="shared" si="2"/>
        <v>2.4502707383518563E-3</v>
      </c>
      <c r="G38" s="22">
        <f>[17]Alta_tek!D26/1000000</f>
        <v>1.0295229999999999E-2</v>
      </c>
      <c r="H38" s="22">
        <f>[17]Alta_tek!E26/1000000</f>
        <v>5.5837700000000001E-3</v>
      </c>
      <c r="I38" s="22">
        <f t="shared" si="3"/>
        <v>-45.763523495832523</v>
      </c>
      <c r="J38" s="22">
        <f t="shared" si="4"/>
        <v>5.5429608625221763E-4</v>
      </c>
      <c r="K38" s="16"/>
    </row>
    <row r="39" spans="1:13">
      <c r="A39" s="14"/>
      <c r="B39" s="9" t="str">
        <f>+[17]Alta_tek!A27</f>
        <v>Caquetá</v>
      </c>
      <c r="C39" s="22">
        <f>[17]Alta_tek!B27/1000000</f>
        <v>0.12415917999999998</v>
      </c>
      <c r="D39" s="22">
        <f>[17]Alta_tek!C27/1000000</f>
        <v>0.14943453000000001</v>
      </c>
      <c r="E39" s="22">
        <f t="shared" si="1"/>
        <v>20.35721402154882</v>
      </c>
      <c r="F39" s="22">
        <f t="shared" si="2"/>
        <v>1.4614379726767064E-3</v>
      </c>
      <c r="G39" s="22">
        <f>[17]Alta_tek!D27/1000000</f>
        <v>4.6725899999999999E-3</v>
      </c>
      <c r="H39" s="22">
        <f>[17]Alta_tek!E27/1000000</f>
        <v>7.4533799999999999E-3</v>
      </c>
      <c r="I39" s="22">
        <f t="shared" si="3"/>
        <v>59.512818372679831</v>
      </c>
      <c r="J39" s="22">
        <f t="shared" si="4"/>
        <v>7.3989067661285363E-4</v>
      </c>
      <c r="K39" s="16"/>
    </row>
    <row r="40" spans="1:13">
      <c r="A40" s="14"/>
      <c r="B40" s="9" t="str">
        <f>+[17]Alta_tek!A28</f>
        <v>Vichada</v>
      </c>
      <c r="C40" s="22">
        <f>[17]Alta_tek!B28/1000000</f>
        <v>9.2752080000000001E-2</v>
      </c>
      <c r="D40" s="22">
        <f>[17]Alta_tek!C28/1000000</f>
        <v>0.12769397999999998</v>
      </c>
      <c r="E40" s="22">
        <f t="shared" si="1"/>
        <v>37.672362711434594</v>
      </c>
      <c r="F40" s="22">
        <f t="shared" si="2"/>
        <v>1.2488200100352969E-3</v>
      </c>
      <c r="G40" s="22">
        <f>[17]Alta_tek!D28/1000000</f>
        <v>0</v>
      </c>
      <c r="H40" s="22">
        <f>[17]Alta_tek!E28/1000000</f>
        <v>1.5395599999999999E-3</v>
      </c>
      <c r="I40" s="22" t="str">
        <f t="shared" si="3"/>
        <v/>
      </c>
      <c r="J40" s="22">
        <f t="shared" si="4"/>
        <v>1.5283080831597005E-4</v>
      </c>
      <c r="K40" s="16"/>
    </row>
    <row r="41" spans="1:13">
      <c r="A41" s="14"/>
      <c r="B41" s="9" t="str">
        <f>+[17]Alta_tek!A29</f>
        <v>Putumayo</v>
      </c>
      <c r="C41" s="22">
        <f>[17]Alta_tek!B29/1000000</f>
        <v>7.7074720000000013E-2</v>
      </c>
      <c r="D41" s="22">
        <f>[17]Alta_tek!C29/1000000</f>
        <v>8.1065080000000012E-2</v>
      </c>
      <c r="E41" s="22">
        <f t="shared" si="1"/>
        <v>5.1772617532700682</v>
      </c>
      <c r="F41" s="22">
        <f t="shared" si="2"/>
        <v>7.9279926915201617E-4</v>
      </c>
      <c r="G41" s="22">
        <f>[17]Alta_tek!D29/1000000</f>
        <v>9.3311699999999997E-3</v>
      </c>
      <c r="H41" s="22">
        <f>[17]Alta_tek!E29/1000000</f>
        <v>0</v>
      </c>
      <c r="I41" s="22" t="str">
        <f t="shared" si="3"/>
        <v/>
      </c>
      <c r="J41" s="22">
        <f t="shared" si="4"/>
        <v>0</v>
      </c>
      <c r="K41" s="16"/>
    </row>
    <row r="42" spans="1:13">
      <c r="A42" s="14"/>
      <c r="B42" s="9" t="str">
        <f>+[17]Alta_tek!A30</f>
        <v>Amazonas</v>
      </c>
      <c r="C42" s="22">
        <f>[17]Alta_tek!B30/1000000</f>
        <v>2.243585E-2</v>
      </c>
      <c r="D42" s="22">
        <f>[17]Alta_tek!C30/1000000</f>
        <v>5.319981E-2</v>
      </c>
      <c r="E42" s="22">
        <f t="shared" si="1"/>
        <v>137.11965448155522</v>
      </c>
      <c r="F42" s="22">
        <f t="shared" si="2"/>
        <v>5.2028284542525731E-4</v>
      </c>
      <c r="G42" s="22">
        <f>[17]Alta_tek!D30/1000000</f>
        <v>0</v>
      </c>
      <c r="H42" s="22">
        <f>[17]Alta_tek!E30/1000000</f>
        <v>8.210000000000001E-6</v>
      </c>
      <c r="I42" s="22" t="str">
        <f t="shared" si="3"/>
        <v/>
      </c>
      <c r="J42" s="22">
        <f t="shared" si="4"/>
        <v>8.1499969879323587E-7</v>
      </c>
      <c r="K42" s="16"/>
    </row>
    <row r="43" spans="1:13">
      <c r="A43" s="14"/>
      <c r="B43" s="9" t="str">
        <f>+[17]Alta_tek!A31</f>
        <v>Chocó</v>
      </c>
      <c r="C43" s="22">
        <f>[17]Alta_tek!B31/1000000</f>
        <v>8.111467E-2</v>
      </c>
      <c r="D43" s="22">
        <f>[17]Alta_tek!C31/1000000</f>
        <v>6.9367999999999982E-3</v>
      </c>
      <c r="E43" s="22">
        <f t="shared" ref="E43" si="5">IF(OR(OR(D43=0,C43=0),D43=""),"",(D43/C43-1)*100)</f>
        <v>-91.44815604871475</v>
      </c>
      <c r="F43" s="22">
        <f t="shared" ref="F43" si="6">(D43/D$13)*100</f>
        <v>6.7840431049395167E-5</v>
      </c>
      <c r="G43" s="22">
        <f>[17]Alta_tek!D31/1000000</f>
        <v>0</v>
      </c>
      <c r="H43" s="22">
        <f>[17]Alta_tek!E31/1000000</f>
        <v>0</v>
      </c>
      <c r="I43" s="22" t="str">
        <f t="shared" ref="I43" si="7">IF(OR(OR(H43=0,G43=0),H43=""),"",(H43/G43-1)*100)</f>
        <v/>
      </c>
      <c r="J43" s="22">
        <f t="shared" ref="J43" si="8">(H43/H$13)*100</f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tr">
        <f>IF(F44="","",1)</f>
        <v/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2011-12-05T19:09:16Z</cp:lastPrinted>
  <dcterms:created xsi:type="dcterms:W3CDTF">2009-04-02T15:53:30Z</dcterms:created>
  <dcterms:modified xsi:type="dcterms:W3CDTF">2012-01-25T21:48:02Z</dcterms:modified>
</cp:coreProperties>
</file>