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38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externalLinks/externalLink27.xml" ContentType="application/vnd.openxmlformats-officedocument.spreadsheetml.externalLink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34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externalLinks/externalLink23.xml" ContentType="application/vnd.openxmlformats-officedocument.spreadsheetml.externalLink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30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28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24.xml" ContentType="application/vnd.openxmlformats-officedocument.spreadsheetml.externalLink+xml"/>
  <Override PartName="/xl/externalLinks/externalLink35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externalLinks/externalLink20.xml" ContentType="application/vnd.openxmlformats-officedocument.spreadsheetml.externalLink+xml"/>
  <Override PartName="/xl/externalLinks/externalLink31.xml" ContentType="application/vnd.openxmlformats-officedocument.spreadsheetml.externalLink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36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externalLinks/externalLink25.xml" ContentType="application/vnd.openxmlformats-officedocument.spreadsheetml.externalLink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32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37.xml" ContentType="application/vnd.openxmlformats-officedocument.spreadsheetml.externalLink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26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externalLinks/externalLink33.xml" ContentType="application/vnd.openxmlformats-officedocument.spreadsheetml.externalLink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5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52" activeTab="57"/>
  </bookViews>
  <sheets>
    <sheet name="Índice" sheetId="15" r:id="rId1"/>
    <sheet name="Comparativa balanza países" sheetId="68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rtaciones Ecuador" sheetId="103" r:id="rId32"/>
    <sheet name="Histórico Ecuador primarios" sheetId="114" r:id="rId33"/>
    <sheet name="Histórico Ecuador rec naturales" sheetId="115" r:id="rId34"/>
    <sheet name="Histórico Ecuador baja tek" sheetId="116" r:id="rId35"/>
    <sheet name="Histórico Ecuador media tek" sheetId="117" r:id="rId36"/>
    <sheet name="Histórico Ecuador alta tek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Perú" sheetId="105" r:id="rId44"/>
    <sheet name="Histórico expo México" sheetId="106" r:id="rId45"/>
    <sheet name="Histórico productos quimicos" sheetId="133" r:id="rId46"/>
    <sheet name="Histórico productos agricultura" sheetId="134" r:id="rId47"/>
    <sheet name="Histórico alimentos" sheetId="135" r:id="rId48"/>
    <sheet name="Histórico equipos transporte" sheetId="136" r:id="rId49"/>
    <sheet name="Histórico textiles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7">#REF!</definedName>
    <definedName name="\a" localSheetId="20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48">#REF!</definedName>
    <definedName name="\a" localSheetId="18">#REF!</definedName>
    <definedName name="\a" localSheetId="19">#REF!</definedName>
    <definedName name="\a" localSheetId="44">#REF!</definedName>
    <definedName name="\a" localSheetId="17">#REF!</definedName>
    <definedName name="\a" localSheetId="43">#REF!</definedName>
    <definedName name="\a" localSheetId="16">#REF!</definedName>
    <definedName name="\a" localSheetId="37">#REF!</definedName>
    <definedName name="\a" localSheetId="15">#REF!</definedName>
    <definedName name="\a" localSheetId="31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6">#REF!</definedName>
    <definedName name="\a" localSheetId="45">#REF!</definedName>
    <definedName name="\a" localSheetId="4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7">#REF!</definedName>
    <definedName name="\y" localSheetId="20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48">#REF!</definedName>
    <definedName name="\y" localSheetId="18">#REF!</definedName>
    <definedName name="\y" localSheetId="19">#REF!</definedName>
    <definedName name="\y" localSheetId="44">#REF!</definedName>
    <definedName name="\y" localSheetId="17">#REF!</definedName>
    <definedName name="\y" localSheetId="43">#REF!</definedName>
    <definedName name="\y" localSheetId="16">#REF!</definedName>
    <definedName name="\y" localSheetId="37">#REF!</definedName>
    <definedName name="\y" localSheetId="15">#REF!</definedName>
    <definedName name="\y" localSheetId="31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6">#REF!</definedName>
    <definedName name="\y" localSheetId="45">#REF!</definedName>
    <definedName name="\y" localSheetId="4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7">#REF!</definedName>
    <definedName name="\z" localSheetId="20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48">#REF!</definedName>
    <definedName name="\z" localSheetId="18">#REF!</definedName>
    <definedName name="\z" localSheetId="19">#REF!</definedName>
    <definedName name="\z" localSheetId="44">#REF!</definedName>
    <definedName name="\z" localSheetId="17">#REF!</definedName>
    <definedName name="\z" localSheetId="43">#REF!</definedName>
    <definedName name="\z" localSheetId="16">#REF!</definedName>
    <definedName name="\z" localSheetId="37">#REF!</definedName>
    <definedName name="\z" localSheetId="15">#REF!</definedName>
    <definedName name="\z" localSheetId="31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6">#REF!</definedName>
    <definedName name="\z" localSheetId="45">#REF!</definedName>
    <definedName name="\z" localSheetId="4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7">#REF!</definedName>
    <definedName name="_C" localSheetId="20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48">#REF!</definedName>
    <definedName name="_C" localSheetId="18">#REF!</definedName>
    <definedName name="_C" localSheetId="19">#REF!</definedName>
    <definedName name="_C" localSheetId="44">#REF!</definedName>
    <definedName name="_C" localSheetId="17">#REF!</definedName>
    <definedName name="_C" localSheetId="43">#REF!</definedName>
    <definedName name="_C" localSheetId="16">#REF!</definedName>
    <definedName name="_C" localSheetId="37">#REF!</definedName>
    <definedName name="_C" localSheetId="15">#REF!</definedName>
    <definedName name="_C" localSheetId="31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6">#REF!</definedName>
    <definedName name="_C" localSheetId="45">#REF!</definedName>
    <definedName name="_C" localSheetId="49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7" hidden="1">#REF!</definedName>
    <definedName name="_Fill" localSheetId="20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48" hidden="1">#REF!</definedName>
    <definedName name="_Fill" localSheetId="18" hidden="1">#REF!</definedName>
    <definedName name="_Fill" localSheetId="19" hidden="1">#REF!</definedName>
    <definedName name="_Fill" localSheetId="44" hidden="1">#REF!</definedName>
    <definedName name="_Fill" localSheetId="17" hidden="1">#REF!</definedName>
    <definedName name="_Fill" localSheetId="43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31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6" hidden="1">#REF!</definedName>
    <definedName name="_Fill" localSheetId="45" hidden="1">#REF!</definedName>
    <definedName name="_Fill" localSheetId="4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7" hidden="1">#REF!</definedName>
    <definedName name="_Key1" localSheetId="20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48" hidden="1">#REF!</definedName>
    <definedName name="_Key1" localSheetId="18" hidden="1">#REF!</definedName>
    <definedName name="_Key1" localSheetId="19" hidden="1">#REF!</definedName>
    <definedName name="_Key1" localSheetId="44" hidden="1">#REF!</definedName>
    <definedName name="_Key1" localSheetId="17" hidden="1">#REF!</definedName>
    <definedName name="_Key1" localSheetId="43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31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6" hidden="1">#REF!</definedName>
    <definedName name="_Key1" localSheetId="45" hidden="1">#REF!</definedName>
    <definedName name="_Key1" localSheetId="4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7" hidden="1">#REF!</definedName>
    <definedName name="_Sort" localSheetId="20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48" hidden="1">#REF!</definedName>
    <definedName name="_Sort" localSheetId="18" hidden="1">#REF!</definedName>
    <definedName name="_Sort" localSheetId="19" hidden="1">#REF!</definedName>
    <definedName name="_Sort" localSheetId="44" hidden="1">#REF!</definedName>
    <definedName name="_Sort" localSheetId="17" hidden="1">#REF!</definedName>
    <definedName name="_Sort" localSheetId="43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31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6" hidden="1">#REF!</definedName>
    <definedName name="_Sort" localSheetId="45" hidden="1">#REF!</definedName>
    <definedName name="_Sort" localSheetId="4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7" hidden="1">#REF!</definedName>
    <definedName name="_Table1_In1" localSheetId="20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48" hidden="1">#REF!</definedName>
    <definedName name="_Table1_In1" localSheetId="18" hidden="1">#REF!</definedName>
    <definedName name="_Table1_In1" localSheetId="19" hidden="1">#REF!</definedName>
    <definedName name="_Table1_In1" localSheetId="44" hidden="1">#REF!</definedName>
    <definedName name="_Table1_In1" localSheetId="17" hidden="1">#REF!</definedName>
    <definedName name="_Table1_In1" localSheetId="43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31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6" hidden="1">#REF!</definedName>
    <definedName name="_Table1_In1" localSheetId="45" hidden="1">#REF!</definedName>
    <definedName name="_Table1_In1" localSheetId="49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7" hidden="1">#REF!</definedName>
    <definedName name="_Table1_Out" localSheetId="20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48" hidden="1">#REF!</definedName>
    <definedName name="_Table1_Out" localSheetId="18" hidden="1">#REF!</definedName>
    <definedName name="_Table1_Out" localSheetId="19" hidden="1">#REF!</definedName>
    <definedName name="_Table1_Out" localSheetId="44" hidden="1">#REF!</definedName>
    <definedName name="_Table1_Out" localSheetId="17" hidden="1">#REF!</definedName>
    <definedName name="_Table1_Out" localSheetId="43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31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6" hidden="1">#REF!</definedName>
    <definedName name="_Table1_Out" localSheetId="45" hidden="1">#REF!</definedName>
    <definedName name="_Table1_Out" localSheetId="49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7">#REF!</definedName>
    <definedName name="_TBL3" localSheetId="20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48">#REF!</definedName>
    <definedName name="_TBL3" localSheetId="18">#REF!</definedName>
    <definedName name="_TBL3" localSheetId="19">#REF!</definedName>
    <definedName name="_TBL3" localSheetId="44">#REF!</definedName>
    <definedName name="_TBL3" localSheetId="17">#REF!</definedName>
    <definedName name="_TBL3" localSheetId="43">#REF!</definedName>
    <definedName name="_TBL3" localSheetId="16">#REF!</definedName>
    <definedName name="_TBL3" localSheetId="37">#REF!</definedName>
    <definedName name="_TBL3" localSheetId="15">#REF!</definedName>
    <definedName name="_TBL3" localSheetId="31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6">#REF!</definedName>
    <definedName name="_TBL3" localSheetId="45">#REF!</definedName>
    <definedName name="_TBL3" localSheetId="49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7">[1]BASE!#REF!</definedName>
    <definedName name="a" localSheetId="20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48">[1]BASE!#REF!</definedName>
    <definedName name="a" localSheetId="18">[1]BASE!#REF!</definedName>
    <definedName name="a" localSheetId="19">[1]BASE!#REF!</definedName>
    <definedName name="a" localSheetId="44">[1]BASE!#REF!</definedName>
    <definedName name="a" localSheetId="17">[1]BASE!#REF!</definedName>
    <definedName name="a" localSheetId="43">[1]BASE!#REF!</definedName>
    <definedName name="a" localSheetId="16">[1]BASE!#REF!</definedName>
    <definedName name="a" localSheetId="37">[1]BASE!#REF!</definedName>
    <definedName name="a" localSheetId="31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6">[1]BASE!#REF!</definedName>
    <definedName name="a" localSheetId="45">[1]BASE!#REF!</definedName>
    <definedName name="a" localSheetId="49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7">#REF!</definedName>
    <definedName name="A_IMPRESIÓN_IM" localSheetId="20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48">#REF!</definedName>
    <definedName name="A_IMPRESIÓN_IM" localSheetId="18">#REF!</definedName>
    <definedName name="A_IMPRESIÓN_IM" localSheetId="19">#REF!</definedName>
    <definedName name="A_IMPRESIÓN_IM" localSheetId="44">#REF!</definedName>
    <definedName name="A_IMPRESIÓN_IM" localSheetId="17">#REF!</definedName>
    <definedName name="A_IMPRESIÓN_IM" localSheetId="43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31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6">#REF!</definedName>
    <definedName name="A_IMPRESIÓN_IM" localSheetId="45">#REF!</definedName>
    <definedName name="A_IMPRESIÓN_IM" localSheetId="49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7">'[2]ipc indice 2'!$L$1:$L$311</definedName>
    <definedName name="ABR._89" localSheetId="20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48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44">'[2]ipc indice 2'!$L$1:$L$311</definedName>
    <definedName name="ABR._89" localSheetId="17">'[2]ipc indice 2'!$L$1:$L$311</definedName>
    <definedName name="ABR._89" localSheetId="43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6">'[2]ipc indice 2'!$L$1:$L$311</definedName>
    <definedName name="ABR._89" localSheetId="45">'[2]ipc indice 2'!$L$1:$L$311</definedName>
    <definedName name="ABR._89" localSheetId="49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7">'[2]ipc indice 2'!$P$1:$P$311</definedName>
    <definedName name="AGO._89" localSheetId="20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48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44">'[2]ipc indice 2'!$P$1:$P$311</definedName>
    <definedName name="AGO._89" localSheetId="17">'[2]ipc indice 2'!$P$1:$P$311</definedName>
    <definedName name="AGO._89" localSheetId="43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6">'[2]ipc indice 2'!$P$1:$P$311</definedName>
    <definedName name="AGO._89" localSheetId="45">'[2]ipc indice 2'!$P$1:$P$311</definedName>
    <definedName name="AGO._89" localSheetId="49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7">#REF!</definedName>
    <definedName name="AÑO" localSheetId="20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48">#REF!</definedName>
    <definedName name="AÑO" localSheetId="18">#REF!</definedName>
    <definedName name="AÑO" localSheetId="19">#REF!</definedName>
    <definedName name="AÑO" localSheetId="44">#REF!</definedName>
    <definedName name="AÑO" localSheetId="17">#REF!</definedName>
    <definedName name="AÑO" localSheetId="43">#REF!</definedName>
    <definedName name="AÑO" localSheetId="16">#REF!</definedName>
    <definedName name="AÑO" localSheetId="37">#REF!</definedName>
    <definedName name="AÑO" localSheetId="15">#REF!</definedName>
    <definedName name="AÑO" localSheetId="31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6">#REF!</definedName>
    <definedName name="AÑO" localSheetId="45">#REF!</definedName>
    <definedName name="AÑO" localSheetId="49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tek'!$A$1:$K$48</definedName>
    <definedName name="_xlnm.Print_Area" localSheetId="53">'% expo bienes primarios'!$A$1:$K$47</definedName>
    <definedName name="_xlnm.Print_Area" localSheetId="54">'% expo rec naturales'!$A$1:$K$47</definedName>
    <definedName name="_xlnm.Print_Area" localSheetId="57">'% expo tek alta'!$A$1:$K$44</definedName>
    <definedName name="_xlnm.Print_Area" localSheetId="56">'% expo tek media'!$A$1:$K$47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tradicionales'!$A$1:$K$42</definedName>
    <definedName name="_xlnm.Print_Area" localSheetId="1">'Comparativa balanza países'!$A$1:$J$35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manufacturas'!$A$1:$K$45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naturales'!$A$1:$K$46</definedName>
    <definedName name="_xlnm.Print_Area" localSheetId="47">'Histórico alimentos'!$A$1:$L$45</definedName>
    <definedName name="_xlnm.Print_Area" localSheetId="20">'Histórico basadas recursos nat'!$A$1:$L$45</definedName>
    <definedName name="_xlnm.Print_Area" localSheetId="36">'Histórico Ecuador alta tek'!$A$1:$L$45</definedName>
    <definedName name="_xlnm.Print_Area" localSheetId="34">'Histórico Ecuador baja tek'!$A$1:$L$45</definedName>
    <definedName name="_xlnm.Print_Area" localSheetId="35">'Histórico Ecuador media tek'!$A$1:$L$45</definedName>
    <definedName name="_xlnm.Print_Area" localSheetId="32">'Histórico Ecuador primarios'!$A$1:$L$45</definedName>
    <definedName name="_xlnm.Print_Area" localSheetId="33">'Histórico Ecuador rec naturales'!$A$1:$L$45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48">'Histórico equipos transporte'!$A$1:$L$45</definedName>
    <definedName name="_xlnm.Print_Area" localSheetId="18">'Histórico expo bienes primarios'!$A$1:$L$45</definedName>
    <definedName name="_xlnm.Print_Area" localSheetId="19">'Histórico expo manufacturas'!$A$1:$L$45</definedName>
    <definedName name="_xlnm.Print_Area" localSheetId="44">'Histórico expo México'!$A$1:$L$45</definedName>
    <definedName name="_xlnm.Print_Area" localSheetId="17">'Histórico expo no tradicional'!$A$1:$L$45</definedName>
    <definedName name="_xlnm.Print_Area" localSheetId="43">'Histórico expo Perú'!$A$1:$L$45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31">'Histórico exportaciones Ecuador'!$A$1:$L$45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6">'Histórico productos agricultura'!$A$1:$L$45</definedName>
    <definedName name="_xlnm.Print_Area" localSheetId="45">'Histórico productos quimicos'!$A$1:$L$45</definedName>
    <definedName name="_xlnm.Print_Area" localSheetId="49">'Histórico textiles'!$A$1:$L$45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Reducción'!$A$1:$K$44</definedName>
    <definedName name="_xlnm.Print_Area" localSheetId="4">'Por país de destino con Aumento'!$A$1:$K$49</definedName>
    <definedName name="_xlnm.Print_Area" localSheetId="13">'Resumen actividades economicas'!$A$1:$K$50</definedName>
    <definedName name="_xlnm.Print_Area" localSheetId="5">'Resumen expo pais destino'!$A$1:$K$46</definedName>
    <definedName name="_xlnm.Print_Area" localSheetId="12">'Resumen exportaciones aduana'!$A$1:$K$44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7">#REF!</definedName>
    <definedName name="BASE" localSheetId="20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48">#REF!</definedName>
    <definedName name="BASE" localSheetId="18">#REF!</definedName>
    <definedName name="BASE" localSheetId="19">#REF!</definedName>
    <definedName name="BASE" localSheetId="44">#REF!</definedName>
    <definedName name="BASE" localSheetId="17">#REF!</definedName>
    <definedName name="BASE" localSheetId="43">#REF!</definedName>
    <definedName name="BASE" localSheetId="16">#REF!</definedName>
    <definedName name="BASE" localSheetId="37">#REF!</definedName>
    <definedName name="BASE" localSheetId="15">#REF!</definedName>
    <definedName name="BASE" localSheetId="31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6">#REF!</definedName>
    <definedName name="BASE" localSheetId="45">#REF!</definedName>
    <definedName name="BASE" localSheetId="49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7">[5]BASE!#REF!</definedName>
    <definedName name="_xlnm.Database" localSheetId="20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48">[5]BASE!#REF!</definedName>
    <definedName name="_xlnm.Database" localSheetId="18">[5]BASE!#REF!</definedName>
    <definedName name="_xlnm.Database" localSheetId="19">[5]BASE!#REF!</definedName>
    <definedName name="_xlnm.Database" localSheetId="44">[5]BASE!#REF!</definedName>
    <definedName name="_xlnm.Database" localSheetId="17">[5]BASE!#REF!</definedName>
    <definedName name="_xlnm.Database" localSheetId="43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31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6">[5]BASE!#REF!</definedName>
    <definedName name="_xlnm.Database" localSheetId="45">[5]BASE!#REF!</definedName>
    <definedName name="_xlnm.Database" localSheetId="49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7">#REF!</definedName>
    <definedName name="BasePermanentes" localSheetId="20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48">#REF!</definedName>
    <definedName name="BasePermanentes" localSheetId="18">#REF!</definedName>
    <definedName name="BasePermanentes" localSheetId="19">#REF!</definedName>
    <definedName name="BasePermanentes" localSheetId="44">#REF!</definedName>
    <definedName name="BasePermanentes" localSheetId="17">#REF!</definedName>
    <definedName name="BasePermanentes" localSheetId="43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31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6">#REF!</definedName>
    <definedName name="BasePermanentes" localSheetId="45">#REF!</definedName>
    <definedName name="BasePermanentes" localSheetId="49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7">#REF!</definedName>
    <definedName name="BASETRANSITORIOS" localSheetId="20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48">#REF!</definedName>
    <definedName name="BASETRANSITORIOS" localSheetId="18">#REF!</definedName>
    <definedName name="BASETRANSITORIOS" localSheetId="19">#REF!</definedName>
    <definedName name="BASETRANSITORIOS" localSheetId="44">#REF!</definedName>
    <definedName name="BASETRANSITORIOS" localSheetId="17">#REF!</definedName>
    <definedName name="BASETRANSITORIOS" localSheetId="43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31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6">#REF!</definedName>
    <definedName name="BASETRANSITORIOS" localSheetId="45">#REF!</definedName>
    <definedName name="BASETRANSITORIOS" localSheetId="49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7">#REF!</definedName>
    <definedName name="BASETRANSITORIOS1" localSheetId="20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48">#REF!</definedName>
    <definedName name="BASETRANSITORIOS1" localSheetId="18">#REF!</definedName>
    <definedName name="BASETRANSITORIOS1" localSheetId="19">#REF!</definedName>
    <definedName name="BASETRANSITORIOS1" localSheetId="44">#REF!</definedName>
    <definedName name="BASETRANSITORIOS1" localSheetId="17">#REF!</definedName>
    <definedName name="BASETRANSITORIOS1" localSheetId="43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31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6">#REF!</definedName>
    <definedName name="BASETRANSITORIOS1" localSheetId="45">#REF!</definedName>
    <definedName name="BASETRANSITORIOS1" localSheetId="49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7">#REF!</definedName>
    <definedName name="BaseTransitorios2" localSheetId="20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48">#REF!</definedName>
    <definedName name="BaseTransitorios2" localSheetId="18">#REF!</definedName>
    <definedName name="BaseTransitorios2" localSheetId="19">#REF!</definedName>
    <definedName name="BaseTransitorios2" localSheetId="44">#REF!</definedName>
    <definedName name="BaseTransitorios2" localSheetId="17">#REF!</definedName>
    <definedName name="BaseTransitorios2" localSheetId="43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31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6">#REF!</definedName>
    <definedName name="BaseTransitorios2" localSheetId="45">#REF!</definedName>
    <definedName name="BaseTransitorios2" localSheetId="49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7">#REF!</definedName>
    <definedName name="BaseTransitorios3" localSheetId="20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48">#REF!</definedName>
    <definedName name="BaseTransitorios3" localSheetId="18">#REF!</definedName>
    <definedName name="BaseTransitorios3" localSheetId="19">#REF!</definedName>
    <definedName name="BaseTransitorios3" localSheetId="44">#REF!</definedName>
    <definedName name="BaseTransitorios3" localSheetId="17">#REF!</definedName>
    <definedName name="BaseTransitorios3" localSheetId="43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31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6">#REF!</definedName>
    <definedName name="BaseTransitorios3" localSheetId="45">#REF!</definedName>
    <definedName name="BaseTransitorios3" localSheetId="49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7">#REF!</definedName>
    <definedName name="CRIT" localSheetId="20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48">#REF!</definedName>
    <definedName name="CRIT" localSheetId="18">#REF!</definedName>
    <definedName name="CRIT" localSheetId="19">#REF!</definedName>
    <definedName name="CRIT" localSheetId="44">#REF!</definedName>
    <definedName name="CRIT" localSheetId="17">#REF!</definedName>
    <definedName name="CRIT" localSheetId="43">#REF!</definedName>
    <definedName name="CRIT" localSheetId="16">#REF!</definedName>
    <definedName name="CRIT" localSheetId="37">#REF!</definedName>
    <definedName name="CRIT" localSheetId="15">#REF!</definedName>
    <definedName name="CRIT" localSheetId="31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6">#REF!</definedName>
    <definedName name="CRIT" localSheetId="45">#REF!</definedName>
    <definedName name="CRIT" localSheetId="49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7">'[2]ipc indice 2'!$H$1:$H$311</definedName>
    <definedName name="DIC._88" localSheetId="20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48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44">'[2]ipc indice 2'!$H$1:$H$311</definedName>
    <definedName name="DIC._88" localSheetId="17">'[2]ipc indice 2'!$H$1:$H$311</definedName>
    <definedName name="DIC._88" localSheetId="43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6">'[2]ipc indice 2'!$H$1:$H$311</definedName>
    <definedName name="DIC._88" localSheetId="45">'[2]ipc indice 2'!$H$1:$H$311</definedName>
    <definedName name="DIC._88" localSheetId="49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7">'[2]ipc indice 2'!$T$1:$T$311</definedName>
    <definedName name="DIC._89" localSheetId="20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48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44">'[2]ipc indice 2'!$T$1:$T$311</definedName>
    <definedName name="DIC._89" localSheetId="17">'[2]ipc indice 2'!$T$1:$T$311</definedName>
    <definedName name="DIC._89" localSheetId="43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6">'[2]ipc indice 2'!$T$1:$T$311</definedName>
    <definedName name="DIC._89" localSheetId="45">'[2]ipc indice 2'!$T$1:$T$311</definedName>
    <definedName name="DIC._89" localSheetId="49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7">'[2]ipc indice 2'!$I$1:$I$311</definedName>
    <definedName name="ENE._89" localSheetId="20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48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44">'[2]ipc indice 2'!$I$1:$I$311</definedName>
    <definedName name="ENE._89" localSheetId="17">'[2]ipc indice 2'!$I$1:$I$311</definedName>
    <definedName name="ENE._89" localSheetId="43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6">'[2]ipc indice 2'!$I$1:$I$311</definedName>
    <definedName name="ENE._89" localSheetId="45">'[2]ipc indice 2'!$I$1:$I$311</definedName>
    <definedName name="ENE._89" localSheetId="49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7">'[2]ipc indice 2'!$U$1:$U$311</definedName>
    <definedName name="ENE._90" localSheetId="20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48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44">'[2]ipc indice 2'!$U$1:$U$311</definedName>
    <definedName name="ENE._90" localSheetId="17">'[2]ipc indice 2'!$U$1:$U$311</definedName>
    <definedName name="ENE._90" localSheetId="43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6">'[2]ipc indice 2'!$U$1:$U$311</definedName>
    <definedName name="ENE._90" localSheetId="45">'[2]ipc indice 2'!$U$1:$U$311</definedName>
    <definedName name="ENE._90" localSheetId="49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7">'[2]ipc indice 2'!$J$1:$J$311</definedName>
    <definedName name="FEB._89" localSheetId="20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48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44">'[2]ipc indice 2'!$J$1:$J$311</definedName>
    <definedName name="FEB._89" localSheetId="17">'[2]ipc indice 2'!$J$1:$J$311</definedName>
    <definedName name="FEB._89" localSheetId="43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6">'[2]ipc indice 2'!$J$1:$J$311</definedName>
    <definedName name="FEB._89" localSheetId="45">'[2]ipc indice 2'!$J$1:$J$311</definedName>
    <definedName name="FEB._89" localSheetId="49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20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48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44" hidden="1">{"'Hoja1'!$A$2:$E$19"}</definedName>
    <definedName name="HTML_Control" localSheetId="17" hidden="1">{"'Hoja1'!$A$2:$E$19"}</definedName>
    <definedName name="HTML_Control" localSheetId="43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6" hidden="1">{"'Hoja1'!$A$2:$E$19"}</definedName>
    <definedName name="HTML_Control" localSheetId="45" hidden="1">{"'Hoja1'!$A$2:$E$19"}</definedName>
    <definedName name="HTML_Control" localSheetId="4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7">'[2]ipc indice 2'!$O$1:$O$311</definedName>
    <definedName name="JUL._89" localSheetId="20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48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44">'[2]ipc indice 2'!$O$1:$O$311</definedName>
    <definedName name="JUL._89" localSheetId="17">'[2]ipc indice 2'!$O$1:$O$311</definedName>
    <definedName name="JUL._89" localSheetId="43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6">'[2]ipc indice 2'!$O$1:$O$311</definedName>
    <definedName name="JUL._89" localSheetId="45">'[2]ipc indice 2'!$O$1:$O$311</definedName>
    <definedName name="JUL._89" localSheetId="49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7">'[2]ipc indice 2'!$N$1:$N$311</definedName>
    <definedName name="JUN._89" localSheetId="20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48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44">'[2]ipc indice 2'!$N$1:$N$311</definedName>
    <definedName name="JUN._89" localSheetId="17">'[2]ipc indice 2'!$N$1:$N$311</definedName>
    <definedName name="JUN._89" localSheetId="43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6">'[2]ipc indice 2'!$N$1:$N$311</definedName>
    <definedName name="JUN._89" localSheetId="45">'[2]ipc indice 2'!$N$1:$N$311</definedName>
    <definedName name="JUN._89" localSheetId="49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7">'[2]ipc indice 2'!$K$1:$K$311</definedName>
    <definedName name="MAR._89" localSheetId="20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48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44">'[2]ipc indice 2'!$K$1:$K$311</definedName>
    <definedName name="MAR._89" localSheetId="17">'[2]ipc indice 2'!$K$1:$K$311</definedName>
    <definedName name="MAR._89" localSheetId="43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6">'[2]ipc indice 2'!$K$1:$K$311</definedName>
    <definedName name="MAR._89" localSheetId="45">'[2]ipc indice 2'!$K$1:$K$311</definedName>
    <definedName name="MAR._89" localSheetId="49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7">'[2]ipc indice 2'!$M$1:$M$311</definedName>
    <definedName name="MAY._89" localSheetId="20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48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44">'[2]ipc indice 2'!$M$1:$M$311</definedName>
    <definedName name="MAY._89" localSheetId="17">'[2]ipc indice 2'!$M$1:$M$311</definedName>
    <definedName name="MAY._89" localSheetId="43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6">'[2]ipc indice 2'!$M$1:$M$311</definedName>
    <definedName name="MAY._89" localSheetId="45">'[2]ipc indice 2'!$M$1:$M$311</definedName>
    <definedName name="MAY._89" localSheetId="49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7">#REF!</definedName>
    <definedName name="MES" localSheetId="20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48">#REF!</definedName>
    <definedName name="MES" localSheetId="18">#REF!</definedName>
    <definedName name="MES" localSheetId="19">#REF!</definedName>
    <definedName name="MES" localSheetId="44">#REF!</definedName>
    <definedName name="MES" localSheetId="17">#REF!</definedName>
    <definedName name="MES" localSheetId="43">#REF!</definedName>
    <definedName name="MES" localSheetId="16">#REF!</definedName>
    <definedName name="MES" localSheetId="37">#REF!</definedName>
    <definedName name="MES" localSheetId="15">#REF!</definedName>
    <definedName name="MES" localSheetId="31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6">#REF!</definedName>
    <definedName name="MES" localSheetId="45">#REF!</definedName>
    <definedName name="MES" localSheetId="49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7">'[2]ipc indice 2'!$S$1:$S$311</definedName>
    <definedName name="NOV._89" localSheetId="20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48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44">'[2]ipc indice 2'!$S$1:$S$311</definedName>
    <definedName name="NOV._89" localSheetId="17">'[2]ipc indice 2'!$S$1:$S$311</definedName>
    <definedName name="NOV._89" localSheetId="43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6">'[2]ipc indice 2'!$S$1:$S$311</definedName>
    <definedName name="NOV._89" localSheetId="45">'[2]ipc indice 2'!$S$1:$S$311</definedName>
    <definedName name="NOV._89" localSheetId="49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7">#REF!</definedName>
    <definedName name="OCT._89" localSheetId="20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48">#REF!</definedName>
    <definedName name="OCT._89" localSheetId="18">#REF!</definedName>
    <definedName name="OCT._89" localSheetId="19">#REF!</definedName>
    <definedName name="OCT._89" localSheetId="44">#REF!</definedName>
    <definedName name="OCT._89" localSheetId="17">#REF!</definedName>
    <definedName name="OCT._89" localSheetId="43">#REF!</definedName>
    <definedName name="OCT._89" localSheetId="16">#REF!</definedName>
    <definedName name="OCT._89" localSheetId="37">#REF!</definedName>
    <definedName name="OCT._89" localSheetId="15">#REF!</definedName>
    <definedName name="OCT._89" localSheetId="31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6">#REF!</definedName>
    <definedName name="OCT._89" localSheetId="45">#REF!</definedName>
    <definedName name="OCT._89" localSheetId="4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7">#REF!</definedName>
    <definedName name="s" localSheetId="20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48">#REF!</definedName>
    <definedName name="s" localSheetId="18">#REF!</definedName>
    <definedName name="s" localSheetId="19">#REF!</definedName>
    <definedName name="s" localSheetId="44">#REF!</definedName>
    <definedName name="s" localSheetId="17">#REF!</definedName>
    <definedName name="s" localSheetId="43">#REF!</definedName>
    <definedName name="s" localSheetId="16">#REF!</definedName>
    <definedName name="s" localSheetId="37">#REF!</definedName>
    <definedName name="s" localSheetId="15">#REF!</definedName>
    <definedName name="s" localSheetId="31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6">#REF!</definedName>
    <definedName name="s" localSheetId="45">#REF!</definedName>
    <definedName name="s" localSheetId="49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7">'[2]ipc indice 2'!$Q$1:$Q$311</definedName>
    <definedName name="SEP._89" localSheetId="20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48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44">'[2]ipc indice 2'!$Q$1:$Q$311</definedName>
    <definedName name="SEP._89" localSheetId="17">'[2]ipc indice 2'!$Q$1:$Q$311</definedName>
    <definedName name="SEP._89" localSheetId="43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6">'[2]ipc indice 2'!$Q$1:$Q$311</definedName>
    <definedName name="SEP._89" localSheetId="45">'[2]ipc indice 2'!$Q$1:$Q$311</definedName>
    <definedName name="SEP._89" localSheetId="49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7">[1]BASE!#REF!</definedName>
    <definedName name="sss" localSheetId="20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48">[1]BASE!#REF!</definedName>
    <definedName name="sss" localSheetId="18">[1]BASE!#REF!</definedName>
    <definedName name="sss" localSheetId="19">[1]BASE!#REF!</definedName>
    <definedName name="sss" localSheetId="44">[1]BASE!#REF!</definedName>
    <definedName name="sss" localSheetId="17">[1]BASE!#REF!</definedName>
    <definedName name="sss" localSheetId="43">[1]BASE!#REF!</definedName>
    <definedName name="sss" localSheetId="16">[1]BASE!#REF!</definedName>
    <definedName name="sss" localSheetId="37">[1]BASE!#REF!</definedName>
    <definedName name="sss" localSheetId="31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6">[1]BASE!#REF!</definedName>
    <definedName name="sss" localSheetId="45">[1]BASE!#REF!</definedName>
    <definedName name="sss" localSheetId="49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7">#REF!</definedName>
    <definedName name="z" localSheetId="20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48">#REF!</definedName>
    <definedName name="z" localSheetId="18">#REF!</definedName>
    <definedName name="z" localSheetId="19">#REF!</definedName>
    <definedName name="z" localSheetId="44">#REF!</definedName>
    <definedName name="z" localSheetId="17">#REF!</definedName>
    <definedName name="z" localSheetId="43">#REF!</definedName>
    <definedName name="z" localSheetId="16">#REF!</definedName>
    <definedName name="z" localSheetId="37">#REF!</definedName>
    <definedName name="z" localSheetId="15">#REF!</definedName>
    <definedName name="z" localSheetId="31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6">#REF!</definedName>
    <definedName name="z" localSheetId="45">#REF!</definedName>
    <definedName name="z" localSheetId="49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B14" i="101"/>
  <c r="C14"/>
  <c r="C13" s="1"/>
  <c r="D14"/>
  <c r="D13" s="1"/>
  <c r="G14"/>
  <c r="G13" s="1"/>
  <c r="H14"/>
  <c r="H13" s="1"/>
  <c r="B15"/>
  <c r="C15"/>
  <c r="D15"/>
  <c r="E15" s="1"/>
  <c r="G15"/>
  <c r="H15"/>
  <c r="I15" s="1"/>
  <c r="B16"/>
  <c r="C16"/>
  <c r="D16"/>
  <c r="E16" s="1"/>
  <c r="G16"/>
  <c r="H16"/>
  <c r="I16" s="1"/>
  <c r="B17"/>
  <c r="C17"/>
  <c r="D17"/>
  <c r="E17" s="1"/>
  <c r="G17"/>
  <c r="H17"/>
  <c r="I17" s="1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M43"/>
  <c r="B14" i="100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M46"/>
  <c r="B14" i="99"/>
  <c r="C14"/>
  <c r="D14"/>
  <c r="E14"/>
  <c r="G14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B45"/>
  <c r="C45"/>
  <c r="D45"/>
  <c r="E45" s="1"/>
  <c r="G45"/>
  <c r="H45"/>
  <c r="I45" s="1"/>
  <c r="B46"/>
  <c r="C46"/>
  <c r="D46"/>
  <c r="E46"/>
  <c r="G46"/>
  <c r="H46"/>
  <c r="I46"/>
  <c r="M47"/>
  <c r="B14" i="98"/>
  <c r="C14"/>
  <c r="D14"/>
  <c r="E14"/>
  <c r="G14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B45"/>
  <c r="C45"/>
  <c r="D45"/>
  <c r="E45" s="1"/>
  <c r="G45"/>
  <c r="H45"/>
  <c r="I45" s="1"/>
  <c r="M46"/>
  <c r="B14" i="97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M46"/>
  <c r="B14" i="96"/>
  <c r="C14"/>
  <c r="C13" s="1"/>
  <c r="D14"/>
  <c r="E14"/>
  <c r="G14"/>
  <c r="G13" s="1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B45"/>
  <c r="C45"/>
  <c r="D45"/>
  <c r="E45" s="1"/>
  <c r="G45"/>
  <c r="H45"/>
  <c r="I45" s="1"/>
  <c r="B46"/>
  <c r="C46"/>
  <c r="D46"/>
  <c r="E46"/>
  <c r="G46"/>
  <c r="H46"/>
  <c r="I46"/>
  <c r="B47"/>
  <c r="C47"/>
  <c r="D47"/>
  <c r="E47" s="1"/>
  <c r="G47"/>
  <c r="H47"/>
  <c r="I47" s="1"/>
  <c r="M48"/>
  <c r="B14" i="94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M41"/>
  <c r="B14" i="70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E23" s="1"/>
  <c r="D23"/>
  <c r="G23"/>
  <c r="I23" s="1"/>
  <c r="H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E37" s="1"/>
  <c r="D37"/>
  <c r="G37"/>
  <c r="I37" s="1"/>
  <c r="H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B46"/>
  <c r="C46"/>
  <c r="D46"/>
  <c r="E46" s="1"/>
  <c r="G46"/>
  <c r="H46"/>
  <c r="I46" s="1"/>
  <c r="B47"/>
  <c r="C47"/>
  <c r="D47"/>
  <c r="E47"/>
  <c r="G47"/>
  <c r="H47"/>
  <c r="I47"/>
  <c r="M48"/>
  <c r="C13" i="137"/>
  <c r="D13"/>
  <c r="E13"/>
  <c r="F13"/>
  <c r="G13"/>
  <c r="H13"/>
  <c r="I13" s="1"/>
  <c r="J13"/>
  <c r="N13"/>
  <c r="C28" s="1"/>
  <c r="D29" s="1"/>
  <c r="C14"/>
  <c r="D14"/>
  <c r="E14"/>
  <c r="F14"/>
  <c r="G14"/>
  <c r="H14"/>
  <c r="I14" s="1"/>
  <c r="J14"/>
  <c r="N14"/>
  <c r="C15"/>
  <c r="D15"/>
  <c r="E15"/>
  <c r="F15"/>
  <c r="G15"/>
  <c r="H15"/>
  <c r="I15" s="1"/>
  <c r="N15"/>
  <c r="C16"/>
  <c r="D16"/>
  <c r="E16"/>
  <c r="F16"/>
  <c r="G16"/>
  <c r="H16"/>
  <c r="I16" s="1"/>
  <c r="J16"/>
  <c r="N16"/>
  <c r="C17"/>
  <c r="D17"/>
  <c r="E17"/>
  <c r="F17"/>
  <c r="G17"/>
  <c r="H17"/>
  <c r="I17" s="1"/>
  <c r="J17"/>
  <c r="N17"/>
  <c r="C18"/>
  <c r="D18"/>
  <c r="E18"/>
  <c r="F18"/>
  <c r="G18"/>
  <c r="H18"/>
  <c r="I18" s="1"/>
  <c r="N18"/>
  <c r="C19"/>
  <c r="D19"/>
  <c r="E19"/>
  <c r="F19"/>
  <c r="G19"/>
  <c r="H19"/>
  <c r="I19" s="1"/>
  <c r="J19"/>
  <c r="N19"/>
  <c r="C20"/>
  <c r="D20"/>
  <c r="E20"/>
  <c r="F20"/>
  <c r="G20"/>
  <c r="H20"/>
  <c r="I20" s="1"/>
  <c r="N20"/>
  <c r="C21"/>
  <c r="D21"/>
  <c r="E21"/>
  <c r="F21"/>
  <c r="G21"/>
  <c r="H21"/>
  <c r="I21" s="1"/>
  <c r="J21"/>
  <c r="N21"/>
  <c r="C22"/>
  <c r="D22"/>
  <c r="E22"/>
  <c r="F22"/>
  <c r="G22"/>
  <c r="H22"/>
  <c r="I22" s="1"/>
  <c r="N22"/>
  <c r="C23"/>
  <c r="D23"/>
  <c r="E23"/>
  <c r="F23"/>
  <c r="G23"/>
  <c r="H23"/>
  <c r="I23" s="1"/>
  <c r="J23"/>
  <c r="N23"/>
  <c r="C24"/>
  <c r="D24"/>
  <c r="E24"/>
  <c r="F24"/>
  <c r="G24"/>
  <c r="H24"/>
  <c r="I24" s="1"/>
  <c r="N24"/>
  <c r="C25"/>
  <c r="D25"/>
  <c r="D26" s="1"/>
  <c r="E25"/>
  <c r="F25"/>
  <c r="F26" s="1"/>
  <c r="G25"/>
  <c r="H25"/>
  <c r="E26"/>
  <c r="G26"/>
  <c r="D28"/>
  <c r="F28"/>
  <c r="H28"/>
  <c r="N32"/>
  <c r="N33"/>
  <c r="N34"/>
  <c r="N35"/>
  <c r="N36"/>
  <c r="N38"/>
  <c r="N39"/>
  <c r="N40"/>
  <c r="N41"/>
  <c r="C13" i="136"/>
  <c r="D13"/>
  <c r="E13"/>
  <c r="F13"/>
  <c r="G13"/>
  <c r="J13" s="1"/>
  <c r="H13"/>
  <c r="I13"/>
  <c r="K13"/>
  <c r="N13"/>
  <c r="C14"/>
  <c r="D14"/>
  <c r="E14"/>
  <c r="F14"/>
  <c r="G14"/>
  <c r="J14" s="1"/>
  <c r="H14"/>
  <c r="K14"/>
  <c r="N14"/>
  <c r="C15"/>
  <c r="D15"/>
  <c r="E15"/>
  <c r="F15"/>
  <c r="G15"/>
  <c r="J15" s="1"/>
  <c r="H15"/>
  <c r="I15"/>
  <c r="K15"/>
  <c r="N15"/>
  <c r="C16"/>
  <c r="D16"/>
  <c r="E16"/>
  <c r="F16"/>
  <c r="G16"/>
  <c r="J16" s="1"/>
  <c r="H16"/>
  <c r="K16"/>
  <c r="N16"/>
  <c r="C17"/>
  <c r="D17"/>
  <c r="E17"/>
  <c r="F17"/>
  <c r="G17"/>
  <c r="J17" s="1"/>
  <c r="H17"/>
  <c r="I17"/>
  <c r="K17"/>
  <c r="N17"/>
  <c r="C18"/>
  <c r="D18"/>
  <c r="E18"/>
  <c r="F18"/>
  <c r="G18"/>
  <c r="J18" s="1"/>
  <c r="H18"/>
  <c r="K18"/>
  <c r="N18"/>
  <c r="C19"/>
  <c r="D19"/>
  <c r="E19"/>
  <c r="F19"/>
  <c r="G19"/>
  <c r="J19" s="1"/>
  <c r="H19"/>
  <c r="I19"/>
  <c r="K19"/>
  <c r="N19"/>
  <c r="C20"/>
  <c r="D20"/>
  <c r="E20"/>
  <c r="F20"/>
  <c r="G20"/>
  <c r="J20" s="1"/>
  <c r="H20"/>
  <c r="I20"/>
  <c r="K20"/>
  <c r="N20"/>
  <c r="C21"/>
  <c r="D21"/>
  <c r="E21"/>
  <c r="F21"/>
  <c r="G21"/>
  <c r="J21" s="1"/>
  <c r="H21"/>
  <c r="I21"/>
  <c r="K21"/>
  <c r="N21"/>
  <c r="C22"/>
  <c r="D22"/>
  <c r="E22"/>
  <c r="F22"/>
  <c r="G22"/>
  <c r="J22" s="1"/>
  <c r="H22"/>
  <c r="I22"/>
  <c r="K22"/>
  <c r="N22"/>
  <c r="C23"/>
  <c r="D23"/>
  <c r="E23"/>
  <c r="F23"/>
  <c r="G23"/>
  <c r="J23" s="1"/>
  <c r="H23"/>
  <c r="I23"/>
  <c r="K23"/>
  <c r="N23"/>
  <c r="C24"/>
  <c r="D24"/>
  <c r="E24"/>
  <c r="F24"/>
  <c r="G24"/>
  <c r="J24" s="1"/>
  <c r="H24"/>
  <c r="I24"/>
  <c r="K24"/>
  <c r="N24"/>
  <c r="C25"/>
  <c r="D25"/>
  <c r="E25"/>
  <c r="E26" s="1"/>
  <c r="F25"/>
  <c r="G25"/>
  <c r="G26" s="1"/>
  <c r="H25"/>
  <c r="D26"/>
  <c r="F26"/>
  <c r="C28"/>
  <c r="D29" s="1"/>
  <c r="D28"/>
  <c r="E28"/>
  <c r="F29" s="1"/>
  <c r="F28"/>
  <c r="G28"/>
  <c r="J28" s="1"/>
  <c r="H28"/>
  <c r="E29"/>
  <c r="N32"/>
  <c r="N33"/>
  <c r="N34"/>
  <c r="N35"/>
  <c r="N36"/>
  <c r="N38"/>
  <c r="N39"/>
  <c r="N40"/>
  <c r="N41"/>
  <c r="H24" i="135"/>
  <c r="H23"/>
  <c r="H24" i="134"/>
  <c r="H23"/>
  <c r="H24" i="133"/>
  <c r="H23"/>
  <c r="H24" i="106"/>
  <c r="J24" s="1"/>
  <c r="H23"/>
  <c r="J23" s="1"/>
  <c r="H24" i="105"/>
  <c r="J24" s="1"/>
  <c r="H23"/>
  <c r="J23" s="1"/>
  <c r="H24" i="143"/>
  <c r="J24" s="1"/>
  <c r="H23"/>
  <c r="J23" s="1"/>
  <c r="H24" i="142"/>
  <c r="J24" s="1"/>
  <c r="H23"/>
  <c r="J23" s="1"/>
  <c r="H24" i="141"/>
  <c r="J24" s="1"/>
  <c r="H23"/>
  <c r="J23" s="1"/>
  <c r="H24" i="140"/>
  <c r="J24" s="1"/>
  <c r="H23"/>
  <c r="J23" s="1"/>
  <c r="H24" i="139"/>
  <c r="J24" s="1"/>
  <c r="H23"/>
  <c r="J23" s="1"/>
  <c r="H24" i="104"/>
  <c r="J24" s="1"/>
  <c r="H23"/>
  <c r="J23" s="1"/>
  <c r="H24" i="118"/>
  <c r="J24" s="1"/>
  <c r="H23"/>
  <c r="J23" s="1"/>
  <c r="H24" i="117"/>
  <c r="J24" s="1"/>
  <c r="H23"/>
  <c r="J23" s="1"/>
  <c r="H24" i="116"/>
  <c r="J24" s="1"/>
  <c r="H23"/>
  <c r="J23" s="1"/>
  <c r="H24" i="115"/>
  <c r="J24" s="1"/>
  <c r="H23"/>
  <c r="J23" s="1"/>
  <c r="H24" i="114"/>
  <c r="J24" s="1"/>
  <c r="H23"/>
  <c r="J23" s="1"/>
  <c r="H24" i="103"/>
  <c r="J24" s="1"/>
  <c r="H23"/>
  <c r="J23" s="1"/>
  <c r="H24" i="113"/>
  <c r="J24" s="1"/>
  <c r="H23"/>
  <c r="J23" s="1"/>
  <c r="H24" i="112"/>
  <c r="J24" s="1"/>
  <c r="H23"/>
  <c r="J23" s="1"/>
  <c r="H24" i="111"/>
  <c r="J24" s="1"/>
  <c r="H23"/>
  <c r="J23" s="1"/>
  <c r="H24" i="110"/>
  <c r="J24" s="1"/>
  <c r="H23"/>
  <c r="J23" s="1"/>
  <c r="H24" i="109"/>
  <c r="J24" s="1"/>
  <c r="H23"/>
  <c r="J23" s="1"/>
  <c r="H24" i="102"/>
  <c r="J24" s="1"/>
  <c r="H23"/>
  <c r="J23" s="1"/>
  <c r="H24" i="88"/>
  <c r="J24" s="1"/>
  <c r="H23"/>
  <c r="J23" s="1"/>
  <c r="H23" i="87"/>
  <c r="J23" s="1"/>
  <c r="H22"/>
  <c r="J22" s="1"/>
  <c r="H24"/>
  <c r="J24" s="1"/>
  <c r="H24" i="86"/>
  <c r="J24" s="1"/>
  <c r="H23"/>
  <c r="J23" s="1"/>
  <c r="H24" i="85"/>
  <c r="J24" s="1"/>
  <c r="H23"/>
  <c r="J23" s="1"/>
  <c r="H24" i="84"/>
  <c r="J24" s="1"/>
  <c r="H23"/>
  <c r="J23" s="1"/>
  <c r="H23" i="131"/>
  <c r="H24" i="83"/>
  <c r="J24" s="1"/>
  <c r="H23"/>
  <c r="J23" s="1"/>
  <c r="I24" i="82"/>
  <c r="H24"/>
  <c r="J24" s="1"/>
  <c r="K23"/>
  <c r="I23"/>
  <c r="H23"/>
  <c r="J23" s="1"/>
  <c r="H24" i="81"/>
  <c r="J24" s="1"/>
  <c r="H23"/>
  <c r="J23" s="1"/>
  <c r="H22"/>
  <c r="J22" s="1"/>
  <c r="H21"/>
  <c r="J21" s="1"/>
  <c r="H24" i="64"/>
  <c r="J24" s="1"/>
  <c r="H23"/>
  <c r="J23" s="1"/>
  <c r="H30" i="8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B30"/>
  <c r="B29"/>
  <c r="B28"/>
  <c r="B27"/>
  <c r="B26"/>
  <c r="B25"/>
  <c r="B24"/>
  <c r="B23"/>
  <c r="B22"/>
  <c r="B21"/>
  <c r="B20"/>
  <c r="B19"/>
  <c r="B18"/>
  <c r="B17"/>
  <c r="B16"/>
  <c r="B15"/>
  <c r="B14"/>
  <c r="H47" i="119"/>
  <c r="G47"/>
  <c r="D47"/>
  <c r="C47"/>
  <c r="H46"/>
  <c r="I46" s="1"/>
  <c r="G46"/>
  <c r="D46"/>
  <c r="E46" s="1"/>
  <c r="C46"/>
  <c r="B46"/>
  <c r="H45"/>
  <c r="G45"/>
  <c r="I45" s="1"/>
  <c r="D45"/>
  <c r="C45"/>
  <c r="E45" s="1"/>
  <c r="B45"/>
  <c r="H44"/>
  <c r="I44" s="1"/>
  <c r="G44"/>
  <c r="D44"/>
  <c r="E44" s="1"/>
  <c r="C44"/>
  <c r="B44"/>
  <c r="F13" i="70" l="1"/>
  <c r="F15"/>
  <c r="F17"/>
  <c r="F19"/>
  <c r="F21"/>
  <c r="F23"/>
  <c r="F25"/>
  <c r="F27"/>
  <c r="F29"/>
  <c r="F31"/>
  <c r="F33"/>
  <c r="F35"/>
  <c r="F37"/>
  <c r="F39"/>
  <c r="F41"/>
  <c r="F43"/>
  <c r="F45"/>
  <c r="F47"/>
  <c r="F26"/>
  <c r="F30"/>
  <c r="F32"/>
  <c r="F38"/>
  <c r="F40"/>
  <c r="F42"/>
  <c r="E13"/>
  <c r="F14"/>
  <c r="F16"/>
  <c r="F18"/>
  <c r="F20"/>
  <c r="F24"/>
  <c r="F28"/>
  <c r="F34"/>
  <c r="F36"/>
  <c r="F44"/>
  <c r="F13" i="94"/>
  <c r="F15"/>
  <c r="F17"/>
  <c r="F19"/>
  <c r="F21"/>
  <c r="F23"/>
  <c r="F25"/>
  <c r="F27"/>
  <c r="F29"/>
  <c r="F31"/>
  <c r="F33"/>
  <c r="F35"/>
  <c r="F37"/>
  <c r="F39"/>
  <c r="E13"/>
  <c r="F14"/>
  <c r="F16"/>
  <c r="F18"/>
  <c r="F20"/>
  <c r="F22"/>
  <c r="F24"/>
  <c r="F26"/>
  <c r="F28"/>
  <c r="F30"/>
  <c r="F32"/>
  <c r="F34"/>
  <c r="F36"/>
  <c r="F38"/>
  <c r="F40"/>
  <c r="J13" i="97"/>
  <c r="J15"/>
  <c r="J17"/>
  <c r="J19"/>
  <c r="J21"/>
  <c r="J23"/>
  <c r="J25"/>
  <c r="J27"/>
  <c r="J29"/>
  <c r="J31"/>
  <c r="J33"/>
  <c r="J35"/>
  <c r="J37"/>
  <c r="J39"/>
  <c r="J41"/>
  <c r="J43"/>
  <c r="J45"/>
  <c r="I13"/>
  <c r="J14"/>
  <c r="J16"/>
  <c r="J18"/>
  <c r="J20"/>
  <c r="J22"/>
  <c r="J24"/>
  <c r="J26"/>
  <c r="J28"/>
  <c r="J30"/>
  <c r="J32"/>
  <c r="J34"/>
  <c r="J36"/>
  <c r="J38"/>
  <c r="J40"/>
  <c r="J42"/>
  <c r="J44"/>
  <c r="F13"/>
  <c r="F15"/>
  <c r="F17"/>
  <c r="F19"/>
  <c r="F21"/>
  <c r="F23"/>
  <c r="F25"/>
  <c r="F27"/>
  <c r="F29"/>
  <c r="F31"/>
  <c r="F33"/>
  <c r="F35"/>
  <c r="F37"/>
  <c r="F39"/>
  <c r="F41"/>
  <c r="F43"/>
  <c r="F45"/>
  <c r="E13"/>
  <c r="F14"/>
  <c r="F16"/>
  <c r="F18"/>
  <c r="F20"/>
  <c r="F22"/>
  <c r="F24"/>
  <c r="F26"/>
  <c r="F28"/>
  <c r="F30"/>
  <c r="F32"/>
  <c r="F34"/>
  <c r="F36"/>
  <c r="F38"/>
  <c r="F40"/>
  <c r="F42"/>
  <c r="F44"/>
  <c r="J13" i="70"/>
  <c r="J15"/>
  <c r="J17"/>
  <c r="J19"/>
  <c r="J21"/>
  <c r="J23"/>
  <c r="J25"/>
  <c r="J27"/>
  <c r="J29"/>
  <c r="J31"/>
  <c r="J33"/>
  <c r="J35"/>
  <c r="J37"/>
  <c r="J39"/>
  <c r="J41"/>
  <c r="J43"/>
  <c r="J45"/>
  <c r="J47"/>
  <c r="J24"/>
  <c r="J26"/>
  <c r="J30"/>
  <c r="J32"/>
  <c r="J34"/>
  <c r="J42"/>
  <c r="J44"/>
  <c r="I13"/>
  <c r="J14"/>
  <c r="J16"/>
  <c r="J18"/>
  <c r="J20"/>
  <c r="J38"/>
  <c r="J46"/>
  <c r="J13" i="94"/>
  <c r="J15"/>
  <c r="J17"/>
  <c r="J19"/>
  <c r="J21"/>
  <c r="J23"/>
  <c r="J25"/>
  <c r="J27"/>
  <c r="J29"/>
  <c r="J31"/>
  <c r="J33"/>
  <c r="J35"/>
  <c r="J37"/>
  <c r="J39"/>
  <c r="I13"/>
  <c r="J14"/>
  <c r="J16"/>
  <c r="J18"/>
  <c r="J20"/>
  <c r="J22"/>
  <c r="J24"/>
  <c r="J26"/>
  <c r="J28"/>
  <c r="J30"/>
  <c r="J32"/>
  <c r="J34"/>
  <c r="J36"/>
  <c r="J38"/>
  <c r="J40"/>
  <c r="J13" i="100"/>
  <c r="J15"/>
  <c r="J17"/>
  <c r="J19"/>
  <c r="J21"/>
  <c r="J23"/>
  <c r="J25"/>
  <c r="J27"/>
  <c r="J29"/>
  <c r="J31"/>
  <c r="J33"/>
  <c r="J35"/>
  <c r="J37"/>
  <c r="J39"/>
  <c r="J41"/>
  <c r="J43"/>
  <c r="J45"/>
  <c r="I13"/>
  <c r="J14"/>
  <c r="J16"/>
  <c r="J18"/>
  <c r="J20"/>
  <c r="J22"/>
  <c r="J24"/>
  <c r="J26"/>
  <c r="J28"/>
  <c r="J30"/>
  <c r="J32"/>
  <c r="J34"/>
  <c r="J36"/>
  <c r="J38"/>
  <c r="J40"/>
  <c r="J42"/>
  <c r="J44"/>
  <c r="F13"/>
  <c r="F15"/>
  <c r="F17"/>
  <c r="F19"/>
  <c r="F21"/>
  <c r="F23"/>
  <c r="F25"/>
  <c r="F27"/>
  <c r="F29"/>
  <c r="F31"/>
  <c r="F33"/>
  <c r="F35"/>
  <c r="F37"/>
  <c r="F39"/>
  <c r="F41"/>
  <c r="F43"/>
  <c r="F45"/>
  <c r="E13"/>
  <c r="F14"/>
  <c r="F16"/>
  <c r="F18"/>
  <c r="F20"/>
  <c r="F22"/>
  <c r="F24"/>
  <c r="F26"/>
  <c r="F28"/>
  <c r="F30"/>
  <c r="F32"/>
  <c r="F34"/>
  <c r="F36"/>
  <c r="F38"/>
  <c r="F40"/>
  <c r="F42"/>
  <c r="F44"/>
  <c r="J13" i="101"/>
  <c r="J15"/>
  <c r="J17"/>
  <c r="J19"/>
  <c r="J21"/>
  <c r="J23"/>
  <c r="J25"/>
  <c r="J27"/>
  <c r="J29"/>
  <c r="J31"/>
  <c r="J33"/>
  <c r="J35"/>
  <c r="J37"/>
  <c r="J39"/>
  <c r="J41"/>
  <c r="I13"/>
  <c r="J14"/>
  <c r="J16"/>
  <c r="J18"/>
  <c r="J20"/>
  <c r="J22"/>
  <c r="J24"/>
  <c r="J26"/>
  <c r="J28"/>
  <c r="J30"/>
  <c r="J32"/>
  <c r="J34"/>
  <c r="J36"/>
  <c r="J38"/>
  <c r="J40"/>
  <c r="J42"/>
  <c r="F13"/>
  <c r="F15"/>
  <c r="F17"/>
  <c r="F19"/>
  <c r="F21"/>
  <c r="F23"/>
  <c r="F25"/>
  <c r="F27"/>
  <c r="F29"/>
  <c r="F31"/>
  <c r="F33"/>
  <c r="F35"/>
  <c r="F37"/>
  <c r="F39"/>
  <c r="F41"/>
  <c r="E13"/>
  <c r="F14"/>
  <c r="F16"/>
  <c r="F18"/>
  <c r="F20"/>
  <c r="F22"/>
  <c r="F24"/>
  <c r="F26"/>
  <c r="F28"/>
  <c r="F30"/>
  <c r="F32"/>
  <c r="F34"/>
  <c r="F36"/>
  <c r="F38"/>
  <c r="F40"/>
  <c r="F42"/>
  <c r="G29" i="136"/>
  <c r="K28"/>
  <c r="I28"/>
  <c r="I16"/>
  <c r="I14"/>
  <c r="J24" i="137"/>
  <c r="J15"/>
  <c r="J36" i="70"/>
  <c r="J28"/>
  <c r="F22"/>
  <c r="H13" i="96"/>
  <c r="D13"/>
  <c r="C13" i="98"/>
  <c r="C13" i="99"/>
  <c r="I18" i="136"/>
  <c r="J22" i="137"/>
  <c r="J20"/>
  <c r="J18"/>
  <c r="F46" i="70"/>
  <c r="J40"/>
  <c r="J22"/>
  <c r="H29" i="136"/>
  <c r="G28" i="137"/>
  <c r="G29" s="1"/>
  <c r="E28"/>
  <c r="K24"/>
  <c r="K23"/>
  <c r="K22"/>
  <c r="K21"/>
  <c r="K20"/>
  <c r="K19"/>
  <c r="K18"/>
  <c r="K17"/>
  <c r="K16"/>
  <c r="K15"/>
  <c r="K14"/>
  <c r="K13"/>
  <c r="I14" i="70"/>
  <c r="E14"/>
  <c r="I14" i="94"/>
  <c r="E14"/>
  <c r="I14" i="97"/>
  <c r="E14"/>
  <c r="F39" i="98"/>
  <c r="F35"/>
  <c r="F31"/>
  <c r="F27"/>
  <c r="F23"/>
  <c r="F19"/>
  <c r="F15"/>
  <c r="G13"/>
  <c r="H13"/>
  <c r="D13"/>
  <c r="F45" i="99"/>
  <c r="F41"/>
  <c r="F37"/>
  <c r="G13"/>
  <c r="H13"/>
  <c r="D13"/>
  <c r="I14" i="100"/>
  <c r="E14"/>
  <c r="I14" i="101"/>
  <c r="E14"/>
  <c r="I23" i="106"/>
  <c r="K23"/>
  <c r="I24"/>
  <c r="K24"/>
  <c r="I23" i="105"/>
  <c r="K23"/>
  <c r="I24"/>
  <c r="K24"/>
  <c r="I23" i="143"/>
  <c r="K23"/>
  <c r="I24"/>
  <c r="K24"/>
  <c r="I23" i="142"/>
  <c r="K23"/>
  <c r="I24"/>
  <c r="K24"/>
  <c r="I23" i="141"/>
  <c r="K23"/>
  <c r="I24"/>
  <c r="K24"/>
  <c r="I23" i="140"/>
  <c r="K23"/>
  <c r="I24"/>
  <c r="K24"/>
  <c r="I23" i="139"/>
  <c r="K23"/>
  <c r="I24"/>
  <c r="K24"/>
  <c r="I23" i="104"/>
  <c r="K23"/>
  <c r="I24"/>
  <c r="K24"/>
  <c r="I23" i="118"/>
  <c r="K23"/>
  <c r="I24"/>
  <c r="K24"/>
  <c r="I23" i="117"/>
  <c r="K23"/>
  <c r="I24"/>
  <c r="K24"/>
  <c r="I23" i="116"/>
  <c r="K23"/>
  <c r="I24"/>
  <c r="K24"/>
  <c r="I23" i="115"/>
  <c r="K23"/>
  <c r="I24"/>
  <c r="K24"/>
  <c r="I23" i="114"/>
  <c r="K23"/>
  <c r="I24"/>
  <c r="K24"/>
  <c r="I23" i="103"/>
  <c r="K23"/>
  <c r="I24"/>
  <c r="K24"/>
  <c r="I23" i="113"/>
  <c r="K23"/>
  <c r="I24"/>
  <c r="K24"/>
  <c r="I23" i="112"/>
  <c r="K23"/>
  <c r="I24"/>
  <c r="K24"/>
  <c r="I23" i="111"/>
  <c r="K23"/>
  <c r="I24"/>
  <c r="K24"/>
  <c r="I23" i="110"/>
  <c r="K23"/>
  <c r="I24"/>
  <c r="K24"/>
  <c r="I23" i="109"/>
  <c r="K23"/>
  <c r="I24"/>
  <c r="K24"/>
  <c r="I23" i="102"/>
  <c r="K23"/>
  <c r="I24"/>
  <c r="K24"/>
  <c r="I23" i="88"/>
  <c r="K23"/>
  <c r="I24"/>
  <c r="K24"/>
  <c r="I22" i="87"/>
  <c r="K22"/>
  <c r="I23"/>
  <c r="K23"/>
  <c r="I24"/>
  <c r="K24"/>
  <c r="I23" i="86"/>
  <c r="K23"/>
  <c r="I24"/>
  <c r="K24"/>
  <c r="I23" i="85"/>
  <c r="K23"/>
  <c r="I24"/>
  <c r="K24"/>
  <c r="H24" i="131"/>
  <c r="I23" i="84"/>
  <c r="K23"/>
  <c r="I24"/>
  <c r="K24"/>
  <c r="I23" i="83"/>
  <c r="K23"/>
  <c r="I24"/>
  <c r="K24"/>
  <c r="K24" i="82"/>
  <c r="I21" i="81"/>
  <c r="K21"/>
  <c r="I22"/>
  <c r="K22"/>
  <c r="I23"/>
  <c r="K23"/>
  <c r="I24"/>
  <c r="K24"/>
  <c r="I23" i="64"/>
  <c r="K23"/>
  <c r="I24"/>
  <c r="K24"/>
  <c r="H22" i="135"/>
  <c r="H22" i="134"/>
  <c r="H22" i="133"/>
  <c r="H22" i="106"/>
  <c r="H22" i="105"/>
  <c r="H22" i="143"/>
  <c r="H22" i="142"/>
  <c r="H22" i="141"/>
  <c r="H22" i="140"/>
  <c r="H22" i="139"/>
  <c r="H22" i="104"/>
  <c r="H22" i="118"/>
  <c r="H22" i="117"/>
  <c r="H22" i="116"/>
  <c r="H22" i="115"/>
  <c r="H22" i="114"/>
  <c r="H22" i="103"/>
  <c r="H22" i="113"/>
  <c r="H22" i="112"/>
  <c r="H22" i="111"/>
  <c r="H22" i="110"/>
  <c r="H22" i="109"/>
  <c r="H22" i="102"/>
  <c r="H22" i="88"/>
  <c r="H22" i="86"/>
  <c r="H22" i="85"/>
  <c r="H22" i="84"/>
  <c r="H22" i="83"/>
  <c r="H22" i="82"/>
  <c r="H22" i="64"/>
  <c r="H48" i="107"/>
  <c r="G48"/>
  <c r="I48" s="1"/>
  <c r="H47"/>
  <c r="G47"/>
  <c r="H46"/>
  <c r="G46"/>
  <c r="H45"/>
  <c r="G45"/>
  <c r="H44"/>
  <c r="G44"/>
  <c r="H43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D48"/>
  <c r="C48"/>
  <c r="B48"/>
  <c r="D47"/>
  <c r="C47"/>
  <c r="B47"/>
  <c r="D46"/>
  <c r="C46"/>
  <c r="B46"/>
  <c r="D45"/>
  <c r="C45"/>
  <c r="B45"/>
  <c r="D44"/>
  <c r="C44"/>
  <c r="B44"/>
  <c r="D43"/>
  <c r="C43"/>
  <c r="B43"/>
  <c r="D42"/>
  <c r="C42"/>
  <c r="B42"/>
  <c r="D41"/>
  <c r="C41"/>
  <c r="B41"/>
  <c r="D40"/>
  <c r="C40"/>
  <c r="B40"/>
  <c r="D39"/>
  <c r="C39"/>
  <c r="B39"/>
  <c r="D38"/>
  <c r="C38"/>
  <c r="B38"/>
  <c r="D37"/>
  <c r="C37"/>
  <c r="B37"/>
  <c r="D36"/>
  <c r="C36"/>
  <c r="B36"/>
  <c r="D35"/>
  <c r="C35"/>
  <c r="B35"/>
  <c r="D34"/>
  <c r="C34"/>
  <c r="B34"/>
  <c r="D33"/>
  <c r="C33"/>
  <c r="B33"/>
  <c r="D32"/>
  <c r="C32"/>
  <c r="B32"/>
  <c r="D31"/>
  <c r="C31"/>
  <c r="B31"/>
  <c r="D30"/>
  <c r="C30"/>
  <c r="B30"/>
  <c r="D29"/>
  <c r="C29"/>
  <c r="B29"/>
  <c r="D28"/>
  <c r="C28"/>
  <c r="B28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C20"/>
  <c r="B20"/>
  <c r="D19"/>
  <c r="C19"/>
  <c r="B19"/>
  <c r="D18"/>
  <c r="C18"/>
  <c r="B18"/>
  <c r="D17"/>
  <c r="C17"/>
  <c r="B17"/>
  <c r="D16"/>
  <c r="C16"/>
  <c r="B16"/>
  <c r="D15"/>
  <c r="C15"/>
  <c r="B15"/>
  <c r="H30" i="19"/>
  <c r="G30"/>
  <c r="H29"/>
  <c r="G29"/>
  <c r="H28"/>
  <c r="G28"/>
  <c r="H27"/>
  <c r="G27"/>
  <c r="H26"/>
  <c r="G26"/>
  <c r="H24"/>
  <c r="G24"/>
  <c r="D30"/>
  <c r="D29"/>
  <c r="D28"/>
  <c r="D27"/>
  <c r="D26"/>
  <c r="C30"/>
  <c r="C29"/>
  <c r="C28"/>
  <c r="C27"/>
  <c r="C26"/>
  <c r="D24"/>
  <c r="C24"/>
  <c r="H15"/>
  <c r="G15"/>
  <c r="H14"/>
  <c r="G14"/>
  <c r="D15"/>
  <c r="C15"/>
  <c r="D14"/>
  <c r="C14"/>
  <c r="H21" i="135"/>
  <c r="H21" i="134"/>
  <c r="H21" i="133"/>
  <c r="H21" i="106"/>
  <c r="H21" i="105"/>
  <c r="H21" i="143"/>
  <c r="H21" i="142"/>
  <c r="H21" i="141"/>
  <c r="H21" i="140"/>
  <c r="H21" i="139"/>
  <c r="H21" i="104"/>
  <c r="H21" i="118"/>
  <c r="H21" i="117"/>
  <c r="H21" i="116"/>
  <c r="H21" i="115"/>
  <c r="H21" i="114"/>
  <c r="H21" i="103"/>
  <c r="H21" i="113"/>
  <c r="H21" i="112"/>
  <c r="H21" i="111"/>
  <c r="H21" i="110"/>
  <c r="H21" i="109"/>
  <c r="H21" i="102"/>
  <c r="H21" i="88"/>
  <c r="H21" i="87"/>
  <c r="H21" i="86"/>
  <c r="H21" i="85"/>
  <c r="H21" i="84"/>
  <c r="H21" i="131"/>
  <c r="H21" i="83"/>
  <c r="H21" i="82"/>
  <c r="H21" i="64"/>
  <c r="H43" i="125"/>
  <c r="G43"/>
  <c r="D43"/>
  <c r="C43"/>
  <c r="G24" i="135"/>
  <c r="J24" s="1"/>
  <c r="F24"/>
  <c r="E24"/>
  <c r="D24"/>
  <c r="C24"/>
  <c r="G23"/>
  <c r="I23" s="1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34"/>
  <c r="I24" s="1"/>
  <c r="F24"/>
  <c r="E24"/>
  <c r="D24"/>
  <c r="C24"/>
  <c r="G23"/>
  <c r="J23" s="1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33"/>
  <c r="J24" s="1"/>
  <c r="F24"/>
  <c r="E24"/>
  <c r="D24"/>
  <c r="C24"/>
  <c r="G23"/>
  <c r="I23" s="1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6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5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43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1"/>
  <c r="N40"/>
  <c r="N39"/>
  <c r="N38"/>
  <c r="N36"/>
  <c r="N35"/>
  <c r="N34"/>
  <c r="N33"/>
  <c r="N32"/>
  <c r="N24"/>
  <c r="N23"/>
  <c r="N22"/>
  <c r="N21"/>
  <c r="N20"/>
  <c r="N19"/>
  <c r="N18"/>
  <c r="N17"/>
  <c r="N16"/>
  <c r="N15"/>
  <c r="N14"/>
  <c r="I14"/>
  <c r="H25"/>
  <c r="G24" i="142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1"/>
  <c r="N40"/>
  <c r="N39"/>
  <c r="N38"/>
  <c r="N36"/>
  <c r="N35"/>
  <c r="N34"/>
  <c r="N33"/>
  <c r="N32"/>
  <c r="N24"/>
  <c r="N23"/>
  <c r="N22"/>
  <c r="N21"/>
  <c r="N20"/>
  <c r="I20"/>
  <c r="N19"/>
  <c r="K19"/>
  <c r="N18"/>
  <c r="K18"/>
  <c r="N17"/>
  <c r="K17"/>
  <c r="N16"/>
  <c r="K16"/>
  <c r="N15"/>
  <c r="K15"/>
  <c r="N14"/>
  <c r="K14"/>
  <c r="H25"/>
  <c r="G24" i="141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1"/>
  <c r="N40"/>
  <c r="N39"/>
  <c r="N38"/>
  <c r="N36"/>
  <c r="N35"/>
  <c r="N34"/>
  <c r="N33"/>
  <c r="N32"/>
  <c r="N24"/>
  <c r="N23"/>
  <c r="N22"/>
  <c r="N21"/>
  <c r="N20"/>
  <c r="N19"/>
  <c r="N18"/>
  <c r="N17"/>
  <c r="N16"/>
  <c r="N15"/>
  <c r="N14"/>
  <c r="H25"/>
  <c r="G24" i="140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1"/>
  <c r="N40"/>
  <c r="N39"/>
  <c r="N38"/>
  <c r="N36"/>
  <c r="N35"/>
  <c r="N34"/>
  <c r="N33"/>
  <c r="N32"/>
  <c r="N24"/>
  <c r="N23"/>
  <c r="N22"/>
  <c r="N21"/>
  <c r="N20"/>
  <c r="N19"/>
  <c r="I19"/>
  <c r="N18"/>
  <c r="K18"/>
  <c r="N17"/>
  <c r="I17"/>
  <c r="N16"/>
  <c r="I16"/>
  <c r="N15"/>
  <c r="I15"/>
  <c r="N14"/>
  <c r="H25"/>
  <c r="G24" i="139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1"/>
  <c r="N40"/>
  <c r="N39"/>
  <c r="N38"/>
  <c r="N36"/>
  <c r="N35"/>
  <c r="N34"/>
  <c r="N33"/>
  <c r="N32"/>
  <c r="N24"/>
  <c r="N23"/>
  <c r="N22"/>
  <c r="N21"/>
  <c r="N20"/>
  <c r="N19"/>
  <c r="N18"/>
  <c r="N17"/>
  <c r="N16"/>
  <c r="N15"/>
  <c r="N14"/>
  <c r="H25"/>
  <c r="G24" i="10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8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7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6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5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3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3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2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1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0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9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2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8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7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6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0" i="85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H20" i="131" s="1"/>
  <c r="G20" i="84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3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2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81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H25" s="1"/>
  <c r="G13"/>
  <c r="F13"/>
  <c r="E13"/>
  <c r="D13"/>
  <c r="C13"/>
  <c r="H20" i="64"/>
  <c r="H19"/>
  <c r="H18"/>
  <c r="H17"/>
  <c r="H16"/>
  <c r="H15"/>
  <c r="H14"/>
  <c r="H13"/>
  <c r="G24"/>
  <c r="F24"/>
  <c r="E24"/>
  <c r="D24"/>
  <c r="C24"/>
  <c r="G23"/>
  <c r="F23"/>
  <c r="E23"/>
  <c r="D23"/>
  <c r="C23"/>
  <c r="G22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4"/>
  <c r="F14"/>
  <c r="E14"/>
  <c r="D14"/>
  <c r="C14"/>
  <c r="G13"/>
  <c r="F13"/>
  <c r="E13"/>
  <c r="D13"/>
  <c r="C13"/>
  <c r="H33" i="132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D33"/>
  <c r="C33"/>
  <c r="D32"/>
  <c r="C32"/>
  <c r="D31"/>
  <c r="C31"/>
  <c r="D30"/>
  <c r="C30"/>
  <c r="D29"/>
  <c r="C29"/>
  <c r="D28"/>
  <c r="C28"/>
  <c r="D27"/>
  <c r="C27"/>
  <c r="D26"/>
  <c r="C26"/>
  <c r="D25"/>
  <c r="C25"/>
  <c r="D24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H14" i="107"/>
  <c r="G14"/>
  <c r="D14"/>
  <c r="C14"/>
  <c r="B14"/>
  <c r="H43" i="130"/>
  <c r="G43"/>
  <c r="D43"/>
  <c r="C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H18"/>
  <c r="G18"/>
  <c r="H17"/>
  <c r="G17"/>
  <c r="H16"/>
  <c r="G16"/>
  <c r="D18"/>
  <c r="C18"/>
  <c r="D17"/>
  <c r="C17"/>
  <c r="D16"/>
  <c r="C16"/>
  <c r="B43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H43" i="129"/>
  <c r="G43"/>
  <c r="D43"/>
  <c r="C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H18"/>
  <c r="G18"/>
  <c r="H17"/>
  <c r="G17"/>
  <c r="H16"/>
  <c r="G16"/>
  <c r="C20"/>
  <c r="D18"/>
  <c r="C18"/>
  <c r="D17"/>
  <c r="C17"/>
  <c r="D16"/>
  <c r="C16"/>
  <c r="B43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H43" i="128"/>
  <c r="G43"/>
  <c r="D43"/>
  <c r="C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H18"/>
  <c r="G18"/>
  <c r="H17"/>
  <c r="G17"/>
  <c r="H16"/>
  <c r="G16"/>
  <c r="D18"/>
  <c r="C18"/>
  <c r="D17"/>
  <c r="C17"/>
  <c r="D16"/>
  <c r="C16"/>
  <c r="B43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H42" i="125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H18"/>
  <c r="G18"/>
  <c r="H17"/>
  <c r="G17"/>
  <c r="H16"/>
  <c r="G16"/>
  <c r="D18"/>
  <c r="C18"/>
  <c r="D17"/>
  <c r="C17"/>
  <c r="D16"/>
  <c r="C16"/>
  <c r="B43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H42" i="126"/>
  <c r="G42"/>
  <c r="D42"/>
  <c r="C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H30"/>
  <c r="G30"/>
  <c r="H29"/>
  <c r="G29"/>
  <c r="H28"/>
  <c r="G28"/>
  <c r="D30"/>
  <c r="C30"/>
  <c r="D29"/>
  <c r="C29"/>
  <c r="D28"/>
  <c r="C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D26"/>
  <c r="C26"/>
  <c r="D25"/>
  <c r="C25"/>
  <c r="D24"/>
  <c r="C24"/>
  <c r="D23"/>
  <c r="C23"/>
  <c r="D22"/>
  <c r="C22"/>
  <c r="D21"/>
  <c r="C21"/>
  <c r="D20"/>
  <c r="C20"/>
  <c r="H18"/>
  <c r="G18"/>
  <c r="H17"/>
  <c r="G17"/>
  <c r="H16"/>
  <c r="G16"/>
  <c r="D18"/>
  <c r="C18"/>
  <c r="D17"/>
  <c r="C17"/>
  <c r="D16"/>
  <c r="B42"/>
  <c r="B41"/>
  <c r="B40"/>
  <c r="B39"/>
  <c r="B38"/>
  <c r="B37"/>
  <c r="B36"/>
  <c r="B35"/>
  <c r="B34"/>
  <c r="B33"/>
  <c r="B32"/>
  <c r="B30"/>
  <c r="B29"/>
  <c r="B28"/>
  <c r="B27"/>
  <c r="B26"/>
  <c r="B25"/>
  <c r="B24"/>
  <c r="B23"/>
  <c r="B22"/>
  <c r="B21"/>
  <c r="B20"/>
  <c r="B18"/>
  <c r="B17"/>
  <c r="B16"/>
  <c r="C16"/>
  <c r="H42" i="124"/>
  <c r="G42"/>
  <c r="D42"/>
  <c r="C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D31"/>
  <c r="C31"/>
  <c r="H29"/>
  <c r="G29"/>
  <c r="H28"/>
  <c r="G28"/>
  <c r="H27"/>
  <c r="G27"/>
  <c r="D29"/>
  <c r="C29"/>
  <c r="D28"/>
  <c r="C28"/>
  <c r="D27"/>
  <c r="C27"/>
  <c r="H26"/>
  <c r="G26"/>
  <c r="H25"/>
  <c r="G25"/>
  <c r="H24"/>
  <c r="G24"/>
  <c r="H23"/>
  <c r="G23"/>
  <c r="H22"/>
  <c r="G22"/>
  <c r="H21"/>
  <c r="G21"/>
  <c r="H20"/>
  <c r="G20"/>
  <c r="D26"/>
  <c r="C26"/>
  <c r="D25"/>
  <c r="C25"/>
  <c r="D24"/>
  <c r="C24"/>
  <c r="D23"/>
  <c r="C23"/>
  <c r="D22"/>
  <c r="C22"/>
  <c r="D21"/>
  <c r="C21"/>
  <c r="D20"/>
  <c r="C20"/>
  <c r="B42"/>
  <c r="B41"/>
  <c r="B40"/>
  <c r="B39"/>
  <c r="B38"/>
  <c r="B37"/>
  <c r="B36"/>
  <c r="B35"/>
  <c r="B34"/>
  <c r="B33"/>
  <c r="B32"/>
  <c r="B31"/>
  <c r="B29"/>
  <c r="B28"/>
  <c r="B27"/>
  <c r="B26"/>
  <c r="B25"/>
  <c r="B24"/>
  <c r="B23"/>
  <c r="B22"/>
  <c r="B21"/>
  <c r="B20"/>
  <c r="H18"/>
  <c r="G18"/>
  <c r="H17"/>
  <c r="G17"/>
  <c r="H16"/>
  <c r="G16"/>
  <c r="D18"/>
  <c r="C18"/>
  <c r="D17"/>
  <c r="C17"/>
  <c r="D16"/>
  <c r="C16"/>
  <c r="B18"/>
  <c r="B17"/>
  <c r="B16"/>
  <c r="H43" i="120"/>
  <c r="G43"/>
  <c r="D43"/>
  <c r="C43"/>
  <c r="B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D42"/>
  <c r="C42"/>
  <c r="D41"/>
  <c r="C41"/>
  <c r="D40"/>
  <c r="C40"/>
  <c r="D39"/>
  <c r="C39"/>
  <c r="D38"/>
  <c r="C38"/>
  <c r="D37"/>
  <c r="C37"/>
  <c r="D36"/>
  <c r="C36"/>
  <c r="D35"/>
  <c r="C35"/>
  <c r="D34"/>
  <c r="C34"/>
  <c r="D33"/>
  <c r="C33"/>
  <c r="D32"/>
  <c r="C32"/>
  <c r="B42"/>
  <c r="B41"/>
  <c r="B40"/>
  <c r="B39"/>
  <c r="B38"/>
  <c r="B37"/>
  <c r="B36"/>
  <c r="B35"/>
  <c r="B34"/>
  <c r="B33"/>
  <c r="B32"/>
  <c r="C31"/>
  <c r="H30"/>
  <c r="G30"/>
  <c r="H29"/>
  <c r="G29"/>
  <c r="H28"/>
  <c r="G28"/>
  <c r="D30"/>
  <c r="C30"/>
  <c r="D29"/>
  <c r="C29"/>
  <c r="D28"/>
  <c r="C28"/>
  <c r="B30"/>
  <c r="B29"/>
  <c r="B28"/>
  <c r="H27"/>
  <c r="G27"/>
  <c r="H26"/>
  <c r="G26"/>
  <c r="H25"/>
  <c r="G25"/>
  <c r="H24"/>
  <c r="G24"/>
  <c r="H23"/>
  <c r="G23"/>
  <c r="H22"/>
  <c r="G22"/>
  <c r="H21"/>
  <c r="G21"/>
  <c r="H20"/>
  <c r="G20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B20"/>
  <c r="C20"/>
  <c r="H18"/>
  <c r="G18"/>
  <c r="H17"/>
  <c r="G17"/>
  <c r="H16"/>
  <c r="G16"/>
  <c r="D18"/>
  <c r="C18"/>
  <c r="D17"/>
  <c r="C17"/>
  <c r="D16"/>
  <c r="C16"/>
  <c r="H43" i="119"/>
  <c r="G43"/>
  <c r="H42"/>
  <c r="G42"/>
  <c r="H41"/>
  <c r="G41"/>
  <c r="H40"/>
  <c r="G40"/>
  <c r="H39"/>
  <c r="G39"/>
  <c r="H38"/>
  <c r="G38"/>
  <c r="H37"/>
  <c r="G37"/>
  <c r="H36"/>
  <c r="G36"/>
  <c r="H35"/>
  <c r="G35"/>
  <c r="H34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G17"/>
  <c r="D43"/>
  <c r="C43"/>
  <c r="B43"/>
  <c r="D42"/>
  <c r="C42"/>
  <c r="B42"/>
  <c r="D41"/>
  <c r="C41"/>
  <c r="B41"/>
  <c r="D40"/>
  <c r="C40"/>
  <c r="B40"/>
  <c r="D39"/>
  <c r="C39"/>
  <c r="B39"/>
  <c r="D38"/>
  <c r="C38"/>
  <c r="B38"/>
  <c r="D37"/>
  <c r="C37"/>
  <c r="B37"/>
  <c r="D36"/>
  <c r="C36"/>
  <c r="B36"/>
  <c r="D35"/>
  <c r="C35"/>
  <c r="B35"/>
  <c r="D34"/>
  <c r="C34"/>
  <c r="B34"/>
  <c r="D33"/>
  <c r="C33"/>
  <c r="B33"/>
  <c r="D32"/>
  <c r="C32"/>
  <c r="B32"/>
  <c r="D31"/>
  <c r="C31"/>
  <c r="B31"/>
  <c r="D30"/>
  <c r="C30"/>
  <c r="B30"/>
  <c r="D29"/>
  <c r="C29"/>
  <c r="B29"/>
  <c r="D28"/>
  <c r="C28"/>
  <c r="B28"/>
  <c r="D27"/>
  <c r="C27"/>
  <c r="B27"/>
  <c r="D26"/>
  <c r="C26"/>
  <c r="B26"/>
  <c r="D25"/>
  <c r="C25"/>
  <c r="B25"/>
  <c r="D24"/>
  <c r="C24"/>
  <c r="B24"/>
  <c r="D23"/>
  <c r="C23"/>
  <c r="B23"/>
  <c r="D22"/>
  <c r="C22"/>
  <c r="B22"/>
  <c r="D21"/>
  <c r="C21"/>
  <c r="B21"/>
  <c r="D20"/>
  <c r="C20"/>
  <c r="B20"/>
  <c r="D19"/>
  <c r="C19"/>
  <c r="B19"/>
  <c r="D18"/>
  <c r="C18"/>
  <c r="B18"/>
  <c r="D17"/>
  <c r="C17"/>
  <c r="B17"/>
  <c r="H34" i="67"/>
  <c r="G34"/>
  <c r="H33"/>
  <c r="G33"/>
  <c r="H32"/>
  <c r="G32"/>
  <c r="H31"/>
  <c r="G31"/>
  <c r="H30"/>
  <c r="G30"/>
  <c r="H29"/>
  <c r="G29"/>
  <c r="H28"/>
  <c r="G28"/>
  <c r="H27"/>
  <c r="G27"/>
  <c r="H26"/>
  <c r="G26"/>
  <c r="H25"/>
  <c r="G25"/>
  <c r="H24"/>
  <c r="G24"/>
  <c r="H23"/>
  <c r="G23"/>
  <c r="H22"/>
  <c r="G22"/>
  <c r="H21"/>
  <c r="G21"/>
  <c r="H20"/>
  <c r="G20"/>
  <c r="H19"/>
  <c r="G19"/>
  <c r="H18"/>
  <c r="G18"/>
  <c r="H17"/>
  <c r="H35" s="1"/>
  <c r="G17"/>
  <c r="G35" s="1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C34"/>
  <c r="C33"/>
  <c r="C32"/>
  <c r="C31"/>
  <c r="C30"/>
  <c r="C29"/>
  <c r="C28"/>
  <c r="C27"/>
  <c r="C26"/>
  <c r="C25"/>
  <c r="C24"/>
  <c r="C23"/>
  <c r="C22"/>
  <c r="C21"/>
  <c r="C20"/>
  <c r="C19"/>
  <c r="C18"/>
  <c r="C17"/>
  <c r="C35" s="1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I13" i="99" l="1"/>
  <c r="J14"/>
  <c r="J16"/>
  <c r="J18"/>
  <c r="J20"/>
  <c r="J22"/>
  <c r="J24"/>
  <c r="J26"/>
  <c r="J28"/>
  <c r="J30"/>
  <c r="J32"/>
  <c r="J34"/>
  <c r="J36"/>
  <c r="J38"/>
  <c r="J40"/>
  <c r="J42"/>
  <c r="J44"/>
  <c r="J46"/>
  <c r="J13"/>
  <c r="J15"/>
  <c r="J17"/>
  <c r="J19"/>
  <c r="J21"/>
  <c r="J23"/>
  <c r="J25"/>
  <c r="J27"/>
  <c r="J29"/>
  <c r="J31"/>
  <c r="J33"/>
  <c r="J35"/>
  <c r="J37"/>
  <c r="J39"/>
  <c r="J41"/>
  <c r="J43"/>
  <c r="J45"/>
  <c r="I13" i="98"/>
  <c r="J14"/>
  <c r="J16"/>
  <c r="J18"/>
  <c r="J20"/>
  <c r="J22"/>
  <c r="J24"/>
  <c r="J26"/>
  <c r="J28"/>
  <c r="J30"/>
  <c r="J32"/>
  <c r="J34"/>
  <c r="J36"/>
  <c r="J38"/>
  <c r="J40"/>
  <c r="J42"/>
  <c r="J44"/>
  <c r="J13"/>
  <c r="J15"/>
  <c r="J17"/>
  <c r="J19"/>
  <c r="J21"/>
  <c r="J23"/>
  <c r="J25"/>
  <c r="J27"/>
  <c r="J29"/>
  <c r="J31"/>
  <c r="J33"/>
  <c r="J35"/>
  <c r="J37"/>
  <c r="J39"/>
  <c r="J41"/>
  <c r="J43"/>
  <c r="J45"/>
  <c r="E13" i="96"/>
  <c r="F14"/>
  <c r="F16"/>
  <c r="F18"/>
  <c r="F20"/>
  <c r="F22"/>
  <c r="F24"/>
  <c r="F26"/>
  <c r="F28"/>
  <c r="F30"/>
  <c r="F32"/>
  <c r="F34"/>
  <c r="F36"/>
  <c r="F38"/>
  <c r="F40"/>
  <c r="F42"/>
  <c r="F44"/>
  <c r="F46"/>
  <c r="F13"/>
  <c r="F15"/>
  <c r="F17"/>
  <c r="F19"/>
  <c r="F21"/>
  <c r="F23"/>
  <c r="F25"/>
  <c r="F27"/>
  <c r="F29"/>
  <c r="F31"/>
  <c r="F33"/>
  <c r="F35"/>
  <c r="F37"/>
  <c r="F39"/>
  <c r="F41"/>
  <c r="F43"/>
  <c r="F45"/>
  <c r="F47"/>
  <c r="H29" i="137"/>
  <c r="E13" i="99"/>
  <c r="F14"/>
  <c r="F16"/>
  <c r="F18"/>
  <c r="F20"/>
  <c r="F22"/>
  <c r="F24"/>
  <c r="F26"/>
  <c r="F28"/>
  <c r="F30"/>
  <c r="F32"/>
  <c r="F34"/>
  <c r="F36"/>
  <c r="F38"/>
  <c r="F40"/>
  <c r="F42"/>
  <c r="F44"/>
  <c r="F46"/>
  <c r="F13"/>
  <c r="F15"/>
  <c r="F17"/>
  <c r="F19"/>
  <c r="F21"/>
  <c r="F23"/>
  <c r="F25"/>
  <c r="F27"/>
  <c r="F29"/>
  <c r="F31"/>
  <c r="F33"/>
  <c r="F35"/>
  <c r="E13" i="98"/>
  <c r="F14"/>
  <c r="F16"/>
  <c r="F18"/>
  <c r="F20"/>
  <c r="F22"/>
  <c r="F24"/>
  <c r="F26"/>
  <c r="F28"/>
  <c r="F30"/>
  <c r="F32"/>
  <c r="F34"/>
  <c r="F36"/>
  <c r="F38"/>
  <c r="F40"/>
  <c r="F42"/>
  <c r="F44"/>
  <c r="F13"/>
  <c r="F41"/>
  <c r="F43"/>
  <c r="F45"/>
  <c r="E29" i="137"/>
  <c r="F29"/>
  <c r="I13" i="96"/>
  <c r="J14"/>
  <c r="J16"/>
  <c r="J18"/>
  <c r="J20"/>
  <c r="J22"/>
  <c r="J24"/>
  <c r="J26"/>
  <c r="J28"/>
  <c r="J30"/>
  <c r="J32"/>
  <c r="J34"/>
  <c r="J36"/>
  <c r="J38"/>
  <c r="J40"/>
  <c r="J42"/>
  <c r="J44"/>
  <c r="J46"/>
  <c r="J13"/>
  <c r="J15"/>
  <c r="J17"/>
  <c r="J19"/>
  <c r="J21"/>
  <c r="J23"/>
  <c r="J25"/>
  <c r="J27"/>
  <c r="J29"/>
  <c r="J31"/>
  <c r="J33"/>
  <c r="J35"/>
  <c r="J37"/>
  <c r="J39"/>
  <c r="J41"/>
  <c r="J43"/>
  <c r="J45"/>
  <c r="J47"/>
  <c r="F39" i="99"/>
  <c r="F43"/>
  <c r="F17" i="98"/>
  <c r="F21"/>
  <c r="F25"/>
  <c r="F29"/>
  <c r="F33"/>
  <c r="F37"/>
  <c r="K28" i="137"/>
  <c r="J28"/>
  <c r="I28"/>
  <c r="K24" i="133"/>
  <c r="K23"/>
  <c r="K24" i="134"/>
  <c r="K23"/>
  <c r="K24" i="135"/>
  <c r="K23"/>
  <c r="J24" i="134"/>
  <c r="J23" i="135"/>
  <c r="J23" i="133"/>
  <c r="I24"/>
  <c r="I23" i="134"/>
  <c r="I24" i="135"/>
  <c r="J22" i="133"/>
  <c r="J22" i="135"/>
  <c r="J22" i="134"/>
  <c r="J22" i="106"/>
  <c r="J22" i="105"/>
  <c r="I22" i="104"/>
  <c r="J22" i="140"/>
  <c r="J22" i="142"/>
  <c r="J22" i="139"/>
  <c r="J22" i="141"/>
  <c r="J22" i="143"/>
  <c r="J22" i="103"/>
  <c r="J22" i="115"/>
  <c r="J22" i="117"/>
  <c r="J22" i="114"/>
  <c r="J22" i="116"/>
  <c r="J22" i="118"/>
  <c r="J22" i="84"/>
  <c r="J22" i="86"/>
  <c r="J22" i="88"/>
  <c r="J22" i="83"/>
  <c r="J22" i="85"/>
  <c r="J22" i="82"/>
  <c r="J22" i="64"/>
  <c r="E48" i="107"/>
  <c r="D35" i="67"/>
  <c r="I22" i="135"/>
  <c r="K22"/>
  <c r="I22" i="134"/>
  <c r="K22"/>
  <c r="I22" i="133"/>
  <c r="K22"/>
  <c r="J21" i="134"/>
  <c r="J21" i="133"/>
  <c r="J21" i="135"/>
  <c r="I22" i="106"/>
  <c r="K22"/>
  <c r="J21"/>
  <c r="I22" i="105"/>
  <c r="K22"/>
  <c r="J21"/>
  <c r="I22" i="143"/>
  <c r="K22"/>
  <c r="I22" i="142"/>
  <c r="K22"/>
  <c r="I22" i="141"/>
  <c r="K22"/>
  <c r="I22" i="140"/>
  <c r="K22"/>
  <c r="I22" i="139"/>
  <c r="K22"/>
  <c r="J22" i="104"/>
  <c r="J21" i="139"/>
  <c r="J21" i="141"/>
  <c r="J21" i="143"/>
  <c r="J21" i="104"/>
  <c r="J21" i="140"/>
  <c r="J21" i="142"/>
  <c r="I22" i="118"/>
  <c r="K22"/>
  <c r="I22" i="117"/>
  <c r="K22"/>
  <c r="I22" i="116"/>
  <c r="K22"/>
  <c r="I22" i="115"/>
  <c r="K22"/>
  <c r="I22" i="114"/>
  <c r="K22"/>
  <c r="I22" i="103"/>
  <c r="K22"/>
  <c r="J21"/>
  <c r="J21" i="115"/>
  <c r="J21" i="117"/>
  <c r="J21" i="114"/>
  <c r="J21" i="116"/>
  <c r="J21" i="118"/>
  <c r="J22" i="102"/>
  <c r="J22" i="110"/>
  <c r="J22" i="112"/>
  <c r="J22" i="109"/>
  <c r="J22" i="111"/>
  <c r="J22" i="113"/>
  <c r="I22"/>
  <c r="K22"/>
  <c r="I22" i="112"/>
  <c r="K22"/>
  <c r="I22" i="111"/>
  <c r="K22"/>
  <c r="I22" i="110"/>
  <c r="K22"/>
  <c r="I22" i="109"/>
  <c r="K22"/>
  <c r="I22" i="102"/>
  <c r="K22"/>
  <c r="J21"/>
  <c r="J21" i="110"/>
  <c r="J21" i="112"/>
  <c r="J21" i="109"/>
  <c r="J21" i="111"/>
  <c r="J21" i="113"/>
  <c r="I22" i="88"/>
  <c r="K22"/>
  <c r="I22" i="86"/>
  <c r="K22"/>
  <c r="I22" i="85"/>
  <c r="K22"/>
  <c r="H22" i="131"/>
  <c r="I22" i="84"/>
  <c r="K22"/>
  <c r="I22" i="83"/>
  <c r="K22"/>
  <c r="J21" i="84"/>
  <c r="J21" i="86"/>
  <c r="J21" i="88"/>
  <c r="J21" i="83"/>
  <c r="J21" i="85"/>
  <c r="J21" i="87"/>
  <c r="I22" i="82"/>
  <c r="K22"/>
  <c r="J21"/>
  <c r="I22" i="64"/>
  <c r="K22"/>
  <c r="J21"/>
  <c r="I21" i="135"/>
  <c r="K21"/>
  <c r="I21" i="134"/>
  <c r="K21"/>
  <c r="I21" i="133"/>
  <c r="K21"/>
  <c r="I21" i="106"/>
  <c r="K21"/>
  <c r="I21" i="105"/>
  <c r="K21"/>
  <c r="I21" i="143"/>
  <c r="K21"/>
  <c r="I21" i="142"/>
  <c r="K21"/>
  <c r="I21" i="141"/>
  <c r="K21"/>
  <c r="I21" i="140"/>
  <c r="K21"/>
  <c r="I21" i="139"/>
  <c r="K21"/>
  <c r="I21" i="104"/>
  <c r="K21"/>
  <c r="I21" i="118"/>
  <c r="K21"/>
  <c r="I21" i="117"/>
  <c r="K21"/>
  <c r="I21" i="116"/>
  <c r="K21"/>
  <c r="I21" i="115"/>
  <c r="K21"/>
  <c r="I21" i="114"/>
  <c r="K21"/>
  <c r="I21" i="103"/>
  <c r="K21"/>
  <c r="I21" i="113"/>
  <c r="K21"/>
  <c r="I21" i="112"/>
  <c r="K21"/>
  <c r="I21" i="111"/>
  <c r="K21"/>
  <c r="I21" i="110"/>
  <c r="K21"/>
  <c r="I21" i="109"/>
  <c r="K21"/>
  <c r="I21" i="102"/>
  <c r="K21"/>
  <c r="I21" i="88"/>
  <c r="K21"/>
  <c r="I21" i="87"/>
  <c r="K21"/>
  <c r="I21" i="86"/>
  <c r="K21"/>
  <c r="I21" i="85"/>
  <c r="K21"/>
  <c r="I21" i="84"/>
  <c r="K21"/>
  <c r="I21" i="83"/>
  <c r="K21"/>
  <c r="I21" i="82"/>
  <c r="K21"/>
  <c r="I21" i="64"/>
  <c r="K21"/>
  <c r="I13" i="143"/>
  <c r="K13"/>
  <c r="K14"/>
  <c r="I15"/>
  <c r="K15"/>
  <c r="I16"/>
  <c r="K16"/>
  <c r="I17"/>
  <c r="K17"/>
  <c r="I18"/>
  <c r="K18"/>
  <c r="I19"/>
  <c r="K19"/>
  <c r="I20"/>
  <c r="K20"/>
  <c r="C25"/>
  <c r="E25"/>
  <c r="G25"/>
  <c r="J13"/>
  <c r="N13"/>
  <c r="H28" s="1"/>
  <c r="J14"/>
  <c r="J15"/>
  <c r="J16"/>
  <c r="J17"/>
  <c r="J18"/>
  <c r="J19"/>
  <c r="J20"/>
  <c r="D25"/>
  <c r="D26" s="1"/>
  <c r="F25"/>
  <c r="F26" s="1"/>
  <c r="I13" i="142"/>
  <c r="K13"/>
  <c r="I14"/>
  <c r="I15"/>
  <c r="I16"/>
  <c r="I17"/>
  <c r="I18"/>
  <c r="I19"/>
  <c r="K20"/>
  <c r="C25"/>
  <c r="E25"/>
  <c r="G25"/>
  <c r="J13"/>
  <c r="N13"/>
  <c r="H28" s="1"/>
  <c r="J14"/>
  <c r="J15"/>
  <c r="J16"/>
  <c r="J17"/>
  <c r="J18"/>
  <c r="J19"/>
  <c r="J20"/>
  <c r="D25"/>
  <c r="D26" s="1"/>
  <c r="F25"/>
  <c r="F26" s="1"/>
  <c r="I13" i="141"/>
  <c r="K13"/>
  <c r="I14"/>
  <c r="K14"/>
  <c r="I15"/>
  <c r="K15"/>
  <c r="I16"/>
  <c r="K16"/>
  <c r="I17"/>
  <c r="K17"/>
  <c r="I18"/>
  <c r="K18"/>
  <c r="I19"/>
  <c r="K19"/>
  <c r="I20"/>
  <c r="K20"/>
  <c r="C25"/>
  <c r="E25"/>
  <c r="G25"/>
  <c r="J13"/>
  <c r="N13"/>
  <c r="H28" s="1"/>
  <c r="J14"/>
  <c r="J15"/>
  <c r="J16"/>
  <c r="J17"/>
  <c r="J18"/>
  <c r="J19"/>
  <c r="J20"/>
  <c r="D25"/>
  <c r="D26" s="1"/>
  <c r="F25"/>
  <c r="F26" s="1"/>
  <c r="I13" i="140"/>
  <c r="K13"/>
  <c r="I14"/>
  <c r="K14"/>
  <c r="K15"/>
  <c r="K16"/>
  <c r="K17"/>
  <c r="I18"/>
  <c r="K19"/>
  <c r="I20"/>
  <c r="K20"/>
  <c r="C25"/>
  <c r="E25"/>
  <c r="G25"/>
  <c r="J13"/>
  <c r="N13"/>
  <c r="H28" s="1"/>
  <c r="J14"/>
  <c r="J15"/>
  <c r="J16"/>
  <c r="J17"/>
  <c r="J18"/>
  <c r="J19"/>
  <c r="J20"/>
  <c r="D25"/>
  <c r="D26" s="1"/>
  <c r="F25"/>
  <c r="F26" s="1"/>
  <c r="I13" i="139"/>
  <c r="K13"/>
  <c r="I14"/>
  <c r="K14"/>
  <c r="I15"/>
  <c r="K15"/>
  <c r="I16"/>
  <c r="K16"/>
  <c r="I17"/>
  <c r="K17"/>
  <c r="I18"/>
  <c r="K18"/>
  <c r="I19"/>
  <c r="K19"/>
  <c r="I20"/>
  <c r="K20"/>
  <c r="C25"/>
  <c r="E25"/>
  <c r="G25"/>
  <c r="J13"/>
  <c r="N13"/>
  <c r="H28" s="1"/>
  <c r="J14"/>
  <c r="J15"/>
  <c r="J16"/>
  <c r="J17"/>
  <c r="J18"/>
  <c r="J19"/>
  <c r="J20"/>
  <c r="D25"/>
  <c r="D26" s="1"/>
  <c r="F25"/>
  <c r="F26" s="1"/>
  <c r="H25" i="19"/>
  <c r="G25"/>
  <c r="D25"/>
  <c r="C25"/>
  <c r="H20"/>
  <c r="G20"/>
  <c r="H19"/>
  <c r="G19"/>
  <c r="H18"/>
  <c r="G18"/>
  <c r="H17"/>
  <c r="G17"/>
  <c r="H16"/>
  <c r="G16"/>
  <c r="D20"/>
  <c r="D19"/>
  <c r="D18"/>
  <c r="D17"/>
  <c r="D16"/>
  <c r="C20"/>
  <c r="C19"/>
  <c r="C18"/>
  <c r="C17"/>
  <c r="C16"/>
  <c r="B20"/>
  <c r="B19"/>
  <c r="B18"/>
  <c r="B17"/>
  <c r="B16"/>
  <c r="F17"/>
  <c r="C21" l="1"/>
  <c r="F16"/>
  <c r="F18"/>
  <c r="F20"/>
  <c r="J16"/>
  <c r="J17"/>
  <c r="J18"/>
  <c r="J19"/>
  <c r="J20"/>
  <c r="F19"/>
  <c r="G21"/>
  <c r="G26" i="143"/>
  <c r="F28"/>
  <c r="G28"/>
  <c r="C28"/>
  <c r="E26"/>
  <c r="D28"/>
  <c r="D29" s="1"/>
  <c r="E28"/>
  <c r="G26" i="142"/>
  <c r="F28"/>
  <c r="G28"/>
  <c r="C28"/>
  <c r="E26"/>
  <c r="D28"/>
  <c r="D29" s="1"/>
  <c r="E28"/>
  <c r="E26" i="141"/>
  <c r="F28"/>
  <c r="G28"/>
  <c r="C28"/>
  <c r="H29"/>
  <c r="J28"/>
  <c r="K28"/>
  <c r="I28"/>
  <c r="G26"/>
  <c r="D28"/>
  <c r="D29" s="1"/>
  <c r="E28"/>
  <c r="G26" i="140"/>
  <c r="F28"/>
  <c r="G28"/>
  <c r="C28"/>
  <c r="E26"/>
  <c r="D28"/>
  <c r="D29" s="1"/>
  <c r="E28"/>
  <c r="G26" i="139"/>
  <c r="G28"/>
  <c r="H29" s="1"/>
  <c r="C28"/>
  <c r="D28"/>
  <c r="E26"/>
  <c r="E28"/>
  <c r="E29" s="1"/>
  <c r="F28"/>
  <c r="D21" i="19"/>
  <c r="F21" s="1"/>
  <c r="H21"/>
  <c r="J21" s="1"/>
  <c r="N41" i="135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N19" i="134"/>
  <c r="N17"/>
  <c r="N15"/>
  <c r="J20"/>
  <c r="K18"/>
  <c r="K16"/>
  <c r="K14"/>
  <c r="N41"/>
  <c r="N40"/>
  <c r="N39"/>
  <c r="N38"/>
  <c r="N36"/>
  <c r="N35"/>
  <c r="N34"/>
  <c r="N33"/>
  <c r="N32"/>
  <c r="N24"/>
  <c r="N23"/>
  <c r="N22"/>
  <c r="N21"/>
  <c r="N20"/>
  <c r="N18"/>
  <c r="N16"/>
  <c r="N14"/>
  <c r="N41" i="133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I33" i="132"/>
  <c r="E33"/>
  <c r="I31"/>
  <c r="E31"/>
  <c r="I29"/>
  <c r="E29"/>
  <c r="I27"/>
  <c r="E27"/>
  <c r="I25"/>
  <c r="E25"/>
  <c r="I23"/>
  <c r="E23"/>
  <c r="I21"/>
  <c r="E21"/>
  <c r="I19"/>
  <c r="E19"/>
  <c r="H19" i="131"/>
  <c r="H18"/>
  <c r="H17"/>
  <c r="H16"/>
  <c r="H15"/>
  <c r="H14"/>
  <c r="H13"/>
  <c r="H25" s="1"/>
  <c r="G24"/>
  <c r="F24"/>
  <c r="E24"/>
  <c r="D24"/>
  <c r="C24"/>
  <c r="G23"/>
  <c r="F23"/>
  <c r="E23"/>
  <c r="D23"/>
  <c r="C23"/>
  <c r="G22"/>
  <c r="K22" s="1"/>
  <c r="F22"/>
  <c r="E22"/>
  <c r="D22"/>
  <c r="C22"/>
  <c r="G21"/>
  <c r="F21"/>
  <c r="E21"/>
  <c r="D21"/>
  <c r="C21"/>
  <c r="G20"/>
  <c r="F20"/>
  <c r="E20"/>
  <c r="D20"/>
  <c r="C20"/>
  <c r="G19"/>
  <c r="F19"/>
  <c r="E19"/>
  <c r="D19"/>
  <c r="C19"/>
  <c r="G18"/>
  <c r="F18"/>
  <c r="E18"/>
  <c r="D18"/>
  <c r="C18"/>
  <c r="G17"/>
  <c r="F17"/>
  <c r="E17"/>
  <c r="D17"/>
  <c r="C17"/>
  <c r="G16"/>
  <c r="F16"/>
  <c r="E16"/>
  <c r="D16"/>
  <c r="C16"/>
  <c r="G15"/>
  <c r="F15"/>
  <c r="E15"/>
  <c r="D15"/>
  <c r="C15"/>
  <c r="G14"/>
  <c r="F14"/>
  <c r="E14"/>
  <c r="D14"/>
  <c r="C14"/>
  <c r="G13"/>
  <c r="F13"/>
  <c r="E13"/>
  <c r="D13"/>
  <c r="C13"/>
  <c r="N41"/>
  <c r="N40"/>
  <c r="N39"/>
  <c r="N38"/>
  <c r="N36"/>
  <c r="N35"/>
  <c r="N34"/>
  <c r="N33"/>
  <c r="N32"/>
  <c r="N24"/>
  <c r="N23"/>
  <c r="N22"/>
  <c r="N21"/>
  <c r="N20"/>
  <c r="N19"/>
  <c r="K19"/>
  <c r="N18"/>
  <c r="K18"/>
  <c r="N17"/>
  <c r="K17"/>
  <c r="N16"/>
  <c r="K16"/>
  <c r="N15"/>
  <c r="I15"/>
  <c r="N14"/>
  <c r="K14"/>
  <c r="N13"/>
  <c r="H28" s="1"/>
  <c r="I13"/>
  <c r="E28"/>
  <c r="C45" i="80"/>
  <c r="C46"/>
  <c r="C47"/>
  <c r="H13" i="130"/>
  <c r="J41" s="1"/>
  <c r="G13"/>
  <c r="D13"/>
  <c r="F41" s="1"/>
  <c r="C13"/>
  <c r="I43"/>
  <c r="E43"/>
  <c r="J42"/>
  <c r="I42"/>
  <c r="E42"/>
  <c r="I41"/>
  <c r="E41"/>
  <c r="J40"/>
  <c r="J39"/>
  <c r="I39"/>
  <c r="F39"/>
  <c r="E39"/>
  <c r="J38"/>
  <c r="J37"/>
  <c r="I37"/>
  <c r="F37"/>
  <c r="E37"/>
  <c r="J36"/>
  <c r="J35"/>
  <c r="I35"/>
  <c r="F35"/>
  <c r="E35"/>
  <c r="J34"/>
  <c r="J33"/>
  <c r="I33"/>
  <c r="F33"/>
  <c r="E33"/>
  <c r="J32"/>
  <c r="H31"/>
  <c r="G31"/>
  <c r="D31"/>
  <c r="C31"/>
  <c r="I30"/>
  <c r="E30"/>
  <c r="J29"/>
  <c r="I29"/>
  <c r="F29"/>
  <c r="E29"/>
  <c r="I28"/>
  <c r="E28"/>
  <c r="J27"/>
  <c r="I27"/>
  <c r="F27"/>
  <c r="E27"/>
  <c r="J26"/>
  <c r="I26"/>
  <c r="F26"/>
  <c r="E26"/>
  <c r="J25"/>
  <c r="I25"/>
  <c r="F25"/>
  <c r="E25"/>
  <c r="J24"/>
  <c r="I24"/>
  <c r="F24"/>
  <c r="E24"/>
  <c r="J23"/>
  <c r="J22"/>
  <c r="I22"/>
  <c r="F22"/>
  <c r="E22"/>
  <c r="J21"/>
  <c r="J20"/>
  <c r="I20"/>
  <c r="F20"/>
  <c r="E20"/>
  <c r="H19"/>
  <c r="J19" s="1"/>
  <c r="G19"/>
  <c r="D19"/>
  <c r="F19" s="1"/>
  <c r="C19"/>
  <c r="J18"/>
  <c r="J17"/>
  <c r="I17"/>
  <c r="F17"/>
  <c r="E17"/>
  <c r="J16"/>
  <c r="G15"/>
  <c r="C15"/>
  <c r="C14" s="1"/>
  <c r="H13" i="129"/>
  <c r="J32" s="1"/>
  <c r="G13"/>
  <c r="D13"/>
  <c r="F40" s="1"/>
  <c r="C13"/>
  <c r="I43"/>
  <c r="E43"/>
  <c r="J42"/>
  <c r="I42"/>
  <c r="F42"/>
  <c r="E42"/>
  <c r="J41"/>
  <c r="I41"/>
  <c r="F41"/>
  <c r="E41"/>
  <c r="J40"/>
  <c r="I39"/>
  <c r="E39"/>
  <c r="I37"/>
  <c r="E37"/>
  <c r="I35"/>
  <c r="E35"/>
  <c r="E34"/>
  <c r="I33"/>
  <c r="E33"/>
  <c r="I32"/>
  <c r="E32"/>
  <c r="H31"/>
  <c r="G31"/>
  <c r="D31"/>
  <c r="C31"/>
  <c r="I30"/>
  <c r="E30"/>
  <c r="I29"/>
  <c r="E29"/>
  <c r="I28"/>
  <c r="E28"/>
  <c r="I26"/>
  <c r="E26"/>
  <c r="I25"/>
  <c r="E25"/>
  <c r="I24"/>
  <c r="E24"/>
  <c r="I23"/>
  <c r="E23"/>
  <c r="I22"/>
  <c r="E22"/>
  <c r="I20"/>
  <c r="E20"/>
  <c r="H19"/>
  <c r="G19"/>
  <c r="D19"/>
  <c r="C19"/>
  <c r="C14" s="1"/>
  <c r="C44" s="1"/>
  <c r="J17"/>
  <c r="I17"/>
  <c r="F17"/>
  <c r="E17"/>
  <c r="J16"/>
  <c r="H15"/>
  <c r="G15"/>
  <c r="D15"/>
  <c r="D14" s="1"/>
  <c r="C15"/>
  <c r="H14"/>
  <c r="H13" i="128"/>
  <c r="J37" s="1"/>
  <c r="G13"/>
  <c r="D13"/>
  <c r="F37" s="1"/>
  <c r="C13"/>
  <c r="I43"/>
  <c r="E43"/>
  <c r="J42"/>
  <c r="I42"/>
  <c r="F42"/>
  <c r="E42"/>
  <c r="J41"/>
  <c r="I41"/>
  <c r="F41"/>
  <c r="E41"/>
  <c r="J40"/>
  <c r="I39"/>
  <c r="F39"/>
  <c r="E39"/>
  <c r="J38"/>
  <c r="I37"/>
  <c r="E37"/>
  <c r="I35"/>
  <c r="E35"/>
  <c r="I33"/>
  <c r="E33"/>
  <c r="G31"/>
  <c r="C31"/>
  <c r="J25"/>
  <c r="G19"/>
  <c r="C19"/>
  <c r="H19"/>
  <c r="D19"/>
  <c r="J17"/>
  <c r="I17"/>
  <c r="F17"/>
  <c r="E17"/>
  <c r="J16"/>
  <c r="G15"/>
  <c r="C15"/>
  <c r="C15" i="125"/>
  <c r="H13"/>
  <c r="J42" s="1"/>
  <c r="G13"/>
  <c r="D13"/>
  <c r="F43" s="1"/>
  <c r="C13"/>
  <c r="E42" i="126"/>
  <c r="I30"/>
  <c r="E30"/>
  <c r="C19"/>
  <c r="I42"/>
  <c r="I41"/>
  <c r="E41"/>
  <c r="H31"/>
  <c r="G31"/>
  <c r="D31"/>
  <c r="C31"/>
  <c r="I29"/>
  <c r="E29"/>
  <c r="I28"/>
  <c r="E28"/>
  <c r="E25"/>
  <c r="E23"/>
  <c r="E21"/>
  <c r="H19"/>
  <c r="G19"/>
  <c r="D19"/>
  <c r="I18"/>
  <c r="E18"/>
  <c r="I16"/>
  <c r="E16"/>
  <c r="H15"/>
  <c r="G15"/>
  <c r="D15"/>
  <c r="D14" s="1"/>
  <c r="C15"/>
  <c r="H14"/>
  <c r="I43" i="125"/>
  <c r="E43"/>
  <c r="I42"/>
  <c r="E42"/>
  <c r="I41"/>
  <c r="E41"/>
  <c r="F40"/>
  <c r="I39"/>
  <c r="E39"/>
  <c r="F38"/>
  <c r="I37"/>
  <c r="E37"/>
  <c r="F36"/>
  <c r="I35"/>
  <c r="E35"/>
  <c r="F34"/>
  <c r="I33"/>
  <c r="E33"/>
  <c r="F32"/>
  <c r="H31"/>
  <c r="G31"/>
  <c r="D31"/>
  <c r="C31"/>
  <c r="I30"/>
  <c r="E30"/>
  <c r="I29"/>
  <c r="E29"/>
  <c r="I28"/>
  <c r="E28"/>
  <c r="I27"/>
  <c r="E27"/>
  <c r="I26"/>
  <c r="E26"/>
  <c r="I25"/>
  <c r="E25"/>
  <c r="I24"/>
  <c r="E24"/>
  <c r="I23"/>
  <c r="E23"/>
  <c r="I22"/>
  <c r="E22"/>
  <c r="I21"/>
  <c r="E21"/>
  <c r="I20"/>
  <c r="E20"/>
  <c r="H19"/>
  <c r="G19"/>
  <c r="I19" s="1"/>
  <c r="D19"/>
  <c r="C19"/>
  <c r="E19" s="1"/>
  <c r="I18"/>
  <c r="E18"/>
  <c r="I17"/>
  <c r="E17"/>
  <c r="I16"/>
  <c r="E16"/>
  <c r="H15"/>
  <c r="G15"/>
  <c r="G14" s="1"/>
  <c r="G44" s="1"/>
  <c r="D15"/>
  <c r="D14" s="1"/>
  <c r="H14"/>
  <c r="H13" i="124"/>
  <c r="G13"/>
  <c r="D13"/>
  <c r="F16" s="1"/>
  <c r="C13"/>
  <c r="I42"/>
  <c r="E42"/>
  <c r="I41"/>
  <c r="E41"/>
  <c r="G30"/>
  <c r="C30"/>
  <c r="H30"/>
  <c r="D30"/>
  <c r="I29"/>
  <c r="E29"/>
  <c r="I28"/>
  <c r="E28"/>
  <c r="I27"/>
  <c r="E27"/>
  <c r="I25"/>
  <c r="E25"/>
  <c r="I23"/>
  <c r="E23"/>
  <c r="I21"/>
  <c r="E21"/>
  <c r="I20"/>
  <c r="E20"/>
  <c r="H19"/>
  <c r="G19"/>
  <c r="D19"/>
  <c r="C19"/>
  <c r="F18"/>
  <c r="I17"/>
  <c r="E17"/>
  <c r="H15"/>
  <c r="G15"/>
  <c r="D15"/>
  <c r="C15"/>
  <c r="H14"/>
  <c r="G14"/>
  <c r="D14"/>
  <c r="C14"/>
  <c r="H19" i="120"/>
  <c r="G31"/>
  <c r="G19"/>
  <c r="I23"/>
  <c r="I39"/>
  <c r="I37"/>
  <c r="I35"/>
  <c r="I33"/>
  <c r="I32"/>
  <c r="E39"/>
  <c r="E37"/>
  <c r="E35"/>
  <c r="E33"/>
  <c r="D31"/>
  <c r="I27"/>
  <c r="I21"/>
  <c r="B18"/>
  <c r="B17"/>
  <c r="B16"/>
  <c r="E18"/>
  <c r="E17"/>
  <c r="H45" i="19"/>
  <c r="H44"/>
  <c r="G45"/>
  <c r="G44"/>
  <c r="E16" i="120"/>
  <c r="E20"/>
  <c r="E23"/>
  <c r="I25"/>
  <c r="E40"/>
  <c r="E38"/>
  <c r="E36"/>
  <c r="E34"/>
  <c r="E32"/>
  <c r="M48" i="119"/>
  <c r="I25"/>
  <c r="E25"/>
  <c r="E24"/>
  <c r="I23"/>
  <c r="E23"/>
  <c r="I22"/>
  <c r="E22"/>
  <c r="I21"/>
  <c r="E21"/>
  <c r="I20"/>
  <c r="E20"/>
  <c r="I19"/>
  <c r="E19"/>
  <c r="I23" i="131" l="1"/>
  <c r="J23"/>
  <c r="K23"/>
  <c r="E13" i="125"/>
  <c r="F16"/>
  <c r="J16"/>
  <c r="F18"/>
  <c r="J18"/>
  <c r="F19"/>
  <c r="J19"/>
  <c r="F21"/>
  <c r="J21"/>
  <c r="F23"/>
  <c r="J23"/>
  <c r="F25"/>
  <c r="J25"/>
  <c r="F27"/>
  <c r="J27"/>
  <c r="F29"/>
  <c r="J29"/>
  <c r="J32"/>
  <c r="F33"/>
  <c r="J33"/>
  <c r="J34"/>
  <c r="F35"/>
  <c r="J35"/>
  <c r="J36"/>
  <c r="F37"/>
  <c r="J37"/>
  <c r="J38"/>
  <c r="F39"/>
  <c r="J39"/>
  <c r="J40"/>
  <c r="F41"/>
  <c r="J41"/>
  <c r="F42"/>
  <c r="J21" i="128"/>
  <c r="J29"/>
  <c r="F33"/>
  <c r="J34"/>
  <c r="F16" i="130"/>
  <c r="F18"/>
  <c r="F21"/>
  <c r="F23"/>
  <c r="F32"/>
  <c r="F34"/>
  <c r="F36"/>
  <c r="F38"/>
  <c r="F40"/>
  <c r="I24" i="131"/>
  <c r="K24"/>
  <c r="J24"/>
  <c r="I22"/>
  <c r="J22"/>
  <c r="G14" i="129"/>
  <c r="I20" i="131"/>
  <c r="J20"/>
  <c r="K20"/>
  <c r="J21"/>
  <c r="I21"/>
  <c r="K21"/>
  <c r="J18" i="128"/>
  <c r="J19"/>
  <c r="J23"/>
  <c r="J27"/>
  <c r="J32"/>
  <c r="J33"/>
  <c r="J35"/>
  <c r="F16"/>
  <c r="F18"/>
  <c r="F19"/>
  <c r="F21"/>
  <c r="F23"/>
  <c r="F25"/>
  <c r="F27"/>
  <c r="F35"/>
  <c r="F29"/>
  <c r="F32"/>
  <c r="F34"/>
  <c r="J36"/>
  <c r="I13" i="125"/>
  <c r="I13" i="129"/>
  <c r="J21"/>
  <c r="F23"/>
  <c r="J23"/>
  <c r="F25"/>
  <c r="J25"/>
  <c r="F26"/>
  <c r="J26"/>
  <c r="F36"/>
  <c r="E13" i="128"/>
  <c r="F15" i="129"/>
  <c r="J15"/>
  <c r="J18"/>
  <c r="F19"/>
  <c r="J19"/>
  <c r="F20"/>
  <c r="J20"/>
  <c r="J27"/>
  <c r="F29"/>
  <c r="J29"/>
  <c r="F32"/>
  <c r="F34"/>
  <c r="F38"/>
  <c r="G29" i="143"/>
  <c r="C44" i="130"/>
  <c r="E15" i="129"/>
  <c r="I15"/>
  <c r="H44"/>
  <c r="G44"/>
  <c r="G14" i="126"/>
  <c r="C14"/>
  <c r="I14" i="124"/>
  <c r="I15"/>
  <c r="I19"/>
  <c r="C43"/>
  <c r="G43"/>
  <c r="D43"/>
  <c r="H43"/>
  <c r="F40" i="128"/>
  <c r="J39"/>
  <c r="I13"/>
  <c r="E13" i="129"/>
  <c r="F16"/>
  <c r="F18"/>
  <c r="F21"/>
  <c r="F27"/>
  <c r="J34"/>
  <c r="F35"/>
  <c r="J35"/>
  <c r="J36"/>
  <c r="F37"/>
  <c r="J37"/>
  <c r="J38"/>
  <c r="F39"/>
  <c r="J39"/>
  <c r="E29" i="143"/>
  <c r="K28"/>
  <c r="H29"/>
  <c r="F29"/>
  <c r="I28"/>
  <c r="J28"/>
  <c r="E29" i="142"/>
  <c r="G29"/>
  <c r="K28"/>
  <c r="H29"/>
  <c r="F29"/>
  <c r="I28"/>
  <c r="J28"/>
  <c r="E29" i="141"/>
  <c r="G29"/>
  <c r="F29"/>
  <c r="F29" i="140"/>
  <c r="E29"/>
  <c r="G29"/>
  <c r="K28"/>
  <c r="H29"/>
  <c r="I28"/>
  <c r="J28"/>
  <c r="D29" i="139"/>
  <c r="F29"/>
  <c r="K28"/>
  <c r="G29"/>
  <c r="I28"/>
  <c r="J28"/>
  <c r="C28" i="131"/>
  <c r="G14" i="130"/>
  <c r="G44" s="1"/>
  <c r="I31" i="129"/>
  <c r="E31"/>
  <c r="E14" i="124"/>
  <c r="I24" i="119"/>
  <c r="F36" i="128"/>
  <c r="F38"/>
  <c r="I19" i="131"/>
  <c r="H25" i="134"/>
  <c r="J13" i="135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K13" i="134"/>
  <c r="K15"/>
  <c r="K17"/>
  <c r="K19"/>
  <c r="J13"/>
  <c r="N13"/>
  <c r="H28" s="1"/>
  <c r="J14"/>
  <c r="J15"/>
  <c r="J16"/>
  <c r="J17"/>
  <c r="J18"/>
  <c r="J19"/>
  <c r="I20"/>
  <c r="K20"/>
  <c r="C25"/>
  <c r="E25"/>
  <c r="G25"/>
  <c r="G28"/>
  <c r="I13"/>
  <c r="I14"/>
  <c r="I15"/>
  <c r="I16"/>
  <c r="I17"/>
  <c r="I18"/>
  <c r="I19"/>
  <c r="D25"/>
  <c r="F25"/>
  <c r="J13" i="13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E14" i="132"/>
  <c r="I14"/>
  <c r="E15"/>
  <c r="I15"/>
  <c r="E16"/>
  <c r="I16"/>
  <c r="E17"/>
  <c r="I17"/>
  <c r="E18"/>
  <c r="I18"/>
  <c r="E20"/>
  <c r="I20"/>
  <c r="E22"/>
  <c r="I22"/>
  <c r="E24"/>
  <c r="I24"/>
  <c r="E26"/>
  <c r="I26"/>
  <c r="E28"/>
  <c r="I28"/>
  <c r="E30"/>
  <c r="I30"/>
  <c r="E32"/>
  <c r="I32"/>
  <c r="D28" i="131"/>
  <c r="F28"/>
  <c r="F29" s="1"/>
  <c r="E29"/>
  <c r="K13"/>
  <c r="I14"/>
  <c r="K15"/>
  <c r="I16"/>
  <c r="I17"/>
  <c r="I18"/>
  <c r="D25"/>
  <c r="F25"/>
  <c r="J13"/>
  <c r="J14"/>
  <c r="J15"/>
  <c r="J16"/>
  <c r="J17"/>
  <c r="J18"/>
  <c r="J19"/>
  <c r="C25"/>
  <c r="E25"/>
  <c r="E26" s="1"/>
  <c r="G25"/>
  <c r="G26" s="1"/>
  <c r="G28"/>
  <c r="G29" s="1"/>
  <c r="E31" i="130"/>
  <c r="I31"/>
  <c r="F42"/>
  <c r="F13"/>
  <c r="J13"/>
  <c r="D15"/>
  <c r="H15"/>
  <c r="E16"/>
  <c r="I16"/>
  <c r="E18"/>
  <c r="I18"/>
  <c r="E19"/>
  <c r="I19"/>
  <c r="E21"/>
  <c r="I21"/>
  <c r="E23"/>
  <c r="I23"/>
  <c r="F28"/>
  <c r="J28"/>
  <c r="F30"/>
  <c r="J30"/>
  <c r="F31"/>
  <c r="J31"/>
  <c r="E32"/>
  <c r="I32"/>
  <c r="E34"/>
  <c r="I34"/>
  <c r="E36"/>
  <c r="I36"/>
  <c r="E38"/>
  <c r="I38"/>
  <c r="E40"/>
  <c r="I40"/>
  <c r="F43"/>
  <c r="J43"/>
  <c r="E13"/>
  <c r="I13"/>
  <c r="I14" i="129"/>
  <c r="E14"/>
  <c r="F13"/>
  <c r="J13"/>
  <c r="F14"/>
  <c r="J14"/>
  <c r="E16"/>
  <c r="I16"/>
  <c r="E18"/>
  <c r="I18"/>
  <c r="E19"/>
  <c r="I19"/>
  <c r="E21"/>
  <c r="I21"/>
  <c r="F22"/>
  <c r="J22"/>
  <c r="F24"/>
  <c r="J24"/>
  <c r="E27"/>
  <c r="I27"/>
  <c r="F28"/>
  <c r="J28"/>
  <c r="F30"/>
  <c r="J30"/>
  <c r="F31"/>
  <c r="J31"/>
  <c r="F33"/>
  <c r="J33"/>
  <c r="I34"/>
  <c r="E36"/>
  <c r="I36"/>
  <c r="E38"/>
  <c r="I38"/>
  <c r="E40"/>
  <c r="I40"/>
  <c r="F43"/>
  <c r="J43"/>
  <c r="D44"/>
  <c r="G14" i="128"/>
  <c r="G44" s="1"/>
  <c r="C14"/>
  <c r="D15"/>
  <c r="H15"/>
  <c r="E20"/>
  <c r="I20"/>
  <c r="E21"/>
  <c r="I21"/>
  <c r="E22"/>
  <c r="I22"/>
  <c r="E23"/>
  <c r="I23"/>
  <c r="E24"/>
  <c r="I24"/>
  <c r="E25"/>
  <c r="I25"/>
  <c r="E26"/>
  <c r="I26"/>
  <c r="E27"/>
  <c r="I27"/>
  <c r="E28"/>
  <c r="I28"/>
  <c r="E29"/>
  <c r="I29"/>
  <c r="E30"/>
  <c r="I30"/>
  <c r="D31"/>
  <c r="E31" s="1"/>
  <c r="H31"/>
  <c r="I31" s="1"/>
  <c r="C44"/>
  <c r="E15"/>
  <c r="I15"/>
  <c r="E19" i="126"/>
  <c r="I19"/>
  <c r="I21"/>
  <c r="I23"/>
  <c r="I25"/>
  <c r="F13" i="128"/>
  <c r="J13"/>
  <c r="E16"/>
  <c r="I16"/>
  <c r="E18"/>
  <c r="I18"/>
  <c r="E19"/>
  <c r="I19"/>
  <c r="F20"/>
  <c r="J20"/>
  <c r="F22"/>
  <c r="J22"/>
  <c r="F24"/>
  <c r="J24"/>
  <c r="F26"/>
  <c r="J26"/>
  <c r="F28"/>
  <c r="J28"/>
  <c r="F30"/>
  <c r="J30"/>
  <c r="F31"/>
  <c r="J31"/>
  <c r="E32"/>
  <c r="I32"/>
  <c r="E34"/>
  <c r="I34"/>
  <c r="E36"/>
  <c r="I36"/>
  <c r="E38"/>
  <c r="I38"/>
  <c r="E40"/>
  <c r="I40"/>
  <c r="F43"/>
  <c r="J43"/>
  <c r="I31" i="125"/>
  <c r="E31"/>
  <c r="C14"/>
  <c r="C44" s="1"/>
  <c r="I14"/>
  <c r="I15"/>
  <c r="E15"/>
  <c r="E14"/>
  <c r="E27" i="126"/>
  <c r="I27"/>
  <c r="I31"/>
  <c r="E31"/>
  <c r="E14"/>
  <c r="I14"/>
  <c r="E15"/>
  <c r="I15"/>
  <c r="E17"/>
  <c r="I17"/>
  <c r="E20"/>
  <c r="I20"/>
  <c r="E22"/>
  <c r="I22"/>
  <c r="E24"/>
  <c r="I24"/>
  <c r="E26"/>
  <c r="I26"/>
  <c r="E32"/>
  <c r="I32"/>
  <c r="E34"/>
  <c r="I34"/>
  <c r="E36"/>
  <c r="I36"/>
  <c r="E38"/>
  <c r="I38"/>
  <c r="E40"/>
  <c r="I40"/>
  <c r="E33"/>
  <c r="I33"/>
  <c r="E35"/>
  <c r="I35"/>
  <c r="E37"/>
  <c r="I37"/>
  <c r="E39"/>
  <c r="I39"/>
  <c r="F13" i="125"/>
  <c r="J13"/>
  <c r="F14"/>
  <c r="J14"/>
  <c r="F15"/>
  <c r="J15"/>
  <c r="F17"/>
  <c r="J17"/>
  <c r="F20"/>
  <c r="J20"/>
  <c r="F22"/>
  <c r="J22"/>
  <c r="F24"/>
  <c r="J24"/>
  <c r="F26"/>
  <c r="J26"/>
  <c r="F28"/>
  <c r="J28"/>
  <c r="F30"/>
  <c r="J30"/>
  <c r="F31"/>
  <c r="J31"/>
  <c r="E32"/>
  <c r="I32"/>
  <c r="E34"/>
  <c r="I34"/>
  <c r="E36"/>
  <c r="I36"/>
  <c r="E38"/>
  <c r="I38"/>
  <c r="E40"/>
  <c r="I40"/>
  <c r="J43"/>
  <c r="D44"/>
  <c r="H44"/>
  <c r="E19" i="124"/>
  <c r="E30"/>
  <c r="I30"/>
  <c r="F32"/>
  <c r="J32"/>
  <c r="F34"/>
  <c r="J34"/>
  <c r="F36"/>
  <c r="J36"/>
  <c r="F38"/>
  <c r="J38"/>
  <c r="F40"/>
  <c r="J40"/>
  <c r="I13"/>
  <c r="F14"/>
  <c r="J14"/>
  <c r="F15"/>
  <c r="J15"/>
  <c r="J16"/>
  <c r="F17"/>
  <c r="J17"/>
  <c r="J18"/>
  <c r="F19"/>
  <c r="J19"/>
  <c r="F20"/>
  <c r="J20"/>
  <c r="F21"/>
  <c r="J21"/>
  <c r="E22"/>
  <c r="I22"/>
  <c r="F23"/>
  <c r="J23"/>
  <c r="E24"/>
  <c r="I24"/>
  <c r="F25"/>
  <c r="J25"/>
  <c r="E26"/>
  <c r="I26"/>
  <c r="F28"/>
  <c r="J28"/>
  <c r="F31"/>
  <c r="J31"/>
  <c r="E32"/>
  <c r="I32"/>
  <c r="F33"/>
  <c r="J33"/>
  <c r="E34"/>
  <c r="I34"/>
  <c r="F35"/>
  <c r="J35"/>
  <c r="E36"/>
  <c r="I36"/>
  <c r="F37"/>
  <c r="J37"/>
  <c r="E38"/>
  <c r="I38"/>
  <c r="F39"/>
  <c r="J39"/>
  <c r="E40"/>
  <c r="I40"/>
  <c r="F41"/>
  <c r="J41"/>
  <c r="E15"/>
  <c r="E43"/>
  <c r="F43"/>
  <c r="F13"/>
  <c r="J13"/>
  <c r="E16"/>
  <c r="I16"/>
  <c r="E18"/>
  <c r="I18"/>
  <c r="F22"/>
  <c r="J22"/>
  <c r="F24"/>
  <c r="J24"/>
  <c r="F26"/>
  <c r="J26"/>
  <c r="F27"/>
  <c r="J27"/>
  <c r="F29"/>
  <c r="J29"/>
  <c r="F30"/>
  <c r="J30"/>
  <c r="E31"/>
  <c r="I31"/>
  <c r="E33"/>
  <c r="I33"/>
  <c r="E35"/>
  <c r="I35"/>
  <c r="E37"/>
  <c r="I37"/>
  <c r="E39"/>
  <c r="I39"/>
  <c r="F42"/>
  <c r="J42"/>
  <c r="E13"/>
  <c r="I18" i="120"/>
  <c r="E21"/>
  <c r="E22"/>
  <c r="E24"/>
  <c r="E25"/>
  <c r="E26"/>
  <c r="E27"/>
  <c r="I34"/>
  <c r="I36"/>
  <c r="I38"/>
  <c r="I40"/>
  <c r="H31"/>
  <c r="I31" s="1"/>
  <c r="E31"/>
  <c r="I34" i="119"/>
  <c r="E36"/>
  <c r="I36"/>
  <c r="E41" i="120"/>
  <c r="I41"/>
  <c r="E42"/>
  <c r="I42"/>
  <c r="I26"/>
  <c r="I24"/>
  <c r="I22"/>
  <c r="I17"/>
  <c r="C19"/>
  <c r="H15"/>
  <c r="H14" s="1"/>
  <c r="C15"/>
  <c r="C14" s="1"/>
  <c r="I30"/>
  <c r="E30"/>
  <c r="I29"/>
  <c r="E29"/>
  <c r="I28"/>
  <c r="E28"/>
  <c r="I20"/>
  <c r="D19"/>
  <c r="I16"/>
  <c r="G15"/>
  <c r="G14" s="1"/>
  <c r="D15"/>
  <c r="E43"/>
  <c r="I43"/>
  <c r="E26" i="119"/>
  <c r="I26"/>
  <c r="E27"/>
  <c r="I27"/>
  <c r="E28"/>
  <c r="I28"/>
  <c r="E29"/>
  <c r="I29"/>
  <c r="E30"/>
  <c r="I30"/>
  <c r="E31"/>
  <c r="I31"/>
  <c r="E32"/>
  <c r="I32"/>
  <c r="E34"/>
  <c r="E18"/>
  <c r="I18"/>
  <c r="E38"/>
  <c r="I38"/>
  <c r="E40"/>
  <c r="I40"/>
  <c r="E42"/>
  <c r="I42"/>
  <c r="E47"/>
  <c r="I47"/>
  <c r="E17"/>
  <c r="I17"/>
  <c r="E33"/>
  <c r="I33"/>
  <c r="E35"/>
  <c r="I35"/>
  <c r="E37"/>
  <c r="I37"/>
  <c r="E39"/>
  <c r="I39"/>
  <c r="E41"/>
  <c r="I41"/>
  <c r="E43"/>
  <c r="I43"/>
  <c r="K18" i="118"/>
  <c r="K16"/>
  <c r="K14"/>
  <c r="N41"/>
  <c r="N40"/>
  <c r="N39"/>
  <c r="N38"/>
  <c r="N36"/>
  <c r="N35"/>
  <c r="N34"/>
  <c r="N33"/>
  <c r="N32"/>
  <c r="N24"/>
  <c r="N23"/>
  <c r="N22"/>
  <c r="N21"/>
  <c r="N20"/>
  <c r="J20"/>
  <c r="K19"/>
  <c r="K17"/>
  <c r="K15"/>
  <c r="H25"/>
  <c r="K18" i="117"/>
  <c r="K16"/>
  <c r="K14"/>
  <c r="K20"/>
  <c r="N41"/>
  <c r="N40"/>
  <c r="N39"/>
  <c r="N38"/>
  <c r="N36"/>
  <c r="N35"/>
  <c r="N34"/>
  <c r="N33"/>
  <c r="N32"/>
  <c r="N24"/>
  <c r="N23"/>
  <c r="N22"/>
  <c r="N21"/>
  <c r="N20"/>
  <c r="I20"/>
  <c r="K19"/>
  <c r="K17"/>
  <c r="K15"/>
  <c r="H25"/>
  <c r="K18" i="116"/>
  <c r="K16"/>
  <c r="K14"/>
  <c r="J20"/>
  <c r="K19"/>
  <c r="K17"/>
  <c r="K15"/>
  <c r="K13"/>
  <c r="N41"/>
  <c r="N40"/>
  <c r="N39"/>
  <c r="N38"/>
  <c r="N36"/>
  <c r="N35"/>
  <c r="N34"/>
  <c r="N33"/>
  <c r="N32"/>
  <c r="N24"/>
  <c r="N23"/>
  <c r="N22"/>
  <c r="N21"/>
  <c r="N20"/>
  <c r="N19"/>
  <c r="N18"/>
  <c r="N17"/>
  <c r="N16"/>
  <c r="N15"/>
  <c r="N14"/>
  <c r="H25"/>
  <c r="K17" i="115"/>
  <c r="H25"/>
  <c r="N41"/>
  <c r="N40"/>
  <c r="N39"/>
  <c r="N38"/>
  <c r="N36"/>
  <c r="N35"/>
  <c r="N34"/>
  <c r="N33"/>
  <c r="N32"/>
  <c r="N24"/>
  <c r="N23"/>
  <c r="N22"/>
  <c r="N21"/>
  <c r="N20"/>
  <c r="J20"/>
  <c r="K19"/>
  <c r="K15"/>
  <c r="I17" i="114"/>
  <c r="K15"/>
  <c r="H25"/>
  <c r="K18"/>
  <c r="N41"/>
  <c r="N40"/>
  <c r="N39"/>
  <c r="N38"/>
  <c r="N36"/>
  <c r="N35"/>
  <c r="N34"/>
  <c r="N33"/>
  <c r="N32"/>
  <c r="N24"/>
  <c r="N23"/>
  <c r="N22"/>
  <c r="N21"/>
  <c r="N20"/>
  <c r="J20"/>
  <c r="K19"/>
  <c r="K17"/>
  <c r="K16"/>
  <c r="K14"/>
  <c r="H25" i="113"/>
  <c r="K19"/>
  <c r="K17"/>
  <c r="K15"/>
  <c r="N41"/>
  <c r="N40"/>
  <c r="N39"/>
  <c r="N38"/>
  <c r="N36"/>
  <c r="N35"/>
  <c r="N34"/>
  <c r="N33"/>
  <c r="N32"/>
  <c r="N24"/>
  <c r="N23"/>
  <c r="N22"/>
  <c r="N21"/>
  <c r="N20"/>
  <c r="J20"/>
  <c r="K18"/>
  <c r="K16"/>
  <c r="K14"/>
  <c r="N19" i="102"/>
  <c r="N15"/>
  <c r="H25"/>
  <c r="K16"/>
  <c r="N41" i="112"/>
  <c r="N40"/>
  <c r="N39"/>
  <c r="N38"/>
  <c r="N36"/>
  <c r="N35"/>
  <c r="N34"/>
  <c r="N33"/>
  <c r="N32"/>
  <c r="N24"/>
  <c r="N23"/>
  <c r="N22"/>
  <c r="N21"/>
  <c r="N20"/>
  <c r="J20"/>
  <c r="H25"/>
  <c r="K16" i="111"/>
  <c r="N41"/>
  <c r="N40"/>
  <c r="N39"/>
  <c r="N38"/>
  <c r="N36"/>
  <c r="N35"/>
  <c r="N34"/>
  <c r="N33"/>
  <c r="N32"/>
  <c r="N24"/>
  <c r="N23"/>
  <c r="N22"/>
  <c r="N21"/>
  <c r="N20"/>
  <c r="J20"/>
  <c r="K18"/>
  <c r="K14"/>
  <c r="K18" i="110"/>
  <c r="N41"/>
  <c r="N40"/>
  <c r="N39"/>
  <c r="N38"/>
  <c r="N36"/>
  <c r="N35"/>
  <c r="N34"/>
  <c r="N33"/>
  <c r="N32"/>
  <c r="N24"/>
  <c r="N23"/>
  <c r="N22"/>
  <c r="N21"/>
  <c r="N20"/>
  <c r="J20"/>
  <c r="K14"/>
  <c r="N15" i="109"/>
  <c r="K14"/>
  <c r="K19"/>
  <c r="K15"/>
  <c r="N41"/>
  <c r="N40"/>
  <c r="N39"/>
  <c r="N38"/>
  <c r="N36"/>
  <c r="N35"/>
  <c r="N34"/>
  <c r="N33"/>
  <c r="N32"/>
  <c r="N24"/>
  <c r="N23"/>
  <c r="N22"/>
  <c r="N21"/>
  <c r="N20"/>
  <c r="J20"/>
  <c r="I18"/>
  <c r="I17"/>
  <c r="I16"/>
  <c r="N14"/>
  <c r="K13"/>
  <c r="C58" i="107"/>
  <c r="C57"/>
  <c r="C56"/>
  <c r="C55"/>
  <c r="C54"/>
  <c r="C53"/>
  <c r="C52"/>
  <c r="C51"/>
  <c r="N41" i="106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N41" i="105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N41" i="104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N17" i="102"/>
  <c r="N13"/>
  <c r="N41" i="103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N41" i="102"/>
  <c r="N40"/>
  <c r="N39"/>
  <c r="N38"/>
  <c r="N36"/>
  <c r="N35"/>
  <c r="N34"/>
  <c r="N33"/>
  <c r="N32"/>
  <c r="N24"/>
  <c r="N23"/>
  <c r="N22"/>
  <c r="N21"/>
  <c r="N20"/>
  <c r="J20"/>
  <c r="K19"/>
  <c r="N18"/>
  <c r="I18"/>
  <c r="N16"/>
  <c r="K15"/>
  <c r="N14"/>
  <c r="I14"/>
  <c r="E28" i="67"/>
  <c r="E26"/>
  <c r="E25"/>
  <c r="E24"/>
  <c r="E22"/>
  <c r="E21"/>
  <c r="E20"/>
  <c r="E19"/>
  <c r="E18"/>
  <c r="E23"/>
  <c r="E27"/>
  <c r="E29"/>
  <c r="E30"/>
  <c r="E31"/>
  <c r="E32"/>
  <c r="K20" i="88"/>
  <c r="N41"/>
  <c r="N40"/>
  <c r="N39"/>
  <c r="N38"/>
  <c r="N36"/>
  <c r="N35"/>
  <c r="N34"/>
  <c r="N33"/>
  <c r="N32"/>
  <c r="N24"/>
  <c r="N23"/>
  <c r="N22"/>
  <c r="N21"/>
  <c r="N20"/>
  <c r="I20"/>
  <c r="K19"/>
  <c r="K17"/>
  <c r="K15"/>
  <c r="H25"/>
  <c r="N41" i="87"/>
  <c r="N40"/>
  <c r="N39"/>
  <c r="N38"/>
  <c r="N36"/>
  <c r="N35"/>
  <c r="N34"/>
  <c r="N33"/>
  <c r="N32"/>
  <c r="N24"/>
  <c r="N23"/>
  <c r="N22"/>
  <c r="N21"/>
  <c r="N20"/>
  <c r="J20"/>
  <c r="K19"/>
  <c r="K18"/>
  <c r="I18"/>
  <c r="K17"/>
  <c r="K16"/>
  <c r="K15"/>
  <c r="K14"/>
  <c r="H25"/>
  <c r="K16" i="86"/>
  <c r="N41"/>
  <c r="N40"/>
  <c r="N39"/>
  <c r="N38"/>
  <c r="N36"/>
  <c r="N35"/>
  <c r="N34"/>
  <c r="N33"/>
  <c r="N32"/>
  <c r="N24"/>
  <c r="N23"/>
  <c r="N22"/>
  <c r="N21"/>
  <c r="N20"/>
  <c r="J20"/>
  <c r="K18"/>
  <c r="K14"/>
  <c r="H25"/>
  <c r="N41" i="85"/>
  <c r="N40"/>
  <c r="N39"/>
  <c r="N38"/>
  <c r="N36"/>
  <c r="N35"/>
  <c r="N34"/>
  <c r="N33"/>
  <c r="N32"/>
  <c r="N24"/>
  <c r="N23"/>
  <c r="N22"/>
  <c r="N21"/>
  <c r="N20"/>
  <c r="K20"/>
  <c r="I20"/>
  <c r="J20"/>
  <c r="K19"/>
  <c r="K18"/>
  <c r="K17"/>
  <c r="K16"/>
  <c r="K15"/>
  <c r="K14"/>
  <c r="H25"/>
  <c r="N41" i="84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N41" i="83"/>
  <c r="N40"/>
  <c r="N39"/>
  <c r="N38"/>
  <c r="N36"/>
  <c r="N35"/>
  <c r="N34"/>
  <c r="N33"/>
  <c r="N32"/>
  <c r="N24"/>
  <c r="N23"/>
  <c r="N22"/>
  <c r="N21"/>
  <c r="N20"/>
  <c r="J20"/>
  <c r="K19"/>
  <c r="K18"/>
  <c r="K17"/>
  <c r="K16"/>
  <c r="K15"/>
  <c r="K14"/>
  <c r="H25"/>
  <c r="N41" i="82"/>
  <c r="N40"/>
  <c r="N39"/>
  <c r="N38"/>
  <c r="N36"/>
  <c r="N35"/>
  <c r="N34"/>
  <c r="N33"/>
  <c r="N32"/>
  <c r="N24"/>
  <c r="N23"/>
  <c r="N22"/>
  <c r="N21"/>
  <c r="N20"/>
  <c r="J20"/>
  <c r="H25"/>
  <c r="G25" i="81"/>
  <c r="N41"/>
  <c r="N40"/>
  <c r="N39"/>
  <c r="N38"/>
  <c r="N36"/>
  <c r="N35"/>
  <c r="N34"/>
  <c r="N33"/>
  <c r="N32"/>
  <c r="N24"/>
  <c r="N23"/>
  <c r="N22"/>
  <c r="N21"/>
  <c r="N20"/>
  <c r="K20"/>
  <c r="N19"/>
  <c r="J19"/>
  <c r="K19"/>
  <c r="K18"/>
  <c r="K17"/>
  <c r="K16"/>
  <c r="K15"/>
  <c r="K14"/>
  <c r="K13"/>
  <c r="J15" i="64"/>
  <c r="F26" i="134" l="1"/>
  <c r="D29" i="131"/>
  <c r="D26" i="135"/>
  <c r="E26"/>
  <c r="H28"/>
  <c r="F28"/>
  <c r="G28"/>
  <c r="G29" s="1"/>
  <c r="C28"/>
  <c r="G26"/>
  <c r="D28"/>
  <c r="D29" s="1"/>
  <c r="E28"/>
  <c r="D26" i="134"/>
  <c r="E26"/>
  <c r="C28"/>
  <c r="D28"/>
  <c r="H29"/>
  <c r="J28"/>
  <c r="I28"/>
  <c r="G26"/>
  <c r="E28"/>
  <c r="F28"/>
  <c r="D26" i="133"/>
  <c r="E26"/>
  <c r="H28"/>
  <c r="F28"/>
  <c r="G28"/>
  <c r="C28"/>
  <c r="G26"/>
  <c r="D28"/>
  <c r="D29" s="1"/>
  <c r="E28"/>
  <c r="F26" i="131"/>
  <c r="K28"/>
  <c r="H29"/>
  <c r="D26"/>
  <c r="I28"/>
  <c r="J28"/>
  <c r="E15" i="130"/>
  <c r="F15"/>
  <c r="D14"/>
  <c r="I15"/>
  <c r="J15"/>
  <c r="H14"/>
  <c r="I44" i="129"/>
  <c r="J44"/>
  <c r="E44"/>
  <c r="F44"/>
  <c r="F15" i="128"/>
  <c r="D14"/>
  <c r="D44" s="1"/>
  <c r="J15"/>
  <c r="H14"/>
  <c r="H44" s="1"/>
  <c r="I44" i="125"/>
  <c r="J44"/>
  <c r="E44"/>
  <c r="F44"/>
  <c r="I43" i="124"/>
  <c r="J43"/>
  <c r="I19" i="120"/>
  <c r="E19"/>
  <c r="D14"/>
  <c r="I15"/>
  <c r="I19" i="81"/>
  <c r="I17" i="102"/>
  <c r="E15" i="107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E45"/>
  <c r="E46"/>
  <c r="E47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46"/>
  <c r="I47"/>
  <c r="J20" i="117"/>
  <c r="E15" i="120"/>
  <c r="E14"/>
  <c r="I14"/>
  <c r="J13" i="118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J13" i="117"/>
  <c r="N13"/>
  <c r="J14"/>
  <c r="N14"/>
  <c r="J15"/>
  <c r="N15"/>
  <c r="J16"/>
  <c r="N16"/>
  <c r="J17"/>
  <c r="N17"/>
  <c r="J18"/>
  <c r="N18"/>
  <c r="J19"/>
  <c r="N19"/>
  <c r="C25"/>
  <c r="E25"/>
  <c r="G25"/>
  <c r="I13"/>
  <c r="K13"/>
  <c r="I14"/>
  <c r="I15"/>
  <c r="I16"/>
  <c r="I17"/>
  <c r="I18"/>
  <c r="I19"/>
  <c r="D25"/>
  <c r="F25"/>
  <c r="F26" s="1"/>
  <c r="J13" i="116"/>
  <c r="N13"/>
  <c r="H28" s="1"/>
  <c r="J14"/>
  <c r="J15"/>
  <c r="J16"/>
  <c r="J17"/>
  <c r="J18"/>
  <c r="J19"/>
  <c r="I20"/>
  <c r="K20"/>
  <c r="C25"/>
  <c r="E25"/>
  <c r="G25"/>
  <c r="G28"/>
  <c r="I13"/>
  <c r="I14"/>
  <c r="I15"/>
  <c r="I16"/>
  <c r="I17"/>
  <c r="I18"/>
  <c r="I19"/>
  <c r="D25"/>
  <c r="D26" s="1"/>
  <c r="F25"/>
  <c r="F26" s="1"/>
  <c r="K14" i="115"/>
  <c r="K16"/>
  <c r="K18"/>
  <c r="J1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J13" i="114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8"/>
  <c r="I19"/>
  <c r="D25"/>
  <c r="D26" s="1"/>
  <c r="F25"/>
  <c r="J13" i="11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K16" i="109"/>
  <c r="K18"/>
  <c r="H25"/>
  <c r="K17"/>
  <c r="K16" i="110"/>
  <c r="H25"/>
  <c r="K15" i="111"/>
  <c r="K17"/>
  <c r="K19"/>
  <c r="H25"/>
  <c r="K20" i="112"/>
  <c r="K14"/>
  <c r="K15"/>
  <c r="K16"/>
  <c r="K17"/>
  <c r="K18"/>
  <c r="K19"/>
  <c r="I20"/>
  <c r="J13"/>
  <c r="N13"/>
  <c r="J14"/>
  <c r="N14"/>
  <c r="J15"/>
  <c r="N15"/>
  <c r="J16"/>
  <c r="N16"/>
  <c r="J17"/>
  <c r="N17"/>
  <c r="J18"/>
  <c r="N18"/>
  <c r="J19"/>
  <c r="N19"/>
  <c r="C25"/>
  <c r="E25"/>
  <c r="G25"/>
  <c r="G28"/>
  <c r="I13"/>
  <c r="K13"/>
  <c r="I14"/>
  <c r="I15"/>
  <c r="I16"/>
  <c r="I17"/>
  <c r="I18"/>
  <c r="I19"/>
  <c r="D25"/>
  <c r="D26" s="1"/>
  <c r="F25"/>
  <c r="J13" i="111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K15" i="110"/>
  <c r="K17"/>
  <c r="K19"/>
  <c r="J1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J13" i="109"/>
  <c r="N13"/>
  <c r="J14"/>
  <c r="J15"/>
  <c r="J16"/>
  <c r="N16"/>
  <c r="J17"/>
  <c r="N17"/>
  <c r="J18"/>
  <c r="N18"/>
  <c r="J19"/>
  <c r="N19"/>
  <c r="I20"/>
  <c r="K20"/>
  <c r="C25"/>
  <c r="E25"/>
  <c r="G25"/>
  <c r="I13"/>
  <c r="I14"/>
  <c r="I15"/>
  <c r="I19"/>
  <c r="D25"/>
  <c r="F25"/>
  <c r="F26" s="1"/>
  <c r="E14" i="107"/>
  <c r="I14"/>
  <c r="D59"/>
  <c r="J13" i="106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J13" i="105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J13" i="104"/>
  <c r="N13"/>
  <c r="J14"/>
  <c r="N14"/>
  <c r="J15"/>
  <c r="N15"/>
  <c r="J16"/>
  <c r="N16"/>
  <c r="J17"/>
  <c r="N17"/>
  <c r="J18"/>
  <c r="N18"/>
  <c r="J19"/>
  <c r="N19"/>
  <c r="I20"/>
  <c r="K20"/>
  <c r="K22"/>
  <c r="C25"/>
  <c r="E25"/>
  <c r="G25"/>
  <c r="I13"/>
  <c r="K13"/>
  <c r="I14"/>
  <c r="I15"/>
  <c r="I16"/>
  <c r="I17"/>
  <c r="I18"/>
  <c r="I19"/>
  <c r="D25"/>
  <c r="F25"/>
  <c r="H28" i="102"/>
  <c r="E28"/>
  <c r="G28"/>
  <c r="J28" s="1"/>
  <c r="C28"/>
  <c r="J13" i="10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D28" i="102"/>
  <c r="F28"/>
  <c r="E29"/>
  <c r="I13"/>
  <c r="K13"/>
  <c r="K14"/>
  <c r="I15"/>
  <c r="K17"/>
  <c r="K18"/>
  <c r="I19"/>
  <c r="D25"/>
  <c r="F25"/>
  <c r="J13"/>
  <c r="J14"/>
  <c r="J15"/>
  <c r="J16"/>
  <c r="J17"/>
  <c r="J18"/>
  <c r="J19"/>
  <c r="I20"/>
  <c r="K20"/>
  <c r="C25"/>
  <c r="E25"/>
  <c r="E26" s="1"/>
  <c r="G25"/>
  <c r="G26" s="1"/>
  <c r="I16"/>
  <c r="I34" i="67"/>
  <c r="I33"/>
  <c r="I32"/>
  <c r="I31"/>
  <c r="I30"/>
  <c r="I29"/>
  <c r="I28"/>
  <c r="I27"/>
  <c r="I26"/>
  <c r="I25"/>
  <c r="I24"/>
  <c r="I23"/>
  <c r="I22"/>
  <c r="I21"/>
  <c r="I20"/>
  <c r="I19"/>
  <c r="I18"/>
  <c r="K14" i="88"/>
  <c r="K16"/>
  <c r="K18"/>
  <c r="J20"/>
  <c r="J13"/>
  <c r="N13"/>
  <c r="J14"/>
  <c r="N14"/>
  <c r="J15"/>
  <c r="N15"/>
  <c r="J16"/>
  <c r="N16"/>
  <c r="J17"/>
  <c r="N17"/>
  <c r="J18"/>
  <c r="N18"/>
  <c r="J19"/>
  <c r="N19"/>
  <c r="C25"/>
  <c r="E25"/>
  <c r="G25"/>
  <c r="G28"/>
  <c r="I13"/>
  <c r="K13"/>
  <c r="I14"/>
  <c r="I15"/>
  <c r="I16"/>
  <c r="I17"/>
  <c r="I18"/>
  <c r="I19"/>
  <c r="D25"/>
  <c r="D26" s="1"/>
  <c r="F25"/>
  <c r="F26" s="1"/>
  <c r="J13" i="87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9"/>
  <c r="D25"/>
  <c r="D26" s="1"/>
  <c r="F25"/>
  <c r="K15" i="86"/>
  <c r="K17"/>
  <c r="K19"/>
  <c r="J1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J13" i="85"/>
  <c r="N13"/>
  <c r="J14"/>
  <c r="N14"/>
  <c r="J15"/>
  <c r="N15"/>
  <c r="J16"/>
  <c r="N16"/>
  <c r="J17"/>
  <c r="N17"/>
  <c r="J18"/>
  <c r="N18"/>
  <c r="J19"/>
  <c r="N19"/>
  <c r="C25"/>
  <c r="E25"/>
  <c r="G25"/>
  <c r="I13"/>
  <c r="K13"/>
  <c r="I14"/>
  <c r="I15"/>
  <c r="I16"/>
  <c r="I17"/>
  <c r="I18"/>
  <c r="I19"/>
  <c r="D25"/>
  <c r="F25"/>
  <c r="J13" i="84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F26" s="1"/>
  <c r="J13" i="8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K14" i="82"/>
  <c r="K15"/>
  <c r="K16"/>
  <c r="K17"/>
  <c r="K18"/>
  <c r="K19"/>
  <c r="J13"/>
  <c r="N13"/>
  <c r="J14"/>
  <c r="N14"/>
  <c r="J15"/>
  <c r="N15"/>
  <c r="J16"/>
  <c r="N16"/>
  <c r="J17"/>
  <c r="N17"/>
  <c r="J18"/>
  <c r="N18"/>
  <c r="J19"/>
  <c r="N19"/>
  <c r="I20"/>
  <c r="K20"/>
  <c r="C25"/>
  <c r="E25"/>
  <c r="G25"/>
  <c r="I13"/>
  <c r="K13"/>
  <c r="I14"/>
  <c r="I15"/>
  <c r="I16"/>
  <c r="I17"/>
  <c r="I18"/>
  <c r="I19"/>
  <c r="D25"/>
  <c r="F25"/>
  <c r="J13" i="81"/>
  <c r="N13"/>
  <c r="J14"/>
  <c r="N14"/>
  <c r="J15"/>
  <c r="N15"/>
  <c r="J16"/>
  <c r="N16"/>
  <c r="J17"/>
  <c r="N17"/>
  <c r="J18"/>
  <c r="N18"/>
  <c r="J20"/>
  <c r="D25"/>
  <c r="F25"/>
  <c r="I13"/>
  <c r="I14"/>
  <c r="I15"/>
  <c r="I16"/>
  <c r="I17"/>
  <c r="I18"/>
  <c r="I20"/>
  <c r="C25"/>
  <c r="E25"/>
  <c r="E26" s="1"/>
  <c r="I19" i="64"/>
  <c r="I27" i="80"/>
  <c r="I28"/>
  <c r="E21"/>
  <c r="E24"/>
  <c r="E28"/>
  <c r="E30"/>
  <c r="I26"/>
  <c r="I25"/>
  <c r="I22"/>
  <c r="G29" i="133" l="1"/>
  <c r="E29" i="134"/>
  <c r="F26" i="114"/>
  <c r="G28" i="109"/>
  <c r="F29" i="102"/>
  <c r="D26" i="109"/>
  <c r="F26" i="112"/>
  <c r="F26" i="87"/>
  <c r="H28" i="112"/>
  <c r="F26" i="110"/>
  <c r="F26" i="111"/>
  <c r="D26" i="118"/>
  <c r="D26" i="113"/>
  <c r="G29" i="102"/>
  <c r="H29"/>
  <c r="D26" i="83"/>
  <c r="I24" i="80"/>
  <c r="I23"/>
  <c r="E29" i="135"/>
  <c r="F29"/>
  <c r="H29"/>
  <c r="J28"/>
  <c r="K28"/>
  <c r="I28"/>
  <c r="D29" i="134"/>
  <c r="F29"/>
  <c r="K28"/>
  <c r="G29"/>
  <c r="E29" i="133"/>
  <c r="F29"/>
  <c r="H29"/>
  <c r="J28"/>
  <c r="K28"/>
  <c r="I28"/>
  <c r="E26" i="80"/>
  <c r="E27"/>
  <c r="E25"/>
  <c r="E23"/>
  <c r="E14" i="130"/>
  <c r="F14"/>
  <c r="D44"/>
  <c r="I14"/>
  <c r="J14"/>
  <c r="H44"/>
  <c r="I14" i="128"/>
  <c r="J14"/>
  <c r="E14"/>
  <c r="F14"/>
  <c r="D26" i="82"/>
  <c r="F26" i="83"/>
  <c r="D28" i="84"/>
  <c r="F26" i="85"/>
  <c r="I28" i="102"/>
  <c r="F26" i="104"/>
  <c r="D26" i="105"/>
  <c r="F26" i="106"/>
  <c r="F26" i="113"/>
  <c r="D28" i="85"/>
  <c r="C28" i="88"/>
  <c r="D28" i="118"/>
  <c r="E26"/>
  <c r="H28"/>
  <c r="F28"/>
  <c r="G28"/>
  <c r="C28"/>
  <c r="G26"/>
  <c r="E28"/>
  <c r="E29" s="1"/>
  <c r="D26" i="117"/>
  <c r="G26"/>
  <c r="H28"/>
  <c r="G28"/>
  <c r="C28"/>
  <c r="D28"/>
  <c r="E26"/>
  <c r="E28"/>
  <c r="E29" s="1"/>
  <c r="F28"/>
  <c r="G26" i="116"/>
  <c r="C28"/>
  <c r="D28"/>
  <c r="H29"/>
  <c r="J28"/>
  <c r="I28"/>
  <c r="E26"/>
  <c r="E28"/>
  <c r="E29" s="1"/>
  <c r="F28"/>
  <c r="K28" s="1"/>
  <c r="D26" i="115"/>
  <c r="E26"/>
  <c r="H28"/>
  <c r="F28"/>
  <c r="G28"/>
  <c r="C28"/>
  <c r="G26"/>
  <c r="D28"/>
  <c r="D29" s="1"/>
  <c r="E28"/>
  <c r="E26" i="114"/>
  <c r="H28"/>
  <c r="F28"/>
  <c r="G28"/>
  <c r="G29" s="1"/>
  <c r="C28"/>
  <c r="G26"/>
  <c r="D28"/>
  <c r="E28"/>
  <c r="D26" i="103"/>
  <c r="E26" i="113"/>
  <c r="H28"/>
  <c r="F28"/>
  <c r="G28"/>
  <c r="G29" s="1"/>
  <c r="C28"/>
  <c r="G26"/>
  <c r="D28"/>
  <c r="E28"/>
  <c r="E29" s="1"/>
  <c r="D26" i="111"/>
  <c r="D29" i="102"/>
  <c r="C28" i="112"/>
  <c r="G26"/>
  <c r="D28"/>
  <c r="E26"/>
  <c r="F28"/>
  <c r="E28"/>
  <c r="E26" i="111"/>
  <c r="H28"/>
  <c r="F28"/>
  <c r="G28"/>
  <c r="C28"/>
  <c r="G26"/>
  <c r="D28"/>
  <c r="E28"/>
  <c r="D28" i="110"/>
  <c r="D26"/>
  <c r="E26"/>
  <c r="H28"/>
  <c r="F28"/>
  <c r="G28"/>
  <c r="C28"/>
  <c r="D29" s="1"/>
  <c r="G26"/>
  <c r="E28"/>
  <c r="E29" s="1"/>
  <c r="C28" i="109"/>
  <c r="G26"/>
  <c r="D28"/>
  <c r="E26"/>
  <c r="H28"/>
  <c r="F28"/>
  <c r="E28"/>
  <c r="D26" i="106"/>
  <c r="E26"/>
  <c r="H28"/>
  <c r="F28"/>
  <c r="G28"/>
  <c r="C28"/>
  <c r="G26"/>
  <c r="D28"/>
  <c r="E28"/>
  <c r="E26" i="105"/>
  <c r="H28"/>
  <c r="F28"/>
  <c r="G28"/>
  <c r="C28"/>
  <c r="G26"/>
  <c r="D28"/>
  <c r="E28"/>
  <c r="D26" i="104"/>
  <c r="E26"/>
  <c r="H28"/>
  <c r="F28"/>
  <c r="G28"/>
  <c r="C28"/>
  <c r="G26"/>
  <c r="D28"/>
  <c r="E28"/>
  <c r="E26" i="103"/>
  <c r="H28"/>
  <c r="F28"/>
  <c r="G28"/>
  <c r="G29" s="1"/>
  <c r="C28"/>
  <c r="G26"/>
  <c r="D28"/>
  <c r="E28"/>
  <c r="F26" i="102"/>
  <c r="K28"/>
  <c r="D26"/>
  <c r="D28" i="88"/>
  <c r="G26"/>
  <c r="E26"/>
  <c r="H28"/>
  <c r="E28"/>
  <c r="E29" s="1"/>
  <c r="F28"/>
  <c r="D28" i="87"/>
  <c r="E26"/>
  <c r="H28"/>
  <c r="F28"/>
  <c r="G28"/>
  <c r="C28"/>
  <c r="G26"/>
  <c r="E28"/>
  <c r="E29" s="1"/>
  <c r="D26" i="86"/>
  <c r="E26"/>
  <c r="H28"/>
  <c r="F28"/>
  <c r="G28"/>
  <c r="C28"/>
  <c r="G26"/>
  <c r="D28"/>
  <c r="E28"/>
  <c r="E28" i="85"/>
  <c r="E29" s="1"/>
  <c r="D26"/>
  <c r="E26"/>
  <c r="H28"/>
  <c r="F28"/>
  <c r="F29" s="1"/>
  <c r="G28"/>
  <c r="C28"/>
  <c r="D29" s="1"/>
  <c r="G26"/>
  <c r="E28" i="84"/>
  <c r="E29" s="1"/>
  <c r="D26"/>
  <c r="E26"/>
  <c r="H28"/>
  <c r="F28"/>
  <c r="F29" s="1"/>
  <c r="G28"/>
  <c r="C28"/>
  <c r="D29" s="1"/>
  <c r="G26"/>
  <c r="D28" i="83"/>
  <c r="E26"/>
  <c r="H28"/>
  <c r="F28"/>
  <c r="G28"/>
  <c r="C28"/>
  <c r="G26"/>
  <c r="E28"/>
  <c r="E28" i="81"/>
  <c r="F28"/>
  <c r="F26"/>
  <c r="E26" i="82"/>
  <c r="H28"/>
  <c r="F28"/>
  <c r="G28"/>
  <c r="C28"/>
  <c r="F26"/>
  <c r="G26"/>
  <c r="D28"/>
  <c r="E28"/>
  <c r="F29" i="81"/>
  <c r="G26"/>
  <c r="D26"/>
  <c r="H28"/>
  <c r="G28"/>
  <c r="G29" s="1"/>
  <c r="C28"/>
  <c r="D28"/>
  <c r="I30" i="80"/>
  <c r="E14"/>
  <c r="I14"/>
  <c r="E15"/>
  <c r="I15"/>
  <c r="E16"/>
  <c r="I16"/>
  <c r="E17"/>
  <c r="I17"/>
  <c r="E18"/>
  <c r="I18"/>
  <c r="E19"/>
  <c r="I19"/>
  <c r="E20"/>
  <c r="I20"/>
  <c r="I21"/>
  <c r="E22"/>
  <c r="E29"/>
  <c r="I29"/>
  <c r="E20" i="19"/>
  <c r="E19"/>
  <c r="E18"/>
  <c r="E17"/>
  <c r="E16"/>
  <c r="H13" i="126"/>
  <c r="H43" s="1"/>
  <c r="G13"/>
  <c r="G43" s="1"/>
  <c r="D13"/>
  <c r="D43" s="1"/>
  <c r="C13"/>
  <c r="C43" s="1"/>
  <c r="H13" i="19"/>
  <c r="D13"/>
  <c r="C13"/>
  <c r="E29" i="83" l="1"/>
  <c r="D29"/>
  <c r="C13" i="132"/>
  <c r="C34" s="1"/>
  <c r="C23" i="19"/>
  <c r="H13" i="132"/>
  <c r="H23" i="19"/>
  <c r="D13" i="132"/>
  <c r="D23" i="19"/>
  <c r="D29" i="106"/>
  <c r="D29" i="105"/>
  <c r="D29" i="114"/>
  <c r="D29" i="103"/>
  <c r="D29" i="113"/>
  <c r="D29" i="112"/>
  <c r="D29" i="111"/>
  <c r="D29" i="109"/>
  <c r="D29" i="88"/>
  <c r="D29" i="86"/>
  <c r="J41" i="126"/>
  <c r="J39"/>
  <c r="J37"/>
  <c r="J35"/>
  <c r="J33"/>
  <c r="J28"/>
  <c r="J16"/>
  <c r="J40"/>
  <c r="J38"/>
  <c r="J36"/>
  <c r="J34"/>
  <c r="J32"/>
  <c r="J18"/>
  <c r="J21"/>
  <c r="J19"/>
  <c r="J30"/>
  <c r="J13"/>
  <c r="J15"/>
  <c r="J20"/>
  <c r="J24"/>
  <c r="J29"/>
  <c r="J42"/>
  <c r="J43"/>
  <c r="J25"/>
  <c r="J23"/>
  <c r="J27"/>
  <c r="J14"/>
  <c r="J17"/>
  <c r="J22"/>
  <c r="J26"/>
  <c r="J31"/>
  <c r="I13"/>
  <c r="I43"/>
  <c r="F40"/>
  <c r="F39"/>
  <c r="F38"/>
  <c r="F37"/>
  <c r="F36"/>
  <c r="F35"/>
  <c r="F34"/>
  <c r="F33"/>
  <c r="F32"/>
  <c r="F18"/>
  <c r="F16"/>
  <c r="F28"/>
  <c r="F25"/>
  <c r="F23"/>
  <c r="F21"/>
  <c r="F43"/>
  <c r="F13"/>
  <c r="F14"/>
  <c r="F15"/>
  <c r="F17"/>
  <c r="F20"/>
  <c r="F22"/>
  <c r="F24"/>
  <c r="F26"/>
  <c r="F29"/>
  <c r="F31"/>
  <c r="F42"/>
  <c r="F19"/>
  <c r="F30"/>
  <c r="F27"/>
  <c r="F41"/>
  <c r="E13"/>
  <c r="E43"/>
  <c r="J13" i="132"/>
  <c r="H34"/>
  <c r="J34" s="1"/>
  <c r="J17"/>
  <c r="J21"/>
  <c r="J25"/>
  <c r="J29"/>
  <c r="J33"/>
  <c r="J16"/>
  <c r="J20"/>
  <c r="J24"/>
  <c r="J28"/>
  <c r="J32"/>
  <c r="J15"/>
  <c r="J19"/>
  <c r="J23"/>
  <c r="J27"/>
  <c r="J31"/>
  <c r="J14"/>
  <c r="J18"/>
  <c r="J22"/>
  <c r="J26"/>
  <c r="J30"/>
  <c r="F13"/>
  <c r="D34"/>
  <c r="F34" s="1"/>
  <c r="F15"/>
  <c r="F17"/>
  <c r="F19"/>
  <c r="F21"/>
  <c r="F23"/>
  <c r="F25"/>
  <c r="F27"/>
  <c r="F29"/>
  <c r="F31"/>
  <c r="F33"/>
  <c r="F14"/>
  <c r="F16"/>
  <c r="F18"/>
  <c r="F20"/>
  <c r="F22"/>
  <c r="F24"/>
  <c r="F26"/>
  <c r="F28"/>
  <c r="F30"/>
  <c r="F32"/>
  <c r="E13"/>
  <c r="E44" i="130"/>
  <c r="F44"/>
  <c r="I44"/>
  <c r="J44"/>
  <c r="J44" i="128"/>
  <c r="I44"/>
  <c r="F44"/>
  <c r="E44"/>
  <c r="H13" i="120"/>
  <c r="H44" s="1"/>
  <c r="H13" i="119"/>
  <c r="D29" i="87"/>
  <c r="F29" i="88"/>
  <c r="E29" i="105"/>
  <c r="G29"/>
  <c r="C13" i="120"/>
  <c r="C44" s="1"/>
  <c r="C13" i="119"/>
  <c r="D13" i="120"/>
  <c r="D44" s="1"/>
  <c r="D13" i="119"/>
  <c r="E29" i="114"/>
  <c r="C13" i="107"/>
  <c r="C13" i="67"/>
  <c r="C14" s="1"/>
  <c r="C14" i="119" s="1"/>
  <c r="C13" i="80"/>
  <c r="H13" i="107"/>
  <c r="J48" s="1"/>
  <c r="H13" i="67"/>
  <c r="H13" i="80"/>
  <c r="I15" i="19"/>
  <c r="D13" i="107"/>
  <c r="F48" s="1"/>
  <c r="D13" i="67"/>
  <c r="D13" i="80"/>
  <c r="G13" i="19"/>
  <c r="D29" i="118"/>
  <c r="H29"/>
  <c r="J28"/>
  <c r="K28"/>
  <c r="I28"/>
  <c r="G29"/>
  <c r="F29"/>
  <c r="F29" i="117"/>
  <c r="D29"/>
  <c r="G29"/>
  <c r="H29"/>
  <c r="J28"/>
  <c r="K28"/>
  <c r="I28"/>
  <c r="G29" i="116"/>
  <c r="F29"/>
  <c r="D29"/>
  <c r="E29" i="115"/>
  <c r="G29"/>
  <c r="F29"/>
  <c r="H29"/>
  <c r="J28"/>
  <c r="K28"/>
  <c r="I28"/>
  <c r="F29" i="114"/>
  <c r="H29"/>
  <c r="J28"/>
  <c r="K28"/>
  <c r="I28"/>
  <c r="E29" i="103"/>
  <c r="F29" i="113"/>
  <c r="H29"/>
  <c r="J28"/>
  <c r="K28"/>
  <c r="I28"/>
  <c r="E29" i="111"/>
  <c r="G29"/>
  <c r="F29" i="112"/>
  <c r="H29"/>
  <c r="J28"/>
  <c r="K28"/>
  <c r="I28"/>
  <c r="E29"/>
  <c r="G29"/>
  <c r="F29" i="111"/>
  <c r="H29"/>
  <c r="J28"/>
  <c r="K28"/>
  <c r="I28"/>
  <c r="H29" i="110"/>
  <c r="J28"/>
  <c r="K28"/>
  <c r="I28"/>
  <c r="G29"/>
  <c r="F29"/>
  <c r="F29" i="109"/>
  <c r="H29"/>
  <c r="J28"/>
  <c r="K28"/>
  <c r="I28"/>
  <c r="E29"/>
  <c r="G29"/>
  <c r="E29" i="106"/>
  <c r="G29"/>
  <c r="F29"/>
  <c r="H29"/>
  <c r="J28"/>
  <c r="K28"/>
  <c r="I28"/>
  <c r="F29" i="105"/>
  <c r="H29"/>
  <c r="J28"/>
  <c r="K28"/>
  <c r="I28"/>
  <c r="E29" i="104"/>
  <c r="G29"/>
  <c r="D29"/>
  <c r="F29"/>
  <c r="H29"/>
  <c r="J28"/>
  <c r="K28"/>
  <c r="I28"/>
  <c r="F29" i="103"/>
  <c r="H29"/>
  <c r="J28"/>
  <c r="K28"/>
  <c r="I28"/>
  <c r="H29" i="88"/>
  <c r="J28"/>
  <c r="K28"/>
  <c r="I28"/>
  <c r="G29"/>
  <c r="H29" i="87"/>
  <c r="J28"/>
  <c r="K28"/>
  <c r="I28"/>
  <c r="G29"/>
  <c r="F29"/>
  <c r="E29" i="86"/>
  <c r="G29"/>
  <c r="F29"/>
  <c r="H29"/>
  <c r="J28"/>
  <c r="K28"/>
  <c r="I28"/>
  <c r="H29" i="85"/>
  <c r="J28"/>
  <c r="K28"/>
  <c r="I28"/>
  <c r="G29"/>
  <c r="H29" i="84"/>
  <c r="J28"/>
  <c r="K28"/>
  <c r="I28"/>
  <c r="G29"/>
  <c r="H29" i="83"/>
  <c r="J28"/>
  <c r="K28"/>
  <c r="I28"/>
  <c r="G29"/>
  <c r="F29"/>
  <c r="D29" i="82"/>
  <c r="G29"/>
  <c r="E29"/>
  <c r="F29"/>
  <c r="H29"/>
  <c r="J28"/>
  <c r="K28"/>
  <c r="I28"/>
  <c r="D29" i="81"/>
  <c r="H29"/>
  <c r="J28"/>
  <c r="K28"/>
  <c r="I28"/>
  <c r="E29"/>
  <c r="J14" i="19"/>
  <c r="F15"/>
  <c r="E15"/>
  <c r="J15"/>
  <c r="I17"/>
  <c r="I19"/>
  <c r="E21"/>
  <c r="I20"/>
  <c r="I18"/>
  <c r="I16"/>
  <c r="D45"/>
  <c r="D44"/>
  <c r="D46"/>
  <c r="F45" i="119" l="1"/>
  <c r="F44"/>
  <c r="F46"/>
  <c r="J45"/>
  <c r="J44"/>
  <c r="J46"/>
  <c r="G13" i="132"/>
  <c r="G34" s="1"/>
  <c r="I34" s="1"/>
  <c r="G23" i="19"/>
  <c r="D14" i="67"/>
  <c r="D14" i="119" s="1"/>
  <c r="H14" i="67"/>
  <c r="H14" i="119" s="1"/>
  <c r="J25" i="19"/>
  <c r="J26"/>
  <c r="E34" i="132"/>
  <c r="I13"/>
  <c r="F13" i="120"/>
  <c r="G13"/>
  <c r="G44" s="1"/>
  <c r="G13" i="119"/>
  <c r="F19" i="120"/>
  <c r="F27"/>
  <c r="F26"/>
  <c r="F25"/>
  <c r="F24"/>
  <c r="F23"/>
  <c r="F22"/>
  <c r="F21"/>
  <c r="F20"/>
  <c r="F18"/>
  <c r="F17"/>
  <c r="F16"/>
  <c r="E13"/>
  <c r="F31"/>
  <c r="F32"/>
  <c r="F33"/>
  <c r="F34"/>
  <c r="F35"/>
  <c r="F36"/>
  <c r="F37"/>
  <c r="F38"/>
  <c r="F39"/>
  <c r="F40"/>
  <c r="F41"/>
  <c r="F42"/>
  <c r="F15"/>
  <c r="F30"/>
  <c r="F29"/>
  <c r="F28"/>
  <c r="F43"/>
  <c r="F14"/>
  <c r="J19"/>
  <c r="J30"/>
  <c r="J29"/>
  <c r="J28"/>
  <c r="J43"/>
  <c r="J15"/>
  <c r="J27"/>
  <c r="J26"/>
  <c r="J25"/>
  <c r="J24"/>
  <c r="J23"/>
  <c r="J22"/>
  <c r="J21"/>
  <c r="J20"/>
  <c r="J18"/>
  <c r="J17"/>
  <c r="J16"/>
  <c r="J31"/>
  <c r="J32"/>
  <c r="J33"/>
  <c r="J34"/>
  <c r="J35"/>
  <c r="J36"/>
  <c r="J37"/>
  <c r="J38"/>
  <c r="J39"/>
  <c r="J40"/>
  <c r="J41"/>
  <c r="J42"/>
  <c r="J13"/>
  <c r="J14"/>
  <c r="F18" i="119"/>
  <c r="F36"/>
  <c r="F38"/>
  <c r="F40"/>
  <c r="F42"/>
  <c r="F19"/>
  <c r="F21"/>
  <c r="F23"/>
  <c r="F25"/>
  <c r="F27"/>
  <c r="F29"/>
  <c r="F31"/>
  <c r="F33"/>
  <c r="F35"/>
  <c r="F37"/>
  <c r="F39"/>
  <c r="F41"/>
  <c r="F43"/>
  <c r="F47"/>
  <c r="E13"/>
  <c r="F20"/>
  <c r="F22"/>
  <c r="F24"/>
  <c r="F26"/>
  <c r="F28"/>
  <c r="F30"/>
  <c r="F32"/>
  <c r="F34"/>
  <c r="F13"/>
  <c r="F17"/>
  <c r="J13"/>
  <c r="J17"/>
  <c r="J18"/>
  <c r="J34"/>
  <c r="J36"/>
  <c r="J38"/>
  <c r="J40"/>
  <c r="J42"/>
  <c r="J19"/>
  <c r="J21"/>
  <c r="J23"/>
  <c r="J25"/>
  <c r="J27"/>
  <c r="J29"/>
  <c r="J31"/>
  <c r="J33"/>
  <c r="J35"/>
  <c r="J37"/>
  <c r="J39"/>
  <c r="J41"/>
  <c r="J43"/>
  <c r="I13"/>
  <c r="J20"/>
  <c r="J22"/>
  <c r="J24"/>
  <c r="J26"/>
  <c r="J28"/>
  <c r="J30"/>
  <c r="J32"/>
  <c r="J47"/>
  <c r="G13" i="107"/>
  <c r="G13" i="67"/>
  <c r="G14" s="1"/>
  <c r="G14" i="119" s="1"/>
  <c r="G13" i="80"/>
  <c r="F21"/>
  <c r="F23"/>
  <c r="F24"/>
  <c r="F25"/>
  <c r="F26"/>
  <c r="F27"/>
  <c r="F30"/>
  <c r="F13"/>
  <c r="F14"/>
  <c r="D45" s="1"/>
  <c r="F15"/>
  <c r="D46" s="1"/>
  <c r="F16"/>
  <c r="D47" s="1"/>
  <c r="F17"/>
  <c r="F18"/>
  <c r="F19"/>
  <c r="F20"/>
  <c r="F28"/>
  <c r="F29"/>
  <c r="E13"/>
  <c r="F22"/>
  <c r="F13" i="107"/>
  <c r="F14"/>
  <c r="D51" s="1"/>
  <c r="F16"/>
  <c r="D53" s="1"/>
  <c r="F18"/>
  <c r="D55" s="1"/>
  <c r="F20"/>
  <c r="F22"/>
  <c r="F24"/>
  <c r="F26"/>
  <c r="F28"/>
  <c r="F30"/>
  <c r="F32"/>
  <c r="F34"/>
  <c r="F36"/>
  <c r="F38"/>
  <c r="F40"/>
  <c r="D57" s="1"/>
  <c r="F42"/>
  <c r="F44"/>
  <c r="F46"/>
  <c r="E13"/>
  <c r="F15"/>
  <c r="D52" s="1"/>
  <c r="F17"/>
  <c r="D54" s="1"/>
  <c r="F19"/>
  <c r="F21"/>
  <c r="F23"/>
  <c r="F25"/>
  <c r="F27"/>
  <c r="F29"/>
  <c r="F31"/>
  <c r="F33"/>
  <c r="F35"/>
  <c r="F37"/>
  <c r="F39"/>
  <c r="D56" s="1"/>
  <c r="F41"/>
  <c r="D58" s="1"/>
  <c r="F43"/>
  <c r="F45"/>
  <c r="F47"/>
  <c r="I13" i="80"/>
  <c r="J21"/>
  <c r="J22"/>
  <c r="J23"/>
  <c r="J24"/>
  <c r="J25"/>
  <c r="J26"/>
  <c r="J27"/>
  <c r="J30"/>
  <c r="J13"/>
  <c r="J14"/>
  <c r="J15"/>
  <c r="J16"/>
  <c r="J17"/>
  <c r="J18"/>
  <c r="J19"/>
  <c r="J20"/>
  <c r="J28"/>
  <c r="J29"/>
  <c r="J13" i="107"/>
  <c r="J15"/>
  <c r="J17"/>
  <c r="J19"/>
  <c r="J21"/>
  <c r="J23"/>
  <c r="J25"/>
  <c r="J27"/>
  <c r="J29"/>
  <c r="J31"/>
  <c r="J33"/>
  <c r="J35"/>
  <c r="J37"/>
  <c r="J39"/>
  <c r="J41"/>
  <c r="J43"/>
  <c r="J45"/>
  <c r="J47"/>
  <c r="J14"/>
  <c r="J16"/>
  <c r="J18"/>
  <c r="J20"/>
  <c r="J22"/>
  <c r="J24"/>
  <c r="J26"/>
  <c r="J28"/>
  <c r="J30"/>
  <c r="J32"/>
  <c r="J34"/>
  <c r="J36"/>
  <c r="J38"/>
  <c r="J40"/>
  <c r="J42"/>
  <c r="J44"/>
  <c r="J46"/>
  <c r="I13"/>
  <c r="F35" i="67"/>
  <c r="F19"/>
  <c r="F21"/>
  <c r="F23"/>
  <c r="F25"/>
  <c r="F27"/>
  <c r="F29"/>
  <c r="F31"/>
  <c r="F33"/>
  <c r="F18"/>
  <c r="F20"/>
  <c r="F22"/>
  <c r="F24"/>
  <c r="F26"/>
  <c r="F28"/>
  <c r="F30"/>
  <c r="F32"/>
  <c r="F34"/>
  <c r="J18"/>
  <c r="J34"/>
  <c r="J32"/>
  <c r="J30"/>
  <c r="J28"/>
  <c r="J26"/>
  <c r="J24"/>
  <c r="J22"/>
  <c r="J20"/>
  <c r="J33"/>
  <c r="J31"/>
  <c r="J29"/>
  <c r="J27"/>
  <c r="J25"/>
  <c r="J23"/>
  <c r="J21"/>
  <c r="J19"/>
  <c r="J23" i="19"/>
  <c r="J30"/>
  <c r="J29"/>
  <c r="J28"/>
  <c r="J27"/>
  <c r="J24"/>
  <c r="F25"/>
  <c r="F26"/>
  <c r="F27"/>
  <c r="F28"/>
  <c r="F29"/>
  <c r="F30"/>
  <c r="F24"/>
  <c r="F23"/>
  <c r="M31"/>
  <c r="I30"/>
  <c r="E30"/>
  <c r="I29"/>
  <c r="E29"/>
  <c r="I28"/>
  <c r="E28"/>
  <c r="I27"/>
  <c r="E27"/>
  <c r="I26"/>
  <c r="E26"/>
  <c r="I25"/>
  <c r="E25"/>
  <c r="I24"/>
  <c r="E24"/>
  <c r="I23"/>
  <c r="E23"/>
  <c r="D48" i="80" l="1"/>
  <c r="I13" i="120"/>
  <c r="J14" i="119"/>
  <c r="I14"/>
  <c r="E44" i="120"/>
  <c r="F44"/>
  <c r="F14" i="119"/>
  <c r="E14"/>
  <c r="I44" i="120"/>
  <c r="J44"/>
  <c r="I21" i="19"/>
  <c r="H25" i="64"/>
  <c r="G25"/>
  <c r="F25"/>
  <c r="E25"/>
  <c r="D25"/>
  <c r="C25"/>
  <c r="L30" i="68" l="1"/>
  <c r="L29"/>
  <c r="L28"/>
  <c r="L27"/>
  <c r="M37" i="67" l="1"/>
  <c r="J35"/>
  <c r="I35"/>
  <c r="E35"/>
  <c r="E34"/>
  <c r="E33"/>
  <c r="J17"/>
  <c r="I17"/>
  <c r="F17"/>
  <c r="E17"/>
  <c r="J14"/>
  <c r="I14"/>
  <c r="F14"/>
  <c r="E14"/>
  <c r="J13"/>
  <c r="I13"/>
  <c r="F13"/>
  <c r="E13"/>
  <c r="J13" i="19" l="1"/>
  <c r="F14"/>
  <c r="F13"/>
  <c r="E14"/>
  <c r="I14"/>
  <c r="E13"/>
  <c r="I13"/>
  <c r="I13" i="64" l="1"/>
  <c r="N41"/>
  <c r="N40"/>
  <c r="N39"/>
  <c r="N38"/>
  <c r="N36"/>
  <c r="N35"/>
  <c r="N34"/>
  <c r="N33"/>
  <c r="N32"/>
  <c r="N24"/>
  <c r="N22"/>
  <c r="N20"/>
  <c r="K20"/>
  <c r="K19"/>
  <c r="N18"/>
  <c r="K18"/>
  <c r="K17"/>
  <c r="N16"/>
  <c r="I16"/>
  <c r="K15"/>
  <c r="N14"/>
  <c r="I14"/>
  <c r="K13"/>
  <c r="N13" l="1"/>
  <c r="K14"/>
  <c r="N15"/>
  <c r="K16"/>
  <c r="J17"/>
  <c r="N17"/>
  <c r="I18"/>
  <c r="J19"/>
  <c r="N19"/>
  <c r="I20"/>
  <c r="N21"/>
  <c r="N23"/>
  <c r="J13"/>
  <c r="J14"/>
  <c r="I15"/>
  <c r="J16"/>
  <c r="I17"/>
  <c r="J18"/>
  <c r="J20"/>
  <c r="E26"/>
  <c r="G26"/>
  <c r="H28" l="1"/>
  <c r="C28"/>
  <c r="D28"/>
  <c r="F28"/>
  <c r="E28"/>
  <c r="G28"/>
  <c r="G29" s="1"/>
  <c r="F26"/>
  <c r="D26"/>
  <c r="D29" l="1"/>
  <c r="E29"/>
  <c r="J28"/>
  <c r="K28"/>
  <c r="F29"/>
  <c r="I28"/>
  <c r="H29"/>
  <c r="M22" i="19" l="1"/>
</calcChain>
</file>

<file path=xl/sharedStrings.xml><?xml version="1.0" encoding="utf-8"?>
<sst xmlns="http://schemas.openxmlformats.org/spreadsheetml/2006/main" count="1325" uniqueCount="161">
  <si>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</si>
  <si>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</si>
  <si>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</si>
  <si>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</si>
  <si>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</si>
  <si>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</si>
  <si>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</si>
  <si>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</si>
  <si>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</si>
  <si>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</si>
  <si>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</si>
  <si>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</si>
  <si>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</si>
  <si>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</si>
  <si>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</si>
  <si>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</si>
  <si>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</si>
  <si>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</si>
  <si>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</si>
  <si>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</si>
  <si>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</si>
  <si>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</si>
  <si>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</si>
  <si>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</si>
  <si>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</si>
  <si>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</si>
  <si>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</si>
  <si>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</si>
  <si>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</si>
  <si>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</si>
  <si>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</si>
  <si>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</si>
  <si>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</si>
  <si>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</si>
  <si>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</si>
  <si>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</si>
  <si>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</si>
  <si>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</si>
  <si>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</si>
  <si>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</si>
  <si>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</si>
  <si>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</si>
  <si>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</si>
  <si>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</si>
  <si>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</si>
  <si>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</si>
  <si>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</si>
  <si>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</si>
  <si>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</si>
  <si>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</si>
  <si>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</si>
  <si>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</si>
  <si>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</si>
  <si>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</si>
  <si>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</si>
  <si>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</si>
  <si>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</si>
  <si>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</si>
  <si>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</si>
  <si>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</si>
  <si>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</si>
  <si>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</si>
  <si>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</si>
  <si>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</si>
  <si>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totales a Venezuela</t>
  </si>
  <si>
    <t>Exportaciones totales a Perú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</si>
  <si>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</si>
  <si>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</si>
  <si>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</si>
  <si>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</si>
  <si>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</si>
  <si>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</si>
  <si>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</si>
  <si>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</si>
  <si>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</si>
  <si>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</si>
  <si>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</si>
  <si>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</si>
  <si>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</si>
  <si>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</si>
  <si>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</si>
  <si>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</si>
  <si>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</si>
  <si>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</si>
  <si>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</si>
  <si>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</si>
  <si>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</si>
  <si>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</si>
  <si>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</si>
  <si>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</si>
  <si>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</si>
  <si>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</si>
  <si>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</si>
  <si>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</si>
  <si>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</si>
  <si>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</si>
  <si>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</si>
  <si>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</si>
  <si>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</si>
  <si>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</si>
  <si>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</si>
  <si>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equipos de transporte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</si>
  <si>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</si>
  <si>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</si>
  <si>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</si>
  <si>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</si>
  <si>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</si>
  <si>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</si>
  <si>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</si>
  <si>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</si>
  <si>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</si>
  <si>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</si>
  <si>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</si>
  <si>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</si>
  <si>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</si>
  <si>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</si>
  <si>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</si>
  <si>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</si>
  <si>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</si>
  <si>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</si>
  <si>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</si>
  <si>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</si>
  <si>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</si>
  <si>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</si>
  <si>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</si>
  <si>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</si>
  <si>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</si>
  <si>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</si>
  <si>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</si>
  <si>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</si>
  <si>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</si>
  <si>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</si>
  <si>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</si>
  <si>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Exportaciones a Perú</t>
  </si>
  <si>
    <t>Productos químicos</t>
  </si>
  <si>
    <t>Productos agricultura</t>
  </si>
  <si>
    <t>Productos equipo de transporte</t>
  </si>
  <si>
    <t>Alimentos y bebidas</t>
  </si>
  <si>
    <t>Exportaciones a Venezuela de manufacturas basadas en recursos naturales</t>
  </si>
  <si>
    <t>Exportaciones a Venezuela de bienes primarios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</si>
  <si>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</si>
  <si>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</si>
  <si>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</si>
  <si>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</si>
  <si>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</si>
  <si>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</si>
  <si>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</si>
  <si>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</si>
  <si>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Exportaciones totales a Brasil</t>
  </si>
  <si>
    <t>no.4 enero 2011</t>
  </si>
  <si>
    <t>Textiles</t>
  </si>
  <si>
    <t>Fuente: The Economist. Edición impresa 29 de diciembre de 2010.</t>
  </si>
  <si>
    <t>Segundo trimestre Chile y Colombia.</t>
  </si>
  <si>
    <t>Tercer trimestre Argentina, Canadá, China, Estados Unidos, Gran Bretaña, México, Perú y Venezuela.</t>
  </si>
  <si>
    <t>Datos para octubre Zona Euro y Japón.</t>
  </si>
  <si>
    <t>Datos para noviembre Brasil.</t>
  </si>
  <si>
    <t>Año corrido a diciembre</t>
  </si>
  <si>
    <t>Diciembre</t>
  </si>
  <si>
    <t>Exportaciones a México</t>
  </si>
  <si>
    <t>Exportaciones de textiles</t>
  </si>
  <si>
    <t>Exportaciones de alimentos y bebidas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</si>
</sst>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164" fontId="21" fillId="2" borderId="0" xfId="2" applyNumberFormat="1" applyFont="1" applyFill="1" applyBorder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4" borderId="0" xfId="2" applyFont="1" applyFill="1" applyBorder="1" applyAlignment="1">
      <alignment horizontal="center"/>
    </xf>
    <xf numFmtId="4" fontId="11" fillId="4" borderId="2" xfId="2" applyNumberFormat="1" applyFont="1" applyFill="1" applyBorder="1"/>
    <xf numFmtId="4" fontId="12" fillId="4" borderId="2" xfId="2" applyNumberFormat="1" applyFont="1" applyFill="1" applyBorder="1"/>
    <xf numFmtId="4" fontId="13" fillId="3" borderId="2" xfId="2" applyNumberFormat="1" applyFont="1" applyFill="1" applyBorder="1"/>
    <xf numFmtId="4" fontId="13" fillId="3" borderId="12" xfId="2" applyNumberFormat="1" applyFont="1" applyFill="1" applyBorder="1"/>
    <xf numFmtId="0" fontId="20" fillId="2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68" Type="http://schemas.openxmlformats.org/officeDocument/2006/relationships/externalLink" Target="externalLinks/externalLink10.xml"/><Relationship Id="rId76" Type="http://schemas.openxmlformats.org/officeDocument/2006/relationships/externalLink" Target="externalLinks/externalLink18.xml"/><Relationship Id="rId84" Type="http://schemas.openxmlformats.org/officeDocument/2006/relationships/externalLink" Target="externalLinks/externalLink26.xml"/><Relationship Id="rId89" Type="http://schemas.openxmlformats.org/officeDocument/2006/relationships/externalLink" Target="externalLinks/externalLink31.xml"/><Relationship Id="rId97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13.xml"/><Relationship Id="rId92" Type="http://schemas.openxmlformats.org/officeDocument/2006/relationships/externalLink" Target="externalLinks/externalLink3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8.xml"/><Relationship Id="rId74" Type="http://schemas.openxmlformats.org/officeDocument/2006/relationships/externalLink" Target="externalLinks/externalLink16.xml"/><Relationship Id="rId79" Type="http://schemas.openxmlformats.org/officeDocument/2006/relationships/externalLink" Target="externalLinks/externalLink21.xml"/><Relationship Id="rId87" Type="http://schemas.openxmlformats.org/officeDocument/2006/relationships/externalLink" Target="externalLinks/externalLink29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3.xml"/><Relationship Id="rId82" Type="http://schemas.openxmlformats.org/officeDocument/2006/relationships/externalLink" Target="externalLinks/externalLink24.xml"/><Relationship Id="rId90" Type="http://schemas.openxmlformats.org/officeDocument/2006/relationships/externalLink" Target="externalLinks/externalLink32.xml"/><Relationship Id="rId95" Type="http://schemas.openxmlformats.org/officeDocument/2006/relationships/externalLink" Target="externalLinks/externalLink37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69" Type="http://schemas.openxmlformats.org/officeDocument/2006/relationships/externalLink" Target="externalLinks/externalLink11.xml"/><Relationship Id="rId77" Type="http://schemas.openxmlformats.org/officeDocument/2006/relationships/externalLink" Target="externalLinks/externalLink19.xml"/><Relationship Id="rId100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externalLink" Target="externalLinks/externalLink14.xml"/><Relationship Id="rId80" Type="http://schemas.openxmlformats.org/officeDocument/2006/relationships/externalLink" Target="externalLinks/externalLink22.xml"/><Relationship Id="rId85" Type="http://schemas.openxmlformats.org/officeDocument/2006/relationships/externalLink" Target="externalLinks/externalLink27.xml"/><Relationship Id="rId93" Type="http://schemas.openxmlformats.org/officeDocument/2006/relationships/externalLink" Target="externalLinks/externalLink35.xml"/><Relationship Id="rId98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Relationship Id="rId70" Type="http://schemas.openxmlformats.org/officeDocument/2006/relationships/externalLink" Target="externalLinks/externalLink12.xml"/><Relationship Id="rId75" Type="http://schemas.openxmlformats.org/officeDocument/2006/relationships/externalLink" Target="externalLinks/externalLink17.xml"/><Relationship Id="rId83" Type="http://schemas.openxmlformats.org/officeDocument/2006/relationships/externalLink" Target="externalLinks/externalLink25.xml"/><Relationship Id="rId88" Type="http://schemas.openxmlformats.org/officeDocument/2006/relationships/externalLink" Target="externalLinks/externalLink30.xml"/><Relationship Id="rId91" Type="http://schemas.openxmlformats.org/officeDocument/2006/relationships/externalLink" Target="externalLinks/externalLink33.xml"/><Relationship Id="rId96" Type="http://schemas.openxmlformats.org/officeDocument/2006/relationships/externalLink" Target="externalLinks/externalLink3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externalLink" Target="externalLinks/externalLink7.xml"/><Relationship Id="rId73" Type="http://schemas.openxmlformats.org/officeDocument/2006/relationships/externalLink" Target="externalLinks/externalLink15.xml"/><Relationship Id="rId78" Type="http://schemas.openxmlformats.org/officeDocument/2006/relationships/externalLink" Target="externalLinks/externalLink20.xml"/><Relationship Id="rId81" Type="http://schemas.openxmlformats.org/officeDocument/2006/relationships/externalLink" Target="externalLinks/externalLink23.xml"/><Relationship Id="rId86" Type="http://schemas.openxmlformats.org/officeDocument/2006/relationships/externalLink" Target="externalLinks/externalLink28.xml"/><Relationship Id="rId94" Type="http://schemas.openxmlformats.org/officeDocument/2006/relationships/externalLink" Target="externalLinks/externalLink36.xml"/><Relationship Id="rId9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538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664.17796263999287</c:v>
                </c:pt>
                <c:pt idx="1">
                  <c:v>2176.8572570699962</c:v>
                </c:pt>
                <c:pt idx="2">
                  <c:v>104.02190609000007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67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6938E-2"/>
          <c:y val="0.3589041095890450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4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267.74012121000067</c:v>
                </c:pt>
                <c:pt idx="1">
                  <c:v>2677.3170045900461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6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646"/>
          <c:w val="0.89869278438906486"/>
          <c:h val="0.4195382583546519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411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506E-3"/>
                  <c:y val="7.2434257819684175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402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1966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798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aduana'!$C$45:$C$48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3.765631539995109E-5</c:v>
                </c:pt>
                <c:pt idx="1">
                  <c:v>1.6730782764227226</c:v>
                </c:pt>
                <c:pt idx="2">
                  <c:v>47.691119526873308</c:v>
                </c:pt>
                <c:pt idx="3">
                  <c:v>50.635764547178013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[22]XX!$E$13:$E$73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[22]XX!$F$13:$F$73</c:f>
              <c:numCache>
                <c:formatCode>General</c:formatCode>
                <c:ptCount val="61"/>
                <c:pt idx="0">
                  <c:v>145.18615240166665</c:v>
                </c:pt>
                <c:pt idx="1">
                  <c:v>148.1213163233333</c:v>
                </c:pt>
                <c:pt idx="2">
                  <c:v>154.61277273333909</c:v>
                </c:pt>
                <c:pt idx="3">
                  <c:v>161.23588204833916</c:v>
                </c:pt>
                <c:pt idx="4">
                  <c:v>162.04361373500581</c:v>
                </c:pt>
                <c:pt idx="5">
                  <c:v>164.62541647667243</c:v>
                </c:pt>
                <c:pt idx="6">
                  <c:v>168.31766247083905</c:v>
                </c:pt>
                <c:pt idx="7">
                  <c:v>171.17875376917243</c:v>
                </c:pt>
                <c:pt idx="8">
                  <c:v>175.233303550839</c:v>
                </c:pt>
                <c:pt idx="9">
                  <c:v>180.59641369250565</c:v>
                </c:pt>
                <c:pt idx="10">
                  <c:v>187.85023690250569</c:v>
                </c:pt>
                <c:pt idx="11">
                  <c:v>192.5610031558391</c:v>
                </c:pt>
                <c:pt idx="12">
                  <c:v>195.23893508083918</c:v>
                </c:pt>
                <c:pt idx="13">
                  <c:v>198.23930095250589</c:v>
                </c:pt>
                <c:pt idx="14">
                  <c:v>198.75939509833344</c:v>
                </c:pt>
                <c:pt idx="15">
                  <c:v>200.66040521000014</c:v>
                </c:pt>
                <c:pt idx="16">
                  <c:v>203.66783766166677</c:v>
                </c:pt>
                <c:pt idx="17">
                  <c:v>209.67169042916672</c:v>
                </c:pt>
                <c:pt idx="18">
                  <c:v>211.58886523000004</c:v>
                </c:pt>
                <c:pt idx="19">
                  <c:v>216.12811712666675</c:v>
                </c:pt>
                <c:pt idx="20">
                  <c:v>220.83567423083343</c:v>
                </c:pt>
                <c:pt idx="21">
                  <c:v>227.10502192666658</c:v>
                </c:pt>
                <c:pt idx="22">
                  <c:v>232.33623227916667</c:v>
                </c:pt>
                <c:pt idx="23">
                  <c:v>240.69959805583312</c:v>
                </c:pt>
                <c:pt idx="24">
                  <c:v>250.28250686666641</c:v>
                </c:pt>
                <c:pt idx="25">
                  <c:v>254.49038784916638</c:v>
                </c:pt>
                <c:pt idx="26">
                  <c:v>260.40366530249975</c:v>
                </c:pt>
                <c:pt idx="27">
                  <c:v>263.67133781083294</c:v>
                </c:pt>
                <c:pt idx="28">
                  <c:v>274.86756282333289</c:v>
                </c:pt>
                <c:pt idx="29">
                  <c:v>278.16949228249968</c:v>
                </c:pt>
                <c:pt idx="30">
                  <c:v>283.92891768499982</c:v>
                </c:pt>
                <c:pt idx="31">
                  <c:v>291.62330057166633</c:v>
                </c:pt>
                <c:pt idx="32">
                  <c:v>294.12683148583301</c:v>
                </c:pt>
                <c:pt idx="33">
                  <c:v>291.5028914541665</c:v>
                </c:pt>
                <c:pt idx="34">
                  <c:v>300.90987068999982</c:v>
                </c:pt>
                <c:pt idx="35">
                  <c:v>297.49484743583326</c:v>
                </c:pt>
                <c:pt idx="36">
                  <c:v>298.81896670666669</c:v>
                </c:pt>
                <c:pt idx="37">
                  <c:v>301.4684417383333</c:v>
                </c:pt>
                <c:pt idx="38">
                  <c:v>300.62375882250006</c:v>
                </c:pt>
                <c:pt idx="39">
                  <c:v>301.13549808416678</c:v>
                </c:pt>
                <c:pt idx="40">
                  <c:v>291.26772864083352</c:v>
                </c:pt>
                <c:pt idx="41">
                  <c:v>288.35554566166689</c:v>
                </c:pt>
                <c:pt idx="42">
                  <c:v>285.06022290333351</c:v>
                </c:pt>
                <c:pt idx="43">
                  <c:v>275.72606742500028</c:v>
                </c:pt>
                <c:pt idx="44">
                  <c:v>268.84732931250034</c:v>
                </c:pt>
                <c:pt idx="45">
                  <c:v>267.37764819250032</c:v>
                </c:pt>
                <c:pt idx="46">
                  <c:v>251.5668789250002</c:v>
                </c:pt>
                <c:pt idx="47">
                  <c:v>246.73328074416693</c:v>
                </c:pt>
                <c:pt idx="48">
                  <c:v>240.4457645683336</c:v>
                </c:pt>
                <c:pt idx="49">
                  <c:v>234.51207521916692</c:v>
                </c:pt>
                <c:pt idx="50">
                  <c:v>230.72453512500022</c:v>
                </c:pt>
                <c:pt idx="51">
                  <c:v>232.76276823166685</c:v>
                </c:pt>
                <c:pt idx="52">
                  <c:v>233.00075532583355</c:v>
                </c:pt>
                <c:pt idx="53">
                  <c:v>240.27006854583348</c:v>
                </c:pt>
                <c:pt idx="54">
                  <c:v>238.68893599583339</c:v>
                </c:pt>
                <c:pt idx="55">
                  <c:v>236.08008996250007</c:v>
                </c:pt>
                <c:pt idx="56">
                  <c:v>237.29211303166676</c:v>
                </c:pt>
                <c:pt idx="57">
                  <c:v>238.82023136916675</c:v>
                </c:pt>
                <c:pt idx="58">
                  <c:v>241.49298463916668</c:v>
                </c:pt>
                <c:pt idx="59">
                  <c:v>242.26000311416678</c:v>
                </c:pt>
                <c:pt idx="60">
                  <c:v>245.42142715000014</c:v>
                </c:pt>
              </c:numCache>
            </c:numRef>
          </c:val>
        </c:ser>
        <c:marker val="1"/>
        <c:axId val="68504576"/>
        <c:axId val="68772608"/>
      </c:lineChart>
      <c:dateAx>
        <c:axId val="6850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77260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68772608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50457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[22]tradicional!$E$13:$E$73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[22]tradicional!$F$13:$F$73</c:f>
              <c:numCache>
                <c:formatCode>General</c:formatCode>
                <c:ptCount val="61"/>
                <c:pt idx="0">
                  <c:v>7.457379426666666</c:v>
                </c:pt>
                <c:pt idx="1">
                  <c:v>7.8803500749999991</c:v>
                </c:pt>
                <c:pt idx="2">
                  <c:v>8.8582524300000003</c:v>
                </c:pt>
                <c:pt idx="3">
                  <c:v>9.7940308783333325</c:v>
                </c:pt>
                <c:pt idx="4">
                  <c:v>9.8566215908333312</c:v>
                </c:pt>
                <c:pt idx="5">
                  <c:v>9.3825139433333309</c:v>
                </c:pt>
                <c:pt idx="6">
                  <c:v>8.9524913391666647</c:v>
                </c:pt>
                <c:pt idx="7">
                  <c:v>8.6243022191666636</c:v>
                </c:pt>
                <c:pt idx="8">
                  <c:v>8.8233721433333301</c:v>
                </c:pt>
                <c:pt idx="9">
                  <c:v>9.0185260841666643</c:v>
                </c:pt>
                <c:pt idx="10">
                  <c:v>9.4282962233333318</c:v>
                </c:pt>
                <c:pt idx="11">
                  <c:v>9.2078630541666655</c:v>
                </c:pt>
                <c:pt idx="12">
                  <c:v>8.7276440675</c:v>
                </c:pt>
                <c:pt idx="13">
                  <c:v>8.1546267100000005</c:v>
                </c:pt>
                <c:pt idx="14">
                  <c:v>7.4352068749999995</c:v>
                </c:pt>
                <c:pt idx="15">
                  <c:v>6.6144002491666685</c:v>
                </c:pt>
                <c:pt idx="16">
                  <c:v>6.4535654800000017</c:v>
                </c:pt>
                <c:pt idx="17">
                  <c:v>6.1021240458333343</c:v>
                </c:pt>
                <c:pt idx="18">
                  <c:v>6.2378507483333339</c:v>
                </c:pt>
                <c:pt idx="19">
                  <c:v>6.3091826425000015</c:v>
                </c:pt>
                <c:pt idx="20">
                  <c:v>6.0578656250000016</c:v>
                </c:pt>
                <c:pt idx="21">
                  <c:v>5.846763014166668</c:v>
                </c:pt>
                <c:pt idx="22">
                  <c:v>5.3245639608333342</c:v>
                </c:pt>
                <c:pt idx="23">
                  <c:v>5.3279031691666683</c:v>
                </c:pt>
                <c:pt idx="24">
                  <c:v>5.4464369966666686</c:v>
                </c:pt>
                <c:pt idx="25">
                  <c:v>5.6992171641666687</c:v>
                </c:pt>
                <c:pt idx="26">
                  <c:v>6.3194982116666685</c:v>
                </c:pt>
                <c:pt idx="27">
                  <c:v>7.2247330875000015</c:v>
                </c:pt>
                <c:pt idx="28">
                  <c:v>8.7289226708333363</c:v>
                </c:pt>
                <c:pt idx="29">
                  <c:v>10.98301014166667</c:v>
                </c:pt>
                <c:pt idx="30">
                  <c:v>13.124958411666668</c:v>
                </c:pt>
                <c:pt idx="31">
                  <c:v>14.80977956916667</c:v>
                </c:pt>
                <c:pt idx="32">
                  <c:v>15.793069655000004</c:v>
                </c:pt>
                <c:pt idx="33">
                  <c:v>17.747993298333338</c:v>
                </c:pt>
                <c:pt idx="34">
                  <c:v>20.480742499999998</c:v>
                </c:pt>
                <c:pt idx="35">
                  <c:v>21.82341006916667</c:v>
                </c:pt>
                <c:pt idx="36">
                  <c:v>23.958335424166666</c:v>
                </c:pt>
                <c:pt idx="37">
                  <c:v>26.82461631166667</c:v>
                </c:pt>
                <c:pt idx="38">
                  <c:v>28.645052216666667</c:v>
                </c:pt>
                <c:pt idx="39">
                  <c:v>30.099628431666662</c:v>
                </c:pt>
                <c:pt idx="40">
                  <c:v>30.549518865833335</c:v>
                </c:pt>
                <c:pt idx="41">
                  <c:v>29.302826216666674</c:v>
                </c:pt>
                <c:pt idx="42">
                  <c:v>28.822006095000003</c:v>
                </c:pt>
                <c:pt idx="43">
                  <c:v>27.642549730833334</c:v>
                </c:pt>
                <c:pt idx="44">
                  <c:v>27.374908371666663</c:v>
                </c:pt>
                <c:pt idx="45">
                  <c:v>26.442601859999996</c:v>
                </c:pt>
                <c:pt idx="46">
                  <c:v>24.348121965833332</c:v>
                </c:pt>
                <c:pt idx="47">
                  <c:v>23.774063100833335</c:v>
                </c:pt>
                <c:pt idx="48">
                  <c:v>23.073302143333333</c:v>
                </c:pt>
                <c:pt idx="49">
                  <c:v>21.118794651666665</c:v>
                </c:pt>
                <c:pt idx="50">
                  <c:v>19.516162208333334</c:v>
                </c:pt>
                <c:pt idx="51">
                  <c:v>18.696675439166665</c:v>
                </c:pt>
                <c:pt idx="52">
                  <c:v>17.396811816666666</c:v>
                </c:pt>
                <c:pt idx="53">
                  <c:v>18.211768428333333</c:v>
                </c:pt>
                <c:pt idx="54">
                  <c:v>18.589455656666669</c:v>
                </c:pt>
                <c:pt idx="55">
                  <c:v>18.645011826666664</c:v>
                </c:pt>
                <c:pt idx="56">
                  <c:v>19.168348977499999</c:v>
                </c:pt>
                <c:pt idx="57">
                  <c:v>19.3451847975</c:v>
                </c:pt>
                <c:pt idx="58">
                  <c:v>20.289389796666665</c:v>
                </c:pt>
                <c:pt idx="59">
                  <c:v>21.740840745</c:v>
                </c:pt>
                <c:pt idx="60">
                  <c:v>22.311676767499993</c:v>
                </c:pt>
              </c:numCache>
            </c:numRef>
          </c:val>
        </c:ser>
        <c:marker val="1"/>
        <c:axId val="68851584"/>
        <c:axId val="68853120"/>
      </c:lineChart>
      <c:dateAx>
        <c:axId val="68851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53120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68853120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515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[22]no_tradicional!$E$13:$E$73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[22]no_tradicional!$F$13:$F$73</c:f>
              <c:numCache>
                <c:formatCode>General</c:formatCode>
                <c:ptCount val="61"/>
                <c:pt idx="0">
                  <c:v>137.72877297500008</c:v>
                </c:pt>
                <c:pt idx="1">
                  <c:v>140.24096624833342</c:v>
                </c:pt>
                <c:pt idx="2">
                  <c:v>145.75452030333298</c:v>
                </c:pt>
                <c:pt idx="3">
                  <c:v>151.44185116999969</c:v>
                </c:pt>
                <c:pt idx="4">
                  <c:v>152.18699214416637</c:v>
                </c:pt>
                <c:pt idx="5">
                  <c:v>155.24290253333297</c:v>
                </c:pt>
                <c:pt idx="6">
                  <c:v>159.36517113166616</c:v>
                </c:pt>
                <c:pt idx="7">
                  <c:v>162.55445154999953</c:v>
                </c:pt>
                <c:pt idx="8">
                  <c:v>166.40993140749944</c:v>
                </c:pt>
                <c:pt idx="9">
                  <c:v>171.57788760833273</c:v>
                </c:pt>
                <c:pt idx="10">
                  <c:v>178.42194067916606</c:v>
                </c:pt>
                <c:pt idx="11">
                  <c:v>183.35314010166607</c:v>
                </c:pt>
                <c:pt idx="12">
                  <c:v>186.51129101333285</c:v>
                </c:pt>
                <c:pt idx="13">
                  <c:v>190.08467424249955</c:v>
                </c:pt>
                <c:pt idx="14">
                  <c:v>191.32418822333341</c:v>
                </c:pt>
                <c:pt idx="15">
                  <c:v>194.04600496083344</c:v>
                </c:pt>
                <c:pt idx="16">
                  <c:v>197.21427218166673</c:v>
                </c:pt>
                <c:pt idx="17">
                  <c:v>203.56956638333335</c:v>
                </c:pt>
                <c:pt idx="18">
                  <c:v>205.35101448166674</c:v>
                </c:pt>
                <c:pt idx="19">
                  <c:v>209.81893448416676</c:v>
                </c:pt>
                <c:pt idx="20">
                  <c:v>214.77780860583343</c:v>
                </c:pt>
                <c:pt idx="21">
                  <c:v>221.25825891249997</c:v>
                </c:pt>
                <c:pt idx="22">
                  <c:v>227.01166831833339</c:v>
                </c:pt>
                <c:pt idx="23">
                  <c:v>235.37169488666669</c:v>
                </c:pt>
                <c:pt idx="24">
                  <c:v>244.83606986999993</c:v>
                </c:pt>
                <c:pt idx="25">
                  <c:v>248.79117068499988</c:v>
                </c:pt>
                <c:pt idx="26">
                  <c:v>254.08416709083306</c:v>
                </c:pt>
                <c:pt idx="27">
                  <c:v>256.44660472333294</c:v>
                </c:pt>
                <c:pt idx="28">
                  <c:v>266.13864015249953</c:v>
                </c:pt>
                <c:pt idx="29">
                  <c:v>267.18648214083282</c:v>
                </c:pt>
                <c:pt idx="30">
                  <c:v>270.80395927333296</c:v>
                </c:pt>
                <c:pt idx="31">
                  <c:v>276.8135210024995</c:v>
                </c:pt>
                <c:pt idx="32">
                  <c:v>278.33376183083283</c:v>
                </c:pt>
                <c:pt idx="33">
                  <c:v>273.7548981558329</c:v>
                </c:pt>
                <c:pt idx="34">
                  <c:v>280.42912818999963</c:v>
                </c:pt>
                <c:pt idx="35">
                  <c:v>275.67143736666628</c:v>
                </c:pt>
                <c:pt idx="36">
                  <c:v>274.86063128249981</c:v>
                </c:pt>
                <c:pt idx="37">
                  <c:v>274.64382542666647</c:v>
                </c:pt>
                <c:pt idx="38">
                  <c:v>271.97870660583317</c:v>
                </c:pt>
                <c:pt idx="39">
                  <c:v>271.03586965249991</c:v>
                </c:pt>
                <c:pt idx="40">
                  <c:v>260.71820977499993</c:v>
                </c:pt>
                <c:pt idx="41">
                  <c:v>259.05271944500004</c:v>
                </c:pt>
                <c:pt idx="42">
                  <c:v>256.23821680833339</c:v>
                </c:pt>
                <c:pt idx="43">
                  <c:v>248.08351769416674</c:v>
                </c:pt>
                <c:pt idx="44">
                  <c:v>241.47242094083353</c:v>
                </c:pt>
                <c:pt idx="45">
                  <c:v>240.93504633250018</c:v>
                </c:pt>
                <c:pt idx="46">
                  <c:v>227.21875695916674</c:v>
                </c:pt>
                <c:pt idx="47">
                  <c:v>222.95921764333357</c:v>
                </c:pt>
                <c:pt idx="48">
                  <c:v>217.37246242500012</c:v>
                </c:pt>
                <c:pt idx="49">
                  <c:v>213.39328056750017</c:v>
                </c:pt>
                <c:pt idx="50">
                  <c:v>211.20837291666689</c:v>
                </c:pt>
                <c:pt idx="51">
                  <c:v>214.06609279250014</c:v>
                </c:pt>
                <c:pt idx="52">
                  <c:v>215.60394350916695</c:v>
                </c:pt>
                <c:pt idx="53">
                  <c:v>222.05830011750027</c:v>
                </c:pt>
                <c:pt idx="54">
                  <c:v>220.09948033916694</c:v>
                </c:pt>
                <c:pt idx="55">
                  <c:v>217.43507813583369</c:v>
                </c:pt>
                <c:pt idx="56">
                  <c:v>218.12376405416705</c:v>
                </c:pt>
                <c:pt idx="57">
                  <c:v>219.47504657166701</c:v>
                </c:pt>
                <c:pt idx="58">
                  <c:v>221.20359484250022</c:v>
                </c:pt>
                <c:pt idx="59">
                  <c:v>220.51916236916688</c:v>
                </c:pt>
                <c:pt idx="60">
                  <c:v>223.10975038250021</c:v>
                </c:pt>
              </c:numCache>
            </c:numRef>
          </c:val>
        </c:ser>
        <c:marker val="1"/>
        <c:axId val="76321920"/>
        <c:axId val="76323456"/>
      </c:lineChart>
      <c:dateAx>
        <c:axId val="76321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234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6323456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219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[22]primarios!$E$13:$E$73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[22]primarios!$F$13:$F$73</c:f>
              <c:numCache>
                <c:formatCode>General</c:formatCode>
                <c:ptCount val="61"/>
                <c:pt idx="0">
                  <c:v>15.373753365833336</c:v>
                </c:pt>
                <c:pt idx="1">
                  <c:v>15.640701159999999</c:v>
                </c:pt>
                <c:pt idx="2">
                  <c:v>17.051117664166664</c:v>
                </c:pt>
                <c:pt idx="3">
                  <c:v>17.965466081666658</c:v>
                </c:pt>
                <c:pt idx="4">
                  <c:v>17.213485064999997</c:v>
                </c:pt>
                <c:pt idx="5">
                  <c:v>15.99437709083333</c:v>
                </c:pt>
                <c:pt idx="6">
                  <c:v>15.887339987499997</c:v>
                </c:pt>
                <c:pt idx="7">
                  <c:v>16.309608149999995</c:v>
                </c:pt>
                <c:pt idx="8">
                  <c:v>16.79537130833333</c:v>
                </c:pt>
                <c:pt idx="9">
                  <c:v>17.085609669999997</c:v>
                </c:pt>
                <c:pt idx="10">
                  <c:v>18.026546135833325</c:v>
                </c:pt>
                <c:pt idx="11">
                  <c:v>17.813487891666661</c:v>
                </c:pt>
                <c:pt idx="12">
                  <c:v>17.552106358333329</c:v>
                </c:pt>
                <c:pt idx="13">
                  <c:v>17.557105319166663</c:v>
                </c:pt>
                <c:pt idx="14">
                  <c:v>16.849217827499999</c:v>
                </c:pt>
                <c:pt idx="15">
                  <c:v>16.915585845000006</c:v>
                </c:pt>
                <c:pt idx="16">
                  <c:v>17.356148865833337</c:v>
                </c:pt>
                <c:pt idx="17">
                  <c:v>17.3898848975</c:v>
                </c:pt>
                <c:pt idx="18">
                  <c:v>17.560147553333337</c:v>
                </c:pt>
                <c:pt idx="19">
                  <c:v>17.462818867500001</c:v>
                </c:pt>
                <c:pt idx="20">
                  <c:v>17.456806292499998</c:v>
                </c:pt>
                <c:pt idx="21">
                  <c:v>17.565922472499995</c:v>
                </c:pt>
                <c:pt idx="22">
                  <c:v>16.500001221666665</c:v>
                </c:pt>
                <c:pt idx="23">
                  <c:v>16.770831306666661</c:v>
                </c:pt>
                <c:pt idx="24">
                  <c:v>16.972767309999991</c:v>
                </c:pt>
                <c:pt idx="25">
                  <c:v>16.876307919999995</c:v>
                </c:pt>
                <c:pt idx="26">
                  <c:v>18.037202824999991</c:v>
                </c:pt>
                <c:pt idx="27">
                  <c:v>18.359920473333322</c:v>
                </c:pt>
                <c:pt idx="28">
                  <c:v>18.755245348333325</c:v>
                </c:pt>
                <c:pt idx="29">
                  <c:v>20.196086045833322</c:v>
                </c:pt>
                <c:pt idx="30">
                  <c:v>20.358148179166658</c:v>
                </c:pt>
                <c:pt idx="31">
                  <c:v>20.81298122916666</c:v>
                </c:pt>
                <c:pt idx="32">
                  <c:v>20.827143374999995</c:v>
                </c:pt>
                <c:pt idx="33">
                  <c:v>20.45788833666666</c:v>
                </c:pt>
                <c:pt idx="34">
                  <c:v>21.65553521666666</c:v>
                </c:pt>
                <c:pt idx="35">
                  <c:v>21.882899053333329</c:v>
                </c:pt>
                <c:pt idx="36">
                  <c:v>22.831253435833329</c:v>
                </c:pt>
                <c:pt idx="37">
                  <c:v>25.062438296666656</c:v>
                </c:pt>
                <c:pt idx="38">
                  <c:v>25.612430038333319</c:v>
                </c:pt>
                <c:pt idx="39">
                  <c:v>26.499302243333322</c:v>
                </c:pt>
                <c:pt idx="40">
                  <c:v>27.869542529166655</c:v>
                </c:pt>
                <c:pt idx="41">
                  <c:v>27.898130181666662</c:v>
                </c:pt>
                <c:pt idx="42">
                  <c:v>29.386149737499988</c:v>
                </c:pt>
                <c:pt idx="43">
                  <c:v>29.567181574166664</c:v>
                </c:pt>
                <c:pt idx="44">
                  <c:v>30.176486676666666</c:v>
                </c:pt>
                <c:pt idx="45">
                  <c:v>31.927254866666658</c:v>
                </c:pt>
                <c:pt idx="46">
                  <c:v>32.142074760833331</c:v>
                </c:pt>
                <c:pt idx="47">
                  <c:v>34.873955625000001</c:v>
                </c:pt>
                <c:pt idx="48">
                  <c:v>36.543608190833339</c:v>
                </c:pt>
                <c:pt idx="49">
                  <c:v>36.323219085000012</c:v>
                </c:pt>
                <c:pt idx="50">
                  <c:v>36.623110281666669</c:v>
                </c:pt>
                <c:pt idx="51">
                  <c:v>38.425524970833344</c:v>
                </c:pt>
                <c:pt idx="52">
                  <c:v>38.062163390000002</c:v>
                </c:pt>
                <c:pt idx="53">
                  <c:v>43.191294315000022</c:v>
                </c:pt>
                <c:pt idx="54">
                  <c:v>43.811088802500024</c:v>
                </c:pt>
                <c:pt idx="55">
                  <c:v>43.73064871916668</c:v>
                </c:pt>
                <c:pt idx="56">
                  <c:v>45.832272841666679</c:v>
                </c:pt>
                <c:pt idx="57">
                  <c:v>47.036690715000013</c:v>
                </c:pt>
                <c:pt idx="58">
                  <c:v>48.134203050833349</c:v>
                </c:pt>
                <c:pt idx="59">
                  <c:v>50.220716183333366</c:v>
                </c:pt>
                <c:pt idx="60">
                  <c:v>55.348163553333343</c:v>
                </c:pt>
              </c:numCache>
            </c:numRef>
          </c:val>
        </c:ser>
        <c:marker val="1"/>
        <c:axId val="85016960"/>
        <c:axId val="85018496"/>
      </c:lineChart>
      <c:dateAx>
        <c:axId val="85016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184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018496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169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[22]manufacturas!$E$13:$E$73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[22]manufacturas!$F$13:$F$73</c:f>
              <c:numCache>
                <c:formatCode>General</c:formatCode>
                <c:ptCount val="61"/>
                <c:pt idx="0">
                  <c:v>119.39162392416661</c:v>
                </c:pt>
                <c:pt idx="1">
                  <c:v>121.51817556833329</c:v>
                </c:pt>
                <c:pt idx="2">
                  <c:v>126.50747962499956</c:v>
                </c:pt>
                <c:pt idx="3">
                  <c:v>132.17012931833293</c:v>
                </c:pt>
                <c:pt idx="4">
                  <c:v>133.49982060749957</c:v>
                </c:pt>
                <c:pt idx="5">
                  <c:v>137.01579453333292</c:v>
                </c:pt>
                <c:pt idx="6">
                  <c:v>140.5376191699996</c:v>
                </c:pt>
                <c:pt idx="7">
                  <c:v>142.5876528274996</c:v>
                </c:pt>
                <c:pt idx="8">
                  <c:v>145.87426885333295</c:v>
                </c:pt>
                <c:pt idx="9">
                  <c:v>150.90926940666631</c:v>
                </c:pt>
                <c:pt idx="10">
                  <c:v>157.1438251116663</c:v>
                </c:pt>
                <c:pt idx="11">
                  <c:v>162.03997809083299</c:v>
                </c:pt>
                <c:pt idx="12">
                  <c:v>165.26040471083297</c:v>
                </c:pt>
                <c:pt idx="13">
                  <c:v>168.57076087583297</c:v>
                </c:pt>
                <c:pt idx="14">
                  <c:v>169.62466413083339</c:v>
                </c:pt>
                <c:pt idx="15">
                  <c:v>171.48190182916673</c:v>
                </c:pt>
                <c:pt idx="16">
                  <c:v>174.38089590500007</c:v>
                </c:pt>
                <c:pt idx="17">
                  <c:v>180.54105327166675</c:v>
                </c:pt>
                <c:pt idx="18">
                  <c:v>182.37588276083343</c:v>
                </c:pt>
                <c:pt idx="19">
                  <c:v>187.21326755333345</c:v>
                </c:pt>
                <c:pt idx="20">
                  <c:v>191.92119044666677</c:v>
                </c:pt>
                <c:pt idx="21">
                  <c:v>197.66723078333348</c:v>
                </c:pt>
                <c:pt idx="22">
                  <c:v>203.52552906250014</c:v>
                </c:pt>
                <c:pt idx="23">
                  <c:v>211.46416985916676</c:v>
                </c:pt>
                <c:pt idx="24">
                  <c:v>220.6835401758334</c:v>
                </c:pt>
                <c:pt idx="25">
                  <c:v>224.68430008750008</c:v>
                </c:pt>
                <c:pt idx="26">
                  <c:v>229.65788871666669</c:v>
                </c:pt>
                <c:pt idx="27">
                  <c:v>232.66777849166672</c:v>
                </c:pt>
                <c:pt idx="28">
                  <c:v>243.47802938000007</c:v>
                </c:pt>
                <c:pt idx="29">
                  <c:v>245.42579337083339</c:v>
                </c:pt>
                <c:pt idx="30">
                  <c:v>251.34882165250011</c:v>
                </c:pt>
                <c:pt idx="31">
                  <c:v>258.60672881583343</c:v>
                </c:pt>
                <c:pt idx="32">
                  <c:v>261.56183402750008</c:v>
                </c:pt>
                <c:pt idx="33">
                  <c:v>260.1854802466666</c:v>
                </c:pt>
                <c:pt idx="34">
                  <c:v>268.45738048666658</c:v>
                </c:pt>
                <c:pt idx="35">
                  <c:v>265.06647575250003</c:v>
                </c:pt>
                <c:pt idx="36">
                  <c:v>265.28024581583338</c:v>
                </c:pt>
                <c:pt idx="37">
                  <c:v>265.54093262500004</c:v>
                </c:pt>
                <c:pt idx="38">
                  <c:v>263.98160637166666</c:v>
                </c:pt>
                <c:pt idx="39">
                  <c:v>263.48436376916669</c:v>
                </c:pt>
                <c:pt idx="40">
                  <c:v>252.29434992666668</c:v>
                </c:pt>
                <c:pt idx="41">
                  <c:v>249.32425443333338</c:v>
                </c:pt>
                <c:pt idx="42">
                  <c:v>244.36245869333334</c:v>
                </c:pt>
                <c:pt idx="43">
                  <c:v>234.94029896583334</c:v>
                </c:pt>
                <c:pt idx="44">
                  <c:v>227.52845209250003</c:v>
                </c:pt>
                <c:pt idx="45">
                  <c:v>223.89393137500005</c:v>
                </c:pt>
                <c:pt idx="46">
                  <c:v>208.42709734250002</c:v>
                </c:pt>
                <c:pt idx="47">
                  <c:v>201.33535638416666</c:v>
                </c:pt>
                <c:pt idx="48">
                  <c:v>193.75055594166668</c:v>
                </c:pt>
                <c:pt idx="49">
                  <c:v>188.68770572583335</c:v>
                </c:pt>
                <c:pt idx="50">
                  <c:v>184.96743440833339</c:v>
                </c:pt>
                <c:pt idx="51">
                  <c:v>185.13351199833338</c:v>
                </c:pt>
                <c:pt idx="52">
                  <c:v>185.70853392500007</c:v>
                </c:pt>
                <c:pt idx="53">
                  <c:v>187.73505264583335</c:v>
                </c:pt>
                <c:pt idx="54">
                  <c:v>185.79268507166671</c:v>
                </c:pt>
                <c:pt idx="55">
                  <c:v>183.22221657250006</c:v>
                </c:pt>
                <c:pt idx="56">
                  <c:v>182.39710718916672</c:v>
                </c:pt>
                <c:pt idx="57">
                  <c:v>182.97314803666669</c:v>
                </c:pt>
                <c:pt idx="58">
                  <c:v>184.61035797666662</c:v>
                </c:pt>
                <c:pt idx="59">
                  <c:v>183.17239651166665</c:v>
                </c:pt>
                <c:pt idx="60">
                  <c:v>181.40477142249995</c:v>
                </c:pt>
              </c:numCache>
            </c:numRef>
          </c:val>
        </c:ser>
        <c:marker val="1"/>
        <c:axId val="85096320"/>
        <c:axId val="85108608"/>
      </c:lineChart>
      <c:dateAx>
        <c:axId val="85096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086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108608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963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[22]recursos_naturales!$E$13:$E$73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[22]recursos_naturales!$F$13:$F$73</c:f>
              <c:numCache>
                <c:formatCode>General</c:formatCode>
                <c:ptCount val="61"/>
                <c:pt idx="0">
                  <c:v>11.193558288333335</c:v>
                </c:pt>
                <c:pt idx="1">
                  <c:v>11.418908100000003</c:v>
                </c:pt>
                <c:pt idx="2">
                  <c:v>11.689785220833336</c:v>
                </c:pt>
                <c:pt idx="3">
                  <c:v>12.069160623333337</c:v>
                </c:pt>
                <c:pt idx="4">
                  <c:v>12.290543005833335</c:v>
                </c:pt>
                <c:pt idx="5">
                  <c:v>12.664977514999999</c:v>
                </c:pt>
                <c:pt idx="6">
                  <c:v>12.990984576666667</c:v>
                </c:pt>
                <c:pt idx="7">
                  <c:v>13.597481020000002</c:v>
                </c:pt>
                <c:pt idx="8">
                  <c:v>14.008587219166666</c:v>
                </c:pt>
                <c:pt idx="9">
                  <c:v>14.452865195000001</c:v>
                </c:pt>
                <c:pt idx="10">
                  <c:v>15.113750779166667</c:v>
                </c:pt>
                <c:pt idx="11">
                  <c:v>15.350753210833334</c:v>
                </c:pt>
                <c:pt idx="12">
                  <c:v>15.861362808333334</c:v>
                </c:pt>
                <c:pt idx="13">
                  <c:v>16.424083400000001</c:v>
                </c:pt>
                <c:pt idx="14">
                  <c:v>17.123131022500001</c:v>
                </c:pt>
                <c:pt idx="15">
                  <c:v>17.537194833333331</c:v>
                </c:pt>
                <c:pt idx="16">
                  <c:v>17.815841004166668</c:v>
                </c:pt>
                <c:pt idx="17">
                  <c:v>18.120428225000001</c:v>
                </c:pt>
                <c:pt idx="18">
                  <c:v>18.357603638333337</c:v>
                </c:pt>
                <c:pt idx="19">
                  <c:v>18.882908245000003</c:v>
                </c:pt>
                <c:pt idx="20">
                  <c:v>19.489532899166665</c:v>
                </c:pt>
                <c:pt idx="21">
                  <c:v>20.182844158333328</c:v>
                </c:pt>
                <c:pt idx="22">
                  <c:v>21.134604149166666</c:v>
                </c:pt>
                <c:pt idx="23">
                  <c:v>22.310534362500004</c:v>
                </c:pt>
                <c:pt idx="24">
                  <c:v>23.314104929166671</c:v>
                </c:pt>
                <c:pt idx="25">
                  <c:v>23.615144305833336</c:v>
                </c:pt>
                <c:pt idx="26">
                  <c:v>24.909622907499998</c:v>
                </c:pt>
                <c:pt idx="27">
                  <c:v>26.406737721666673</c:v>
                </c:pt>
                <c:pt idx="28">
                  <c:v>30.559241170833349</c:v>
                </c:pt>
                <c:pt idx="29">
                  <c:v>32.924962885833345</c:v>
                </c:pt>
                <c:pt idx="30">
                  <c:v>37.407304457500011</c:v>
                </c:pt>
                <c:pt idx="31">
                  <c:v>40.61867453833333</c:v>
                </c:pt>
                <c:pt idx="32">
                  <c:v>43.348452266666662</c:v>
                </c:pt>
                <c:pt idx="33">
                  <c:v>44.671207293333332</c:v>
                </c:pt>
                <c:pt idx="34">
                  <c:v>47.148044924166662</c:v>
                </c:pt>
                <c:pt idx="35">
                  <c:v>47.726906500833316</c:v>
                </c:pt>
                <c:pt idx="36">
                  <c:v>49.216036655833328</c:v>
                </c:pt>
                <c:pt idx="37">
                  <c:v>50.365613157499986</c:v>
                </c:pt>
                <c:pt idx="38">
                  <c:v>50.419242119166661</c:v>
                </c:pt>
                <c:pt idx="39">
                  <c:v>50.164517884999988</c:v>
                </c:pt>
                <c:pt idx="40">
                  <c:v>46.450355819999977</c:v>
                </c:pt>
                <c:pt idx="41">
                  <c:v>44.463773714166649</c:v>
                </c:pt>
                <c:pt idx="42">
                  <c:v>40.337414261666645</c:v>
                </c:pt>
                <c:pt idx="43">
                  <c:v>37.455812804166648</c:v>
                </c:pt>
                <c:pt idx="44">
                  <c:v>35.299703333333333</c:v>
                </c:pt>
                <c:pt idx="45">
                  <c:v>34.824286493333339</c:v>
                </c:pt>
                <c:pt idx="46">
                  <c:v>32.243557485000004</c:v>
                </c:pt>
                <c:pt idx="47">
                  <c:v>31.53546718583334</c:v>
                </c:pt>
                <c:pt idx="48">
                  <c:v>30.296471960000002</c:v>
                </c:pt>
                <c:pt idx="49">
                  <c:v>29.148520721666667</c:v>
                </c:pt>
                <c:pt idx="50">
                  <c:v>28.26169859916666</c:v>
                </c:pt>
                <c:pt idx="51">
                  <c:v>27.870889724999987</c:v>
                </c:pt>
                <c:pt idx="52">
                  <c:v>28.270781442499985</c:v>
                </c:pt>
                <c:pt idx="53">
                  <c:v>28.646178166666648</c:v>
                </c:pt>
                <c:pt idx="54">
                  <c:v>29.329239820833322</c:v>
                </c:pt>
                <c:pt idx="55">
                  <c:v>29.200958909166662</c:v>
                </c:pt>
                <c:pt idx="56">
                  <c:v>28.765127154999991</c:v>
                </c:pt>
                <c:pt idx="57">
                  <c:v>28.302313819999995</c:v>
                </c:pt>
                <c:pt idx="58">
                  <c:v>28.680457450833327</c:v>
                </c:pt>
                <c:pt idx="59">
                  <c:v>28.484014909999999</c:v>
                </c:pt>
                <c:pt idx="60">
                  <c:v>28.341893816666659</c:v>
                </c:pt>
              </c:numCache>
            </c:numRef>
          </c:val>
        </c:ser>
        <c:marker val="1"/>
        <c:axId val="85566208"/>
        <c:axId val="85567744"/>
      </c:lineChart>
      <c:dateAx>
        <c:axId val="85566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677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567744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662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48"/>
          <c:y val="0.32310326726400707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[22]baja_tecnologia!$E$13:$E$73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[22]baja_tecnologia!$F$13:$F$73</c:f>
              <c:numCache>
                <c:formatCode>General</c:formatCode>
                <c:ptCount val="61"/>
                <c:pt idx="0">
                  <c:v>35.585882102499973</c:v>
                </c:pt>
                <c:pt idx="1">
                  <c:v>36.446987610833297</c:v>
                </c:pt>
                <c:pt idx="2">
                  <c:v>39.187068725833306</c:v>
                </c:pt>
                <c:pt idx="3">
                  <c:v>41.454138977499973</c:v>
                </c:pt>
                <c:pt idx="4">
                  <c:v>42.363647585833299</c:v>
                </c:pt>
                <c:pt idx="5">
                  <c:v>44.174097581666643</c:v>
                </c:pt>
                <c:pt idx="6">
                  <c:v>46.71129101249997</c:v>
                </c:pt>
                <c:pt idx="7">
                  <c:v>48.419305581666656</c:v>
                </c:pt>
                <c:pt idx="8">
                  <c:v>49.190533234999982</c:v>
                </c:pt>
                <c:pt idx="9">
                  <c:v>51.643029092500001</c:v>
                </c:pt>
                <c:pt idx="10">
                  <c:v>53.722636015000013</c:v>
                </c:pt>
                <c:pt idx="11">
                  <c:v>55.591659684166665</c:v>
                </c:pt>
                <c:pt idx="12">
                  <c:v>57.042430254166653</c:v>
                </c:pt>
                <c:pt idx="13">
                  <c:v>58.727860609999972</c:v>
                </c:pt>
                <c:pt idx="14">
                  <c:v>58.438710051666654</c:v>
                </c:pt>
                <c:pt idx="15">
                  <c:v>58.702445998333332</c:v>
                </c:pt>
                <c:pt idx="16">
                  <c:v>59.935338445833359</c:v>
                </c:pt>
                <c:pt idx="17">
                  <c:v>62.4378850016667</c:v>
                </c:pt>
                <c:pt idx="18">
                  <c:v>62.74187820583338</c:v>
                </c:pt>
                <c:pt idx="19">
                  <c:v>64.540471105000037</c:v>
                </c:pt>
                <c:pt idx="20">
                  <c:v>67.448921563333371</c:v>
                </c:pt>
                <c:pt idx="21">
                  <c:v>68.929279852500031</c:v>
                </c:pt>
                <c:pt idx="22">
                  <c:v>72.789193770833378</c:v>
                </c:pt>
                <c:pt idx="23">
                  <c:v>75.682634314166719</c:v>
                </c:pt>
                <c:pt idx="24">
                  <c:v>79.775829423333377</c:v>
                </c:pt>
                <c:pt idx="25">
                  <c:v>82.94947707166672</c:v>
                </c:pt>
                <c:pt idx="26">
                  <c:v>85.330242484166732</c:v>
                </c:pt>
                <c:pt idx="27">
                  <c:v>86.823083560000086</c:v>
                </c:pt>
                <c:pt idx="28">
                  <c:v>91.403811512500099</c:v>
                </c:pt>
                <c:pt idx="29">
                  <c:v>93.451720867500114</c:v>
                </c:pt>
                <c:pt idx="30">
                  <c:v>95.370164285833468</c:v>
                </c:pt>
                <c:pt idx="31">
                  <c:v>97.261539675833475</c:v>
                </c:pt>
                <c:pt idx="32">
                  <c:v>98.450073212500115</c:v>
                </c:pt>
                <c:pt idx="33">
                  <c:v>98.440852792500095</c:v>
                </c:pt>
                <c:pt idx="34">
                  <c:v>101.07369430166678</c:v>
                </c:pt>
                <c:pt idx="35">
                  <c:v>101.2023654591668</c:v>
                </c:pt>
                <c:pt idx="36">
                  <c:v>100.87487962000012</c:v>
                </c:pt>
                <c:pt idx="37">
                  <c:v>98.91854651750009</c:v>
                </c:pt>
                <c:pt idx="38">
                  <c:v>97.792314792500051</c:v>
                </c:pt>
                <c:pt idx="39">
                  <c:v>97.422448058333373</c:v>
                </c:pt>
                <c:pt idx="40">
                  <c:v>92.146955588333356</c:v>
                </c:pt>
                <c:pt idx="41">
                  <c:v>90.624846922499998</c:v>
                </c:pt>
                <c:pt idx="42">
                  <c:v>90.374622213333325</c:v>
                </c:pt>
                <c:pt idx="43">
                  <c:v>86.949143736666642</c:v>
                </c:pt>
                <c:pt idx="44">
                  <c:v>83.246924872500003</c:v>
                </c:pt>
                <c:pt idx="45">
                  <c:v>81.048125819166685</c:v>
                </c:pt>
                <c:pt idx="46">
                  <c:v>73.772586253333316</c:v>
                </c:pt>
                <c:pt idx="47">
                  <c:v>69.050535155833316</c:v>
                </c:pt>
                <c:pt idx="48">
                  <c:v>65.091113123333329</c:v>
                </c:pt>
                <c:pt idx="49">
                  <c:v>62.865421027500012</c:v>
                </c:pt>
                <c:pt idx="50">
                  <c:v>61.401459950000032</c:v>
                </c:pt>
                <c:pt idx="51">
                  <c:v>60.304090415000019</c:v>
                </c:pt>
                <c:pt idx="52">
                  <c:v>60.569731233333336</c:v>
                </c:pt>
                <c:pt idx="53">
                  <c:v>57.603122200833347</c:v>
                </c:pt>
                <c:pt idx="54">
                  <c:v>55.611733357500015</c:v>
                </c:pt>
                <c:pt idx="55">
                  <c:v>55.57320593416668</c:v>
                </c:pt>
                <c:pt idx="56">
                  <c:v>55.568924799166673</c:v>
                </c:pt>
                <c:pt idx="57">
                  <c:v>56.035706435000002</c:v>
                </c:pt>
                <c:pt idx="58">
                  <c:v>56.516533379166653</c:v>
                </c:pt>
                <c:pt idx="59">
                  <c:v>56.513751024166631</c:v>
                </c:pt>
                <c:pt idx="60">
                  <c:v>56.901175642499972</c:v>
                </c:pt>
              </c:numCache>
            </c:numRef>
          </c:val>
        </c:ser>
        <c:marker val="1"/>
        <c:axId val="85689856"/>
        <c:axId val="85691392"/>
      </c:lineChart>
      <c:dateAx>
        <c:axId val="85689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91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5691392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898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[22]tecnologia_media!$E$13:$E$73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[22]tecnologia_media!$F$13:$F$73</c:f>
              <c:numCache>
                <c:formatCode>General</c:formatCode>
                <c:ptCount val="61"/>
                <c:pt idx="0">
                  <c:v>54.644490908333324</c:v>
                </c:pt>
                <c:pt idx="1">
                  <c:v>55.370031819166663</c:v>
                </c:pt>
                <c:pt idx="2">
                  <c:v>56.707637613333333</c:v>
                </c:pt>
                <c:pt idx="3">
                  <c:v>59.073593317500006</c:v>
                </c:pt>
                <c:pt idx="4">
                  <c:v>59.307183003333336</c:v>
                </c:pt>
                <c:pt idx="5">
                  <c:v>60.00920983999999</c:v>
                </c:pt>
                <c:pt idx="6">
                  <c:v>60.152033029166631</c:v>
                </c:pt>
                <c:pt idx="7">
                  <c:v>60.04107670333331</c:v>
                </c:pt>
                <c:pt idx="8">
                  <c:v>61.290569452499994</c:v>
                </c:pt>
                <c:pt idx="9">
                  <c:v>62.312635920833344</c:v>
                </c:pt>
                <c:pt idx="10">
                  <c:v>64.387199306666687</c:v>
                </c:pt>
                <c:pt idx="11">
                  <c:v>66.40372779333336</c:v>
                </c:pt>
                <c:pt idx="12">
                  <c:v>67.743332990833366</c:v>
                </c:pt>
                <c:pt idx="13">
                  <c:v>68.220281725833374</c:v>
                </c:pt>
                <c:pt idx="14">
                  <c:v>69.631284555833389</c:v>
                </c:pt>
                <c:pt idx="15">
                  <c:v>70.74780775083336</c:v>
                </c:pt>
                <c:pt idx="16">
                  <c:v>72.055076325833369</c:v>
                </c:pt>
                <c:pt idx="17">
                  <c:v>73.849412423333362</c:v>
                </c:pt>
                <c:pt idx="18">
                  <c:v>74.780877047500027</c:v>
                </c:pt>
                <c:pt idx="19">
                  <c:v>76.822176493333373</c:v>
                </c:pt>
                <c:pt idx="20">
                  <c:v>77.789456715833381</c:v>
                </c:pt>
                <c:pt idx="21">
                  <c:v>79.176192065000066</c:v>
                </c:pt>
                <c:pt idx="22">
                  <c:v>80.837084192500058</c:v>
                </c:pt>
                <c:pt idx="23">
                  <c:v>84.775997206666688</c:v>
                </c:pt>
                <c:pt idx="24">
                  <c:v>87.419590819166686</c:v>
                </c:pt>
                <c:pt idx="25">
                  <c:v>87.1991283025</c:v>
                </c:pt>
                <c:pt idx="26">
                  <c:v>87.193867822499996</c:v>
                </c:pt>
                <c:pt idx="27">
                  <c:v>86.317768901666625</c:v>
                </c:pt>
                <c:pt idx="28">
                  <c:v>86.454637533333269</c:v>
                </c:pt>
                <c:pt idx="29">
                  <c:v>84.564517916666631</c:v>
                </c:pt>
                <c:pt idx="30">
                  <c:v>83.292570230833292</c:v>
                </c:pt>
                <c:pt idx="31">
                  <c:v>83.202638154166621</c:v>
                </c:pt>
                <c:pt idx="32">
                  <c:v>81.494795779999933</c:v>
                </c:pt>
                <c:pt idx="33">
                  <c:v>80.61389837499992</c:v>
                </c:pt>
                <c:pt idx="34">
                  <c:v>80.45486290333325</c:v>
                </c:pt>
                <c:pt idx="35">
                  <c:v>76.088502374999948</c:v>
                </c:pt>
                <c:pt idx="36">
                  <c:v>74.960188679999945</c:v>
                </c:pt>
                <c:pt idx="37">
                  <c:v>76.017319903333288</c:v>
                </c:pt>
                <c:pt idx="38">
                  <c:v>75.383761719999953</c:v>
                </c:pt>
                <c:pt idx="39">
                  <c:v>74.558625490833322</c:v>
                </c:pt>
                <c:pt idx="40">
                  <c:v>72.513500809166658</c:v>
                </c:pt>
                <c:pt idx="41">
                  <c:v>72.137858926666681</c:v>
                </c:pt>
                <c:pt idx="42">
                  <c:v>71.558988507500004</c:v>
                </c:pt>
                <c:pt idx="43">
                  <c:v>69.097015790833339</c:v>
                </c:pt>
                <c:pt idx="44">
                  <c:v>66.816982742500016</c:v>
                </c:pt>
                <c:pt idx="45">
                  <c:v>64.787451432500021</c:v>
                </c:pt>
                <c:pt idx="46">
                  <c:v>61.420171358333356</c:v>
                </c:pt>
                <c:pt idx="47">
                  <c:v>59.543027407500027</c:v>
                </c:pt>
                <c:pt idx="48">
                  <c:v>56.799118305000043</c:v>
                </c:pt>
                <c:pt idx="49">
                  <c:v>54.828820198333375</c:v>
                </c:pt>
                <c:pt idx="50">
                  <c:v>53.9117025516667</c:v>
                </c:pt>
                <c:pt idx="51">
                  <c:v>53.93356376000002</c:v>
                </c:pt>
                <c:pt idx="52">
                  <c:v>55.091976175000021</c:v>
                </c:pt>
                <c:pt idx="53">
                  <c:v>55.728512212500014</c:v>
                </c:pt>
                <c:pt idx="54">
                  <c:v>56.574037875000016</c:v>
                </c:pt>
                <c:pt idx="55">
                  <c:v>55.797077015833345</c:v>
                </c:pt>
                <c:pt idx="56">
                  <c:v>56.550682009166671</c:v>
                </c:pt>
                <c:pt idx="57">
                  <c:v>56.751669389166665</c:v>
                </c:pt>
                <c:pt idx="58">
                  <c:v>57.131144101666671</c:v>
                </c:pt>
                <c:pt idx="59">
                  <c:v>56.79687313583333</c:v>
                </c:pt>
                <c:pt idx="60">
                  <c:v>56.323790820833324</c:v>
                </c:pt>
              </c:numCache>
            </c:numRef>
          </c:val>
        </c:ser>
        <c:marker val="1"/>
        <c:axId val="86795776"/>
        <c:axId val="88113536"/>
      </c:lineChart>
      <c:dateAx>
        <c:axId val="8679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135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113536"/>
        <c:scaling>
          <c:orientation val="minMax"/>
          <c:max val="9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957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[22]alta_tecnologia!$E$13:$E$73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[22]alta_tecnologia!$F$13:$F$73</c:f>
              <c:numCache>
                <c:formatCode>General</c:formatCode>
                <c:ptCount val="61"/>
                <c:pt idx="0">
                  <c:v>17.967692624999998</c:v>
                </c:pt>
                <c:pt idx="1">
                  <c:v>18.282248038333332</c:v>
                </c:pt>
                <c:pt idx="2">
                  <c:v>18.922988064999611</c:v>
                </c:pt>
                <c:pt idx="3">
                  <c:v>19.573236399999615</c:v>
                </c:pt>
                <c:pt idx="4">
                  <c:v>19.538447012499613</c:v>
                </c:pt>
                <c:pt idx="5">
                  <c:v>20.167509596666282</c:v>
                </c:pt>
                <c:pt idx="6">
                  <c:v>20.683310551666285</c:v>
                </c:pt>
                <c:pt idx="7">
                  <c:v>20.52978952249962</c:v>
                </c:pt>
                <c:pt idx="8">
                  <c:v>21.384578946666284</c:v>
                </c:pt>
                <c:pt idx="9">
                  <c:v>22.500739198332955</c:v>
                </c:pt>
                <c:pt idx="10">
                  <c:v>23.920239010832955</c:v>
                </c:pt>
                <c:pt idx="11">
                  <c:v>24.693837402499621</c:v>
                </c:pt>
                <c:pt idx="12">
                  <c:v>24.613278657499624</c:v>
                </c:pt>
                <c:pt idx="13">
                  <c:v>25.198535139999631</c:v>
                </c:pt>
                <c:pt idx="14">
                  <c:v>24.431538500833341</c:v>
                </c:pt>
                <c:pt idx="15">
                  <c:v>24.494453246666666</c:v>
                </c:pt>
                <c:pt idx="16">
                  <c:v>24.574640129166667</c:v>
                </c:pt>
                <c:pt idx="17">
                  <c:v>26.133327621666684</c:v>
                </c:pt>
                <c:pt idx="18">
                  <c:v>26.495523869166679</c:v>
                </c:pt>
                <c:pt idx="19">
                  <c:v>26.967711710000003</c:v>
                </c:pt>
                <c:pt idx="20">
                  <c:v>27.193279268333338</c:v>
                </c:pt>
                <c:pt idx="21">
                  <c:v>29.378914707500027</c:v>
                </c:pt>
                <c:pt idx="22">
                  <c:v>28.764646950000024</c:v>
                </c:pt>
                <c:pt idx="23">
                  <c:v>28.695003975833348</c:v>
                </c:pt>
                <c:pt idx="24">
                  <c:v>30.174015004166687</c:v>
                </c:pt>
                <c:pt idx="25">
                  <c:v>30.920550407500016</c:v>
                </c:pt>
                <c:pt idx="26">
                  <c:v>32.224155502500018</c:v>
                </c:pt>
                <c:pt idx="27">
                  <c:v>33.120188308333347</c:v>
                </c:pt>
                <c:pt idx="28">
                  <c:v>35.060339163333346</c:v>
                </c:pt>
                <c:pt idx="29">
                  <c:v>34.484591700833342</c:v>
                </c:pt>
                <c:pt idx="30">
                  <c:v>35.278782678333343</c:v>
                </c:pt>
                <c:pt idx="31">
                  <c:v>37.523876447500015</c:v>
                </c:pt>
                <c:pt idx="32">
                  <c:v>38.268512768333345</c:v>
                </c:pt>
                <c:pt idx="33">
                  <c:v>36.459521785833324</c:v>
                </c:pt>
                <c:pt idx="34">
                  <c:v>39.78077835749999</c:v>
                </c:pt>
                <c:pt idx="35">
                  <c:v>40.048701417499991</c:v>
                </c:pt>
                <c:pt idx="36">
                  <c:v>40.229140859999994</c:v>
                </c:pt>
                <c:pt idx="37">
                  <c:v>40.239453046666661</c:v>
                </c:pt>
                <c:pt idx="38">
                  <c:v>40.386287739999993</c:v>
                </c:pt>
                <c:pt idx="39">
                  <c:v>41.338772335000009</c:v>
                </c:pt>
                <c:pt idx="40">
                  <c:v>41.183537709166664</c:v>
                </c:pt>
                <c:pt idx="41">
                  <c:v>42.097774870000009</c:v>
                </c:pt>
                <c:pt idx="42">
                  <c:v>42.091433710833343</c:v>
                </c:pt>
                <c:pt idx="43">
                  <c:v>41.438326634166671</c:v>
                </c:pt>
                <c:pt idx="44">
                  <c:v>42.164841144166672</c:v>
                </c:pt>
                <c:pt idx="45">
                  <c:v>43.23406763000002</c:v>
                </c:pt>
                <c:pt idx="46">
                  <c:v>40.990782245833344</c:v>
                </c:pt>
                <c:pt idx="47">
                  <c:v>41.206326635000011</c:v>
                </c:pt>
                <c:pt idx="48">
                  <c:v>41.563852553333355</c:v>
                </c:pt>
                <c:pt idx="49">
                  <c:v>41.844943778333345</c:v>
                </c:pt>
                <c:pt idx="50">
                  <c:v>41.392573307500022</c:v>
                </c:pt>
                <c:pt idx="51">
                  <c:v>43.024968098333353</c:v>
                </c:pt>
                <c:pt idx="52">
                  <c:v>41.776045074166696</c:v>
                </c:pt>
                <c:pt idx="53">
                  <c:v>45.757240065833365</c:v>
                </c:pt>
                <c:pt idx="54">
                  <c:v>44.277674018333364</c:v>
                </c:pt>
                <c:pt idx="55">
                  <c:v>42.650974713333362</c:v>
                </c:pt>
                <c:pt idx="56">
                  <c:v>41.51237322583335</c:v>
                </c:pt>
                <c:pt idx="57">
                  <c:v>41.883458392500017</c:v>
                </c:pt>
                <c:pt idx="58">
                  <c:v>42.282223045000016</c:v>
                </c:pt>
                <c:pt idx="59">
                  <c:v>41.377757441666688</c:v>
                </c:pt>
                <c:pt idx="60">
                  <c:v>39.837911142500019</c:v>
                </c:pt>
              </c:numCache>
            </c:numRef>
          </c:val>
        </c:ser>
        <c:marker val="1"/>
        <c:axId val="88142208"/>
        <c:axId val="88143744"/>
      </c:lineChart>
      <c:dateAx>
        <c:axId val="88142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437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143744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422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[22]otras_transacciones!$E$13:$E$73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[22]otras_transacciones!$F$13:$F$73</c:f>
              <c:numCache>
                <c:formatCode>General</c:formatCode>
                <c:ptCount val="61"/>
                <c:pt idx="0">
                  <c:v>10.42077511166667</c:v>
                </c:pt>
                <c:pt idx="1">
                  <c:v>10.962439595000001</c:v>
                </c:pt>
                <c:pt idx="2">
                  <c:v>11.054175444166667</c:v>
                </c:pt>
                <c:pt idx="3">
                  <c:v>11.100286648333336</c:v>
                </c:pt>
                <c:pt idx="4">
                  <c:v>11.330308062500002</c:v>
                </c:pt>
                <c:pt idx="5">
                  <c:v>11.6152448525</c:v>
                </c:pt>
                <c:pt idx="6">
                  <c:v>11.892703313333335</c:v>
                </c:pt>
                <c:pt idx="7">
                  <c:v>12.281492791666667</c:v>
                </c:pt>
                <c:pt idx="8">
                  <c:v>12.56366338916667</c:v>
                </c:pt>
                <c:pt idx="9">
                  <c:v>12.601534615833335</c:v>
                </c:pt>
                <c:pt idx="10">
                  <c:v>12.679865655</c:v>
                </c:pt>
                <c:pt idx="11">
                  <c:v>12.707537173333334</c:v>
                </c:pt>
                <c:pt idx="12">
                  <c:v>12.426424011666667</c:v>
                </c:pt>
                <c:pt idx="13">
                  <c:v>12.111434757500001</c:v>
                </c:pt>
                <c:pt idx="14">
                  <c:v>12.285513140000001</c:v>
                </c:pt>
                <c:pt idx="15">
                  <c:v>12.262917535833333</c:v>
                </c:pt>
                <c:pt idx="16">
                  <c:v>11.930792890833336</c:v>
                </c:pt>
                <c:pt idx="17">
                  <c:v>11.740752260000001</c:v>
                </c:pt>
                <c:pt idx="18">
                  <c:v>11.652834915833333</c:v>
                </c:pt>
                <c:pt idx="19">
                  <c:v>11.452030705833335</c:v>
                </c:pt>
                <c:pt idx="20">
                  <c:v>11.457677491666667</c:v>
                </c:pt>
                <c:pt idx="21">
                  <c:v>11.871868670833335</c:v>
                </c:pt>
                <c:pt idx="22">
                  <c:v>12.310701995000001</c:v>
                </c:pt>
                <c:pt idx="23">
                  <c:v>12.464596890000001</c:v>
                </c:pt>
                <c:pt idx="24">
                  <c:v>12.626199380833334</c:v>
                </c:pt>
                <c:pt idx="25">
                  <c:v>12.929779841666667</c:v>
                </c:pt>
                <c:pt idx="26">
                  <c:v>12.708573760833332</c:v>
                </c:pt>
                <c:pt idx="27">
                  <c:v>12.643638845833335</c:v>
                </c:pt>
                <c:pt idx="28">
                  <c:v>12.634288095</c:v>
                </c:pt>
                <c:pt idx="29">
                  <c:v>12.547612865833335</c:v>
                </c:pt>
                <c:pt idx="30">
                  <c:v>12.221947853333333</c:v>
                </c:pt>
                <c:pt idx="31">
                  <c:v>12.203590526666666</c:v>
                </c:pt>
                <c:pt idx="32">
                  <c:v>11.737854083333332</c:v>
                </c:pt>
                <c:pt idx="33">
                  <c:v>10.859522870833333</c:v>
                </c:pt>
                <c:pt idx="34">
                  <c:v>10.796954986666668</c:v>
                </c:pt>
                <c:pt idx="35">
                  <c:v>10.545472630000001</c:v>
                </c:pt>
                <c:pt idx="36">
                  <c:v>10.707467455</c:v>
                </c:pt>
                <c:pt idx="37">
                  <c:v>10.865070816666666</c:v>
                </c:pt>
                <c:pt idx="38">
                  <c:v>11.029722412499998</c:v>
                </c:pt>
                <c:pt idx="39">
                  <c:v>11.151832071666666</c:v>
                </c:pt>
                <c:pt idx="40">
                  <c:v>11.103836184999999</c:v>
                </c:pt>
                <c:pt idx="41">
                  <c:v>11.133161046666663</c:v>
                </c:pt>
                <c:pt idx="42">
                  <c:v>11.311614472499997</c:v>
                </c:pt>
                <c:pt idx="43">
                  <c:v>11.218586885000001</c:v>
                </c:pt>
                <c:pt idx="44">
                  <c:v>11.142390543333333</c:v>
                </c:pt>
                <c:pt idx="45">
                  <c:v>11.556461950833331</c:v>
                </c:pt>
                <c:pt idx="46">
                  <c:v>10.997706821666666</c:v>
                </c:pt>
                <c:pt idx="47">
                  <c:v>10.523968734999997</c:v>
                </c:pt>
                <c:pt idx="48">
                  <c:v>10.15160043583333</c:v>
                </c:pt>
                <c:pt idx="49">
                  <c:v>9.5011504083333307</c:v>
                </c:pt>
                <c:pt idx="50">
                  <c:v>9.1339904349999976</c:v>
                </c:pt>
                <c:pt idx="51">
                  <c:v>9.2037312624999945</c:v>
                </c:pt>
                <c:pt idx="52">
                  <c:v>9.2300580108333321</c:v>
                </c:pt>
                <c:pt idx="53">
                  <c:v>9.3437215849999991</c:v>
                </c:pt>
                <c:pt idx="54">
                  <c:v>9.0851621216666647</c:v>
                </c:pt>
                <c:pt idx="55">
                  <c:v>9.1272246708333302</c:v>
                </c:pt>
                <c:pt idx="56">
                  <c:v>9.0627330008333296</c:v>
                </c:pt>
                <c:pt idx="57">
                  <c:v>8.8103926174999962</c:v>
                </c:pt>
                <c:pt idx="58">
                  <c:v>8.7484236116666647</c:v>
                </c:pt>
                <c:pt idx="59">
                  <c:v>8.8668904191666638</c:v>
                </c:pt>
                <c:pt idx="60">
                  <c:v>8.6684921741666638</c:v>
                </c:pt>
              </c:numCache>
            </c:numRef>
          </c:val>
        </c:ser>
        <c:marker val="1"/>
        <c:axId val="88213760"/>
        <c:axId val="88301568"/>
      </c:lineChart>
      <c:dateAx>
        <c:axId val="88213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015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301568"/>
        <c:scaling>
          <c:orientation val="minMax"/>
          <c:max val="14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1376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[22]Pais_1!$E$13:$E$73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[22]Pais_1!$F$13:$F$73</c:f>
              <c:numCache>
                <c:formatCode>General</c:formatCode>
                <c:ptCount val="61"/>
                <c:pt idx="0">
                  <c:v>26.241566922500002</c:v>
                </c:pt>
                <c:pt idx="1">
                  <c:v>25.985575968333336</c:v>
                </c:pt>
                <c:pt idx="2">
                  <c:v>27.533498912500004</c:v>
                </c:pt>
                <c:pt idx="3">
                  <c:v>29.356959082500016</c:v>
                </c:pt>
                <c:pt idx="4">
                  <c:v>29.423875738333351</c:v>
                </c:pt>
                <c:pt idx="5">
                  <c:v>29.177739769166678</c:v>
                </c:pt>
                <c:pt idx="6">
                  <c:v>30.535247271666673</c:v>
                </c:pt>
                <c:pt idx="7">
                  <c:v>31.589348639166673</c:v>
                </c:pt>
                <c:pt idx="8">
                  <c:v>32.402210094166669</c:v>
                </c:pt>
                <c:pt idx="9">
                  <c:v>34.318411199166682</c:v>
                </c:pt>
                <c:pt idx="10">
                  <c:v>35.644624635833345</c:v>
                </c:pt>
                <c:pt idx="11">
                  <c:v>36.556042935000015</c:v>
                </c:pt>
                <c:pt idx="12">
                  <c:v>36.74633543333335</c:v>
                </c:pt>
                <c:pt idx="13">
                  <c:v>38.154845013333343</c:v>
                </c:pt>
                <c:pt idx="14">
                  <c:v>36.831615604166679</c:v>
                </c:pt>
                <c:pt idx="15">
                  <c:v>36.73825679083334</c:v>
                </c:pt>
                <c:pt idx="16">
                  <c:v>36.890864604166673</c:v>
                </c:pt>
                <c:pt idx="17">
                  <c:v>39.049075805000008</c:v>
                </c:pt>
                <c:pt idx="18">
                  <c:v>38.510078590833352</c:v>
                </c:pt>
                <c:pt idx="19">
                  <c:v>37.885136230833346</c:v>
                </c:pt>
                <c:pt idx="20">
                  <c:v>37.703778706666682</c:v>
                </c:pt>
                <c:pt idx="21">
                  <c:v>39.766987396666671</c:v>
                </c:pt>
                <c:pt idx="22">
                  <c:v>39.87578942916668</c:v>
                </c:pt>
                <c:pt idx="23">
                  <c:v>41.013851820000006</c:v>
                </c:pt>
                <c:pt idx="24">
                  <c:v>42.379105284166663</c:v>
                </c:pt>
                <c:pt idx="25">
                  <c:v>42.241212465833335</c:v>
                </c:pt>
                <c:pt idx="26">
                  <c:v>43.267878931666672</c:v>
                </c:pt>
                <c:pt idx="27">
                  <c:v>43.757041170000008</c:v>
                </c:pt>
                <c:pt idx="28">
                  <c:v>45.227690745000018</c:v>
                </c:pt>
                <c:pt idx="29">
                  <c:v>44.062511095000012</c:v>
                </c:pt>
                <c:pt idx="30">
                  <c:v>45.414058421666681</c:v>
                </c:pt>
                <c:pt idx="31">
                  <c:v>47.66394402000001</c:v>
                </c:pt>
                <c:pt idx="32">
                  <c:v>49.721532648333344</c:v>
                </c:pt>
                <c:pt idx="33">
                  <c:v>48.588188541666675</c:v>
                </c:pt>
                <c:pt idx="34">
                  <c:v>49.870391517500003</c:v>
                </c:pt>
                <c:pt idx="35">
                  <c:v>48.23798441666667</c:v>
                </c:pt>
                <c:pt idx="36">
                  <c:v>49.947331129166677</c:v>
                </c:pt>
                <c:pt idx="37">
                  <c:v>50.322309588333354</c:v>
                </c:pt>
                <c:pt idx="38">
                  <c:v>49.868336765833341</c:v>
                </c:pt>
                <c:pt idx="39">
                  <c:v>49.923972418333342</c:v>
                </c:pt>
                <c:pt idx="40">
                  <c:v>48.64738065333335</c:v>
                </c:pt>
                <c:pt idx="41">
                  <c:v>49.004468741666678</c:v>
                </c:pt>
                <c:pt idx="42">
                  <c:v>47.71663471083334</c:v>
                </c:pt>
                <c:pt idx="43">
                  <c:v>46.492701972499994</c:v>
                </c:pt>
                <c:pt idx="44">
                  <c:v>44.574482019166659</c:v>
                </c:pt>
                <c:pt idx="45">
                  <c:v>42.95730204583333</c:v>
                </c:pt>
                <c:pt idx="46">
                  <c:v>41.212596027499991</c:v>
                </c:pt>
                <c:pt idx="47">
                  <c:v>41.599104040833318</c:v>
                </c:pt>
                <c:pt idx="48">
                  <c:v>40.44538841833333</c:v>
                </c:pt>
                <c:pt idx="49">
                  <c:v>40.63349053999999</c:v>
                </c:pt>
                <c:pt idx="50">
                  <c:v>40.719388239166662</c:v>
                </c:pt>
                <c:pt idx="51">
                  <c:v>43.420637922499999</c:v>
                </c:pt>
                <c:pt idx="52">
                  <c:v>43.687136848333324</c:v>
                </c:pt>
                <c:pt idx="53">
                  <c:v>47.821472211666674</c:v>
                </c:pt>
                <c:pt idx="54">
                  <c:v>48.287665185000002</c:v>
                </c:pt>
                <c:pt idx="55">
                  <c:v>47.775240620000012</c:v>
                </c:pt>
                <c:pt idx="56">
                  <c:v>50.325956185000017</c:v>
                </c:pt>
                <c:pt idx="57">
                  <c:v>51.552560307500009</c:v>
                </c:pt>
                <c:pt idx="58">
                  <c:v>52.214538967500026</c:v>
                </c:pt>
                <c:pt idx="59">
                  <c:v>55.267221610000007</c:v>
                </c:pt>
                <c:pt idx="60">
                  <c:v>59.440402534999983</c:v>
                </c:pt>
              </c:numCache>
            </c:numRef>
          </c:val>
        </c:ser>
        <c:marker val="1"/>
        <c:axId val="88347008"/>
        <c:axId val="88348928"/>
      </c:lineChart>
      <c:dateAx>
        <c:axId val="88347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489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348928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470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[22]Pais_1_primarios!$E$13:$E$73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[22]Pais_1_primarios!$F$13:$F$73</c:f>
              <c:numCache>
                <c:formatCode>General</c:formatCode>
                <c:ptCount val="61"/>
                <c:pt idx="0">
                  <c:v>7.7721942883333339</c:v>
                </c:pt>
                <c:pt idx="1">
                  <c:v>7.692801670833334</c:v>
                </c:pt>
                <c:pt idx="2">
                  <c:v>8.2349528916666674</c:v>
                </c:pt>
                <c:pt idx="3">
                  <c:v>8.6597672616666657</c:v>
                </c:pt>
                <c:pt idx="4">
                  <c:v>7.9123257599999981</c:v>
                </c:pt>
                <c:pt idx="5">
                  <c:v>6.8044661624999989</c:v>
                </c:pt>
                <c:pt idx="6">
                  <c:v>6.9829438933333314</c:v>
                </c:pt>
                <c:pt idx="7">
                  <c:v>7.2898942583333328</c:v>
                </c:pt>
                <c:pt idx="8">
                  <c:v>7.2668220658333338</c:v>
                </c:pt>
                <c:pt idx="9">
                  <c:v>7.3553822233333337</c:v>
                </c:pt>
                <c:pt idx="10">
                  <c:v>7.5965316016666682</c:v>
                </c:pt>
                <c:pt idx="11">
                  <c:v>7.1404996000000018</c:v>
                </c:pt>
                <c:pt idx="12">
                  <c:v>6.9587665483333332</c:v>
                </c:pt>
                <c:pt idx="13">
                  <c:v>7.1473311549999998</c:v>
                </c:pt>
                <c:pt idx="14">
                  <c:v>6.8841890391666665</c:v>
                </c:pt>
                <c:pt idx="15">
                  <c:v>7.3301772616666652</c:v>
                </c:pt>
                <c:pt idx="16">
                  <c:v>7.8505266391666666</c:v>
                </c:pt>
                <c:pt idx="17">
                  <c:v>7.8486433208333324</c:v>
                </c:pt>
                <c:pt idx="18">
                  <c:v>7.5482216608333346</c:v>
                </c:pt>
                <c:pt idx="19">
                  <c:v>7.2666363933333349</c:v>
                </c:pt>
                <c:pt idx="20">
                  <c:v>7.2118232975000005</c:v>
                </c:pt>
                <c:pt idx="21">
                  <c:v>7.1592177733333342</c:v>
                </c:pt>
                <c:pt idx="22">
                  <c:v>6.568354291666668</c:v>
                </c:pt>
                <c:pt idx="23">
                  <c:v>6.821738428333334</c:v>
                </c:pt>
                <c:pt idx="24">
                  <c:v>6.9331022141666665</c:v>
                </c:pt>
                <c:pt idx="25">
                  <c:v>6.7230015858333338</c:v>
                </c:pt>
                <c:pt idx="26">
                  <c:v>6.9675697808333332</c:v>
                </c:pt>
                <c:pt idx="27">
                  <c:v>6.5914775550000018</c:v>
                </c:pt>
                <c:pt idx="28">
                  <c:v>6.2685151483333348</c:v>
                </c:pt>
                <c:pt idx="29">
                  <c:v>6.2511642275000012</c:v>
                </c:pt>
                <c:pt idx="30">
                  <c:v>5.8404284133333348</c:v>
                </c:pt>
                <c:pt idx="31">
                  <c:v>5.6554925866666679</c:v>
                </c:pt>
                <c:pt idx="32">
                  <c:v>5.6340618466666674</c:v>
                </c:pt>
                <c:pt idx="33">
                  <c:v>5.4936427441666664</c:v>
                </c:pt>
                <c:pt idx="34">
                  <c:v>5.3232763900000002</c:v>
                </c:pt>
                <c:pt idx="35">
                  <c:v>5.2926562358333342</c:v>
                </c:pt>
                <c:pt idx="36">
                  <c:v>6.0089832641666669</c:v>
                </c:pt>
                <c:pt idx="37">
                  <c:v>6.961324993333335</c:v>
                </c:pt>
                <c:pt idx="38">
                  <c:v>7.1853094750000004</c:v>
                </c:pt>
                <c:pt idx="39">
                  <c:v>7.6355748866666682</c:v>
                </c:pt>
                <c:pt idx="40">
                  <c:v>8.0592483950000027</c:v>
                </c:pt>
                <c:pt idx="41">
                  <c:v>8.9295045325000029</c:v>
                </c:pt>
                <c:pt idx="42">
                  <c:v>9.6588081933333356</c:v>
                </c:pt>
                <c:pt idx="43">
                  <c:v>10.381528440833335</c:v>
                </c:pt>
                <c:pt idx="44">
                  <c:v>10.939426132500003</c:v>
                </c:pt>
                <c:pt idx="45">
                  <c:v>11.775434888333336</c:v>
                </c:pt>
                <c:pt idx="46">
                  <c:v>12.830386748333334</c:v>
                </c:pt>
                <c:pt idx="47">
                  <c:v>14.049433330000001</c:v>
                </c:pt>
                <c:pt idx="48">
                  <c:v>14.831253925</c:v>
                </c:pt>
                <c:pt idx="49">
                  <c:v>14.595690520000003</c:v>
                </c:pt>
                <c:pt idx="50">
                  <c:v>15.124990536666667</c:v>
                </c:pt>
                <c:pt idx="51">
                  <c:v>16.338157653333337</c:v>
                </c:pt>
                <c:pt idx="52">
                  <c:v>16.745029617500002</c:v>
                </c:pt>
                <c:pt idx="53">
                  <c:v>20.913578868333335</c:v>
                </c:pt>
                <c:pt idx="54">
                  <c:v>21.716772365833336</c:v>
                </c:pt>
                <c:pt idx="55">
                  <c:v>21.556746514166672</c:v>
                </c:pt>
                <c:pt idx="56">
                  <c:v>23.441890130000001</c:v>
                </c:pt>
                <c:pt idx="57">
                  <c:v>24.51837454833333</c:v>
                </c:pt>
                <c:pt idx="58">
                  <c:v>24.95473772916667</c:v>
                </c:pt>
                <c:pt idx="59">
                  <c:v>27.270347839999996</c:v>
                </c:pt>
                <c:pt idx="60">
                  <c:v>31.864121475833318</c:v>
                </c:pt>
              </c:numCache>
            </c:numRef>
          </c:val>
        </c:ser>
        <c:marker val="1"/>
        <c:axId val="88415616"/>
        <c:axId val="88495232"/>
      </c:lineChart>
      <c:dateAx>
        <c:axId val="8841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952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495232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156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[22]Pais_1_rec_naturales!$E$13:$E$73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[22]Pais_1_rec_naturales!$F$13:$F$73</c:f>
              <c:numCache>
                <c:formatCode>General</c:formatCode>
                <c:ptCount val="61"/>
                <c:pt idx="0">
                  <c:v>1.1749727408333335</c:v>
                </c:pt>
                <c:pt idx="1">
                  <c:v>1.2207694100000002</c:v>
                </c:pt>
                <c:pt idx="2">
                  <c:v>1.2336991675000002</c:v>
                </c:pt>
                <c:pt idx="3">
                  <c:v>1.2223347225000003</c:v>
                </c:pt>
                <c:pt idx="4">
                  <c:v>1.2186605316666668</c:v>
                </c:pt>
                <c:pt idx="5">
                  <c:v>1.2490208033333337</c:v>
                </c:pt>
                <c:pt idx="6">
                  <c:v>1.2850802091666671</c:v>
                </c:pt>
                <c:pt idx="7">
                  <c:v>1.3202729900000003</c:v>
                </c:pt>
                <c:pt idx="8">
                  <c:v>1.3176806650000001</c:v>
                </c:pt>
                <c:pt idx="9">
                  <c:v>1.3188733266666668</c:v>
                </c:pt>
                <c:pt idx="10">
                  <c:v>1.4590009950000002</c:v>
                </c:pt>
                <c:pt idx="11">
                  <c:v>1.491291245</c:v>
                </c:pt>
                <c:pt idx="12">
                  <c:v>1.4991311158333334</c:v>
                </c:pt>
                <c:pt idx="13">
                  <c:v>1.7272563816666666</c:v>
                </c:pt>
                <c:pt idx="14">
                  <c:v>1.9917580033333329</c:v>
                </c:pt>
                <c:pt idx="15">
                  <c:v>2.3828195349999994</c:v>
                </c:pt>
                <c:pt idx="16">
                  <c:v>2.5752155824999998</c:v>
                </c:pt>
                <c:pt idx="17">
                  <c:v>2.6851573774999999</c:v>
                </c:pt>
                <c:pt idx="18">
                  <c:v>2.8388948141666668</c:v>
                </c:pt>
                <c:pt idx="19">
                  <c:v>3.0373873716666675</c:v>
                </c:pt>
                <c:pt idx="20">
                  <c:v>3.0695523374999998</c:v>
                </c:pt>
                <c:pt idx="21">
                  <c:v>3.1623493383333336</c:v>
                </c:pt>
                <c:pt idx="22">
                  <c:v>3.3484787716666671</c:v>
                </c:pt>
                <c:pt idx="23">
                  <c:v>3.6880876441666675</c:v>
                </c:pt>
                <c:pt idx="24">
                  <c:v>3.8251102283333336</c:v>
                </c:pt>
                <c:pt idx="25">
                  <c:v>3.6135816991666676</c:v>
                </c:pt>
                <c:pt idx="26">
                  <c:v>3.4903355783333336</c:v>
                </c:pt>
                <c:pt idx="27">
                  <c:v>3.3832642874999999</c:v>
                </c:pt>
                <c:pt idx="28">
                  <c:v>3.7449464341666663</c:v>
                </c:pt>
                <c:pt idx="29">
                  <c:v>4.0611575758333336</c:v>
                </c:pt>
                <c:pt idx="30">
                  <c:v>5.2736655400000005</c:v>
                </c:pt>
                <c:pt idx="31">
                  <c:v>5.5344571024999993</c:v>
                </c:pt>
                <c:pt idx="32">
                  <c:v>6.188072304166667</c:v>
                </c:pt>
                <c:pt idx="33">
                  <c:v>6.8768222116666671</c:v>
                </c:pt>
                <c:pt idx="34">
                  <c:v>6.9123957099999993</c:v>
                </c:pt>
                <c:pt idx="35">
                  <c:v>6.9339133733333327</c:v>
                </c:pt>
                <c:pt idx="36">
                  <c:v>7.1985808449999995</c:v>
                </c:pt>
                <c:pt idx="37">
                  <c:v>7.367049493333333</c:v>
                </c:pt>
                <c:pt idx="38">
                  <c:v>7.4246501866666668</c:v>
                </c:pt>
                <c:pt idx="39">
                  <c:v>7.3742574183333334</c:v>
                </c:pt>
                <c:pt idx="40">
                  <c:v>6.9407650966666674</c:v>
                </c:pt>
                <c:pt idx="41">
                  <c:v>6.6701089700000002</c:v>
                </c:pt>
                <c:pt idx="42">
                  <c:v>5.3829571950000004</c:v>
                </c:pt>
                <c:pt idx="43">
                  <c:v>5.0111584758333336</c:v>
                </c:pt>
                <c:pt idx="44">
                  <c:v>4.4645258341666674</c:v>
                </c:pt>
                <c:pt idx="45">
                  <c:v>3.9685317166666665</c:v>
                </c:pt>
                <c:pt idx="46">
                  <c:v>3.7595925083333328</c:v>
                </c:pt>
                <c:pt idx="47">
                  <c:v>3.5774401358333332</c:v>
                </c:pt>
                <c:pt idx="48">
                  <c:v>3.4287155716666669</c:v>
                </c:pt>
                <c:pt idx="49">
                  <c:v>3.4381967650000003</c:v>
                </c:pt>
                <c:pt idx="50">
                  <c:v>3.5637448749999998</c:v>
                </c:pt>
                <c:pt idx="51">
                  <c:v>3.6554420891666672</c:v>
                </c:pt>
                <c:pt idx="52">
                  <c:v>3.8229446958333337</c:v>
                </c:pt>
                <c:pt idx="53">
                  <c:v>4.0080661683333334</c:v>
                </c:pt>
                <c:pt idx="54">
                  <c:v>4.2157471816666661</c:v>
                </c:pt>
                <c:pt idx="55">
                  <c:v>4.4623776775000001</c:v>
                </c:pt>
                <c:pt idx="56">
                  <c:v>4.5408979125000002</c:v>
                </c:pt>
                <c:pt idx="57">
                  <c:v>4.5799126366666671</c:v>
                </c:pt>
                <c:pt idx="58">
                  <c:v>4.7951286575000003</c:v>
                </c:pt>
                <c:pt idx="59">
                  <c:v>4.9310459058333338</c:v>
                </c:pt>
                <c:pt idx="60">
                  <c:v>4.9804668625000001</c:v>
                </c:pt>
              </c:numCache>
            </c:numRef>
          </c:val>
        </c:ser>
        <c:marker val="1"/>
        <c:axId val="88541824"/>
        <c:axId val="88568192"/>
      </c:lineChart>
      <c:dateAx>
        <c:axId val="88541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681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568192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4182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[22]Pais_1_baja_tek!$E$13:$E$73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[22]Pais_1_baja_tek!$F$13:$F$73</c:f>
              <c:numCache>
                <c:formatCode>General</c:formatCode>
                <c:ptCount val="61"/>
                <c:pt idx="0">
                  <c:v>6.0521059966666675</c:v>
                </c:pt>
                <c:pt idx="1">
                  <c:v>6.0369374916666665</c:v>
                </c:pt>
                <c:pt idx="2">
                  <c:v>7.4982081374999998</c:v>
                </c:pt>
                <c:pt idx="3">
                  <c:v>8.6281326733333348</c:v>
                </c:pt>
                <c:pt idx="4">
                  <c:v>9.2406363574999997</c:v>
                </c:pt>
                <c:pt idx="5">
                  <c:v>9.7038861650000001</c:v>
                </c:pt>
                <c:pt idx="6">
                  <c:v>10.826275845833335</c:v>
                </c:pt>
                <c:pt idx="7">
                  <c:v>11.717353875833332</c:v>
                </c:pt>
                <c:pt idx="8">
                  <c:v>11.909821328333335</c:v>
                </c:pt>
                <c:pt idx="9">
                  <c:v>13.271390999166664</c:v>
                </c:pt>
                <c:pt idx="10">
                  <c:v>13.553451524166666</c:v>
                </c:pt>
                <c:pt idx="11">
                  <c:v>14.3497421825</c:v>
                </c:pt>
                <c:pt idx="12">
                  <c:v>15.090056396666668</c:v>
                </c:pt>
                <c:pt idx="13">
                  <c:v>16.14960791333333</c:v>
                </c:pt>
                <c:pt idx="14">
                  <c:v>15.150202741666668</c:v>
                </c:pt>
                <c:pt idx="15">
                  <c:v>14.675709414166668</c:v>
                </c:pt>
                <c:pt idx="16">
                  <c:v>14.525074758333334</c:v>
                </c:pt>
                <c:pt idx="17">
                  <c:v>15.346068563333331</c:v>
                </c:pt>
                <c:pt idx="18">
                  <c:v>14.332523942499998</c:v>
                </c:pt>
                <c:pt idx="19">
                  <c:v>13.895810384999997</c:v>
                </c:pt>
                <c:pt idx="20">
                  <c:v>13.797080926666666</c:v>
                </c:pt>
                <c:pt idx="21">
                  <c:v>13.576272451666666</c:v>
                </c:pt>
                <c:pt idx="22">
                  <c:v>13.789329917499998</c:v>
                </c:pt>
                <c:pt idx="23">
                  <c:v>13.807097155833333</c:v>
                </c:pt>
                <c:pt idx="24">
                  <c:v>13.669064755833332</c:v>
                </c:pt>
                <c:pt idx="25">
                  <c:v>13.169361739166666</c:v>
                </c:pt>
                <c:pt idx="26">
                  <c:v>12.984713376666669</c:v>
                </c:pt>
                <c:pt idx="27">
                  <c:v>13.106389587499999</c:v>
                </c:pt>
                <c:pt idx="28">
                  <c:v>13.114767950000001</c:v>
                </c:pt>
                <c:pt idx="29">
                  <c:v>12.632734578333334</c:v>
                </c:pt>
                <c:pt idx="30">
                  <c:v>13.2656391325</c:v>
                </c:pt>
                <c:pt idx="31">
                  <c:v>14.066281595833336</c:v>
                </c:pt>
                <c:pt idx="32">
                  <c:v>15.491290397500002</c:v>
                </c:pt>
                <c:pt idx="33">
                  <c:v>15.642014915833341</c:v>
                </c:pt>
                <c:pt idx="34">
                  <c:v>16.041306036666672</c:v>
                </c:pt>
                <c:pt idx="35">
                  <c:v>15.52384907583334</c:v>
                </c:pt>
                <c:pt idx="36">
                  <c:v>16.640626270000009</c:v>
                </c:pt>
                <c:pt idx="37">
                  <c:v>16.363769791666673</c:v>
                </c:pt>
                <c:pt idx="38">
                  <c:v>16.156514364166672</c:v>
                </c:pt>
                <c:pt idx="39">
                  <c:v>15.471506686666674</c:v>
                </c:pt>
                <c:pt idx="40">
                  <c:v>14.913529990000006</c:v>
                </c:pt>
                <c:pt idx="41">
                  <c:v>14.233177929166674</c:v>
                </c:pt>
                <c:pt idx="42">
                  <c:v>13.690198643333339</c:v>
                </c:pt>
                <c:pt idx="43">
                  <c:v>12.568793379166678</c:v>
                </c:pt>
                <c:pt idx="44">
                  <c:v>11.065721700833342</c:v>
                </c:pt>
                <c:pt idx="45">
                  <c:v>9.9889271116666709</c:v>
                </c:pt>
                <c:pt idx="46">
                  <c:v>8.9996149975000037</c:v>
                </c:pt>
                <c:pt idx="47">
                  <c:v>8.5287791025000015</c:v>
                </c:pt>
                <c:pt idx="48">
                  <c:v>6.9973230625000005</c:v>
                </c:pt>
                <c:pt idx="49">
                  <c:v>6.8324766333333349</c:v>
                </c:pt>
                <c:pt idx="50">
                  <c:v>6.6901191433333338</c:v>
                </c:pt>
                <c:pt idx="51">
                  <c:v>6.7383777149999995</c:v>
                </c:pt>
                <c:pt idx="52">
                  <c:v>6.8351512458333339</c:v>
                </c:pt>
                <c:pt idx="53">
                  <c:v>6.9906513958333321</c:v>
                </c:pt>
                <c:pt idx="54">
                  <c:v>7.0264611124999989</c:v>
                </c:pt>
                <c:pt idx="55">
                  <c:v>7.0924127316666672</c:v>
                </c:pt>
                <c:pt idx="56">
                  <c:v>7.3652119958333344</c:v>
                </c:pt>
                <c:pt idx="57">
                  <c:v>7.3771055733333339</c:v>
                </c:pt>
                <c:pt idx="58">
                  <c:v>7.703282712500001</c:v>
                </c:pt>
                <c:pt idx="59">
                  <c:v>7.9659155099999994</c:v>
                </c:pt>
                <c:pt idx="60">
                  <c:v>8.0123250158333335</c:v>
                </c:pt>
              </c:numCache>
            </c:numRef>
          </c:val>
        </c:ser>
        <c:marker val="1"/>
        <c:axId val="88741376"/>
        <c:axId val="88742912"/>
      </c:lineChart>
      <c:dateAx>
        <c:axId val="8874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429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742912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413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[22]Pais_1_media_tek!$E$13:$E$73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[22]Pais_1_media_tek!$F$13:$F$73</c:f>
              <c:numCache>
                <c:formatCode>General</c:formatCode>
                <c:ptCount val="61"/>
                <c:pt idx="0">
                  <c:v>5.3607071441666676</c:v>
                </c:pt>
                <c:pt idx="1">
                  <c:v>5.2036396725000014</c:v>
                </c:pt>
                <c:pt idx="2">
                  <c:v>4.9891838316666677</c:v>
                </c:pt>
                <c:pt idx="3">
                  <c:v>5.0695636450000015</c:v>
                </c:pt>
                <c:pt idx="4">
                  <c:v>5.0679682433333353</c:v>
                </c:pt>
                <c:pt idx="5">
                  <c:v>5.2008953650000009</c:v>
                </c:pt>
                <c:pt idx="6">
                  <c:v>5.1813602408333344</c:v>
                </c:pt>
                <c:pt idx="7">
                  <c:v>5.211126243333335</c:v>
                </c:pt>
                <c:pt idx="8">
                  <c:v>5.6495299275000015</c:v>
                </c:pt>
                <c:pt idx="9">
                  <c:v>5.626976110000002</c:v>
                </c:pt>
                <c:pt idx="10">
                  <c:v>5.8165949725000017</c:v>
                </c:pt>
                <c:pt idx="11">
                  <c:v>5.9324344608333348</c:v>
                </c:pt>
                <c:pt idx="12">
                  <c:v>5.9303291058333345</c:v>
                </c:pt>
                <c:pt idx="13">
                  <c:v>5.8584847341666686</c:v>
                </c:pt>
                <c:pt idx="14">
                  <c:v>5.6475547000000033</c:v>
                </c:pt>
                <c:pt idx="15">
                  <c:v>5.5356574508333347</c:v>
                </c:pt>
                <c:pt idx="16">
                  <c:v>5.2211001641666686</c:v>
                </c:pt>
                <c:pt idx="17">
                  <c:v>5.0963156891666683</c:v>
                </c:pt>
                <c:pt idx="18">
                  <c:v>5.0846682100000011</c:v>
                </c:pt>
                <c:pt idx="19">
                  <c:v>4.9104329241666687</c:v>
                </c:pt>
                <c:pt idx="20">
                  <c:v>4.4959156808333329</c:v>
                </c:pt>
                <c:pt idx="21">
                  <c:v>4.4566009900000001</c:v>
                </c:pt>
                <c:pt idx="22">
                  <c:v>4.5738974399999996</c:v>
                </c:pt>
                <c:pt idx="23">
                  <c:v>4.8743757883333325</c:v>
                </c:pt>
                <c:pt idx="24">
                  <c:v>4.9407720558333326</c:v>
                </c:pt>
                <c:pt idx="25">
                  <c:v>5.2023899858333333</c:v>
                </c:pt>
                <c:pt idx="26">
                  <c:v>5.329973675833334</c:v>
                </c:pt>
                <c:pt idx="27">
                  <c:v>5.5405999633333343</c:v>
                </c:pt>
                <c:pt idx="28">
                  <c:v>6.0773582741666665</c:v>
                </c:pt>
                <c:pt idx="29">
                  <c:v>5.9132935316666675</c:v>
                </c:pt>
                <c:pt idx="30">
                  <c:v>5.9232853725000005</c:v>
                </c:pt>
                <c:pt idx="31">
                  <c:v>5.9922340233333342</c:v>
                </c:pt>
                <c:pt idx="32">
                  <c:v>5.8740510366666667</c:v>
                </c:pt>
                <c:pt idx="33">
                  <c:v>5.7818620816666666</c:v>
                </c:pt>
                <c:pt idx="34">
                  <c:v>5.5342926608333336</c:v>
                </c:pt>
                <c:pt idx="35">
                  <c:v>5.0674761508333335</c:v>
                </c:pt>
                <c:pt idx="36">
                  <c:v>4.916611674166667</c:v>
                </c:pt>
                <c:pt idx="37">
                  <c:v>4.8074499566666669</c:v>
                </c:pt>
                <c:pt idx="38">
                  <c:v>4.6851177733333325</c:v>
                </c:pt>
                <c:pt idx="39">
                  <c:v>4.5548612508333326</c:v>
                </c:pt>
                <c:pt idx="40">
                  <c:v>3.8920746125000001</c:v>
                </c:pt>
                <c:pt idx="41">
                  <c:v>3.8228084041666666</c:v>
                </c:pt>
                <c:pt idx="42">
                  <c:v>3.6444813408333334</c:v>
                </c:pt>
                <c:pt idx="43">
                  <c:v>3.5793310424999993</c:v>
                </c:pt>
                <c:pt idx="44">
                  <c:v>3.5056836466666663</c:v>
                </c:pt>
                <c:pt idx="45">
                  <c:v>3.3565733116666663</c:v>
                </c:pt>
                <c:pt idx="46">
                  <c:v>3.3637255424999992</c:v>
                </c:pt>
                <c:pt idx="47">
                  <c:v>3.1711396966666663</c:v>
                </c:pt>
                <c:pt idx="48">
                  <c:v>3.3298511108333333</c:v>
                </c:pt>
                <c:pt idx="49">
                  <c:v>3.372837745833333</c:v>
                </c:pt>
                <c:pt idx="50">
                  <c:v>3.4014292483333328</c:v>
                </c:pt>
                <c:pt idx="51">
                  <c:v>3.4011225399999994</c:v>
                </c:pt>
                <c:pt idx="52">
                  <c:v>3.5747369141666669</c:v>
                </c:pt>
                <c:pt idx="53">
                  <c:v>3.6702512700000001</c:v>
                </c:pt>
                <c:pt idx="54">
                  <c:v>3.8322496100000003</c:v>
                </c:pt>
                <c:pt idx="55">
                  <c:v>3.6646298500000003</c:v>
                </c:pt>
                <c:pt idx="56">
                  <c:v>3.9525709366666661</c:v>
                </c:pt>
                <c:pt idx="57">
                  <c:v>4.0785942099999994</c:v>
                </c:pt>
                <c:pt idx="58">
                  <c:v>4.2542029316666676</c:v>
                </c:pt>
                <c:pt idx="59">
                  <c:v>4.5087198141666676</c:v>
                </c:pt>
                <c:pt idx="60">
                  <c:v>4.2667090408333346</c:v>
                </c:pt>
              </c:numCache>
            </c:numRef>
          </c:val>
        </c:ser>
        <c:marker val="1"/>
        <c:axId val="88781184"/>
        <c:axId val="88782720"/>
      </c:lineChart>
      <c:dateAx>
        <c:axId val="8878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827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782720"/>
        <c:scaling>
          <c:orientation val="minMax"/>
          <c:max val="7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8118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[22]Pais_1_alta_tek!$E$13:$E$73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[22]Pais_1_alta_tek!$F$13:$F$73</c:f>
              <c:numCache>
                <c:formatCode>General</c:formatCode>
                <c:ptCount val="61"/>
                <c:pt idx="0">
                  <c:v>4.7969170566666666</c:v>
                </c:pt>
                <c:pt idx="1">
                  <c:v>4.8210058058333329</c:v>
                </c:pt>
                <c:pt idx="2">
                  <c:v>4.6090559058333325</c:v>
                </c:pt>
                <c:pt idx="3">
                  <c:v>4.8152592924999995</c:v>
                </c:pt>
                <c:pt idx="4">
                  <c:v>4.9909442149999999</c:v>
                </c:pt>
                <c:pt idx="5">
                  <c:v>5.2051209924999986</c:v>
                </c:pt>
                <c:pt idx="6">
                  <c:v>5.2376206941666661</c:v>
                </c:pt>
                <c:pt idx="7">
                  <c:v>4.9973885574999999</c:v>
                </c:pt>
                <c:pt idx="8">
                  <c:v>5.1900471141666671</c:v>
                </c:pt>
                <c:pt idx="9">
                  <c:v>5.6737338158333337</c:v>
                </c:pt>
                <c:pt idx="10">
                  <c:v>6.1656471408333333</c:v>
                </c:pt>
                <c:pt idx="11">
                  <c:v>6.6155889499999994</c:v>
                </c:pt>
                <c:pt idx="12">
                  <c:v>6.3001998525000005</c:v>
                </c:pt>
                <c:pt idx="13">
                  <c:v>6.3124790733333329</c:v>
                </c:pt>
                <c:pt idx="14">
                  <c:v>6.1659045741666674</c:v>
                </c:pt>
                <c:pt idx="15">
                  <c:v>5.7486739316666666</c:v>
                </c:pt>
                <c:pt idx="16">
                  <c:v>5.6612320499999997</c:v>
                </c:pt>
                <c:pt idx="17">
                  <c:v>6.9901607524999987</c:v>
                </c:pt>
                <c:pt idx="18">
                  <c:v>7.534397710833332</c:v>
                </c:pt>
                <c:pt idx="19">
                  <c:v>7.5523197333333334</c:v>
                </c:pt>
                <c:pt idx="20">
                  <c:v>7.8023574366666653</c:v>
                </c:pt>
                <c:pt idx="21">
                  <c:v>9.831363300833333</c:v>
                </c:pt>
                <c:pt idx="22">
                  <c:v>9.7975257866666663</c:v>
                </c:pt>
                <c:pt idx="23">
                  <c:v>9.7852194216666657</c:v>
                </c:pt>
                <c:pt idx="24">
                  <c:v>10.884951129999999</c:v>
                </c:pt>
                <c:pt idx="25">
                  <c:v>11.377197974166664</c:v>
                </c:pt>
                <c:pt idx="26">
                  <c:v>12.315235765833334</c:v>
                </c:pt>
                <c:pt idx="27">
                  <c:v>13.021970684166668</c:v>
                </c:pt>
                <c:pt idx="28">
                  <c:v>13.909928847500003</c:v>
                </c:pt>
                <c:pt idx="29">
                  <c:v>13.089189264166672</c:v>
                </c:pt>
                <c:pt idx="30">
                  <c:v>13.064637152500003</c:v>
                </c:pt>
                <c:pt idx="31">
                  <c:v>14.40705636916667</c:v>
                </c:pt>
                <c:pt idx="32">
                  <c:v>14.606688759166667</c:v>
                </c:pt>
                <c:pt idx="33">
                  <c:v>13.094424145833331</c:v>
                </c:pt>
                <c:pt idx="34">
                  <c:v>14.462280764166664</c:v>
                </c:pt>
                <c:pt idx="35">
                  <c:v>14.045445923333334</c:v>
                </c:pt>
                <c:pt idx="36">
                  <c:v>13.745380135000003</c:v>
                </c:pt>
                <c:pt idx="37">
                  <c:v>13.295956819166667</c:v>
                </c:pt>
                <c:pt idx="38">
                  <c:v>12.902337687500001</c:v>
                </c:pt>
                <c:pt idx="39">
                  <c:v>13.229529512500001</c:v>
                </c:pt>
                <c:pt idx="40">
                  <c:v>13.163403264999999</c:v>
                </c:pt>
                <c:pt idx="41">
                  <c:v>13.599491544166666</c:v>
                </c:pt>
                <c:pt idx="42">
                  <c:v>13.475401914166666</c:v>
                </c:pt>
                <c:pt idx="43">
                  <c:v>12.997330274166664</c:v>
                </c:pt>
                <c:pt idx="44">
                  <c:v>12.577585406666666</c:v>
                </c:pt>
                <c:pt idx="45">
                  <c:v>11.768123214166669</c:v>
                </c:pt>
                <c:pt idx="46">
                  <c:v>10.204502795833333</c:v>
                </c:pt>
                <c:pt idx="47">
                  <c:v>10.190071188333333</c:v>
                </c:pt>
                <c:pt idx="48">
                  <c:v>9.8134754325000007</c:v>
                </c:pt>
                <c:pt idx="49">
                  <c:v>10.404517639166668</c:v>
                </c:pt>
                <c:pt idx="50">
                  <c:v>9.9975425766666675</c:v>
                </c:pt>
                <c:pt idx="51">
                  <c:v>11.322984095000001</c:v>
                </c:pt>
                <c:pt idx="52">
                  <c:v>10.717299340000002</c:v>
                </c:pt>
                <c:pt idx="53">
                  <c:v>10.292575714166668</c:v>
                </c:pt>
                <c:pt idx="54">
                  <c:v>9.6580224500000007</c:v>
                </c:pt>
                <c:pt idx="55">
                  <c:v>9.1372305908333349</c:v>
                </c:pt>
                <c:pt idx="56">
                  <c:v>9.1774709375000008</c:v>
                </c:pt>
                <c:pt idx="57">
                  <c:v>9.0703149408333328</c:v>
                </c:pt>
                <c:pt idx="58">
                  <c:v>8.5535579950000002</c:v>
                </c:pt>
                <c:pt idx="59">
                  <c:v>8.5721191574999995</c:v>
                </c:pt>
                <c:pt idx="60">
                  <c:v>8.3313227641666661</c:v>
                </c:pt>
              </c:numCache>
            </c:numRef>
          </c:val>
        </c:ser>
        <c:marker val="1"/>
        <c:axId val="88878080"/>
        <c:axId val="88957696"/>
      </c:lineChart>
      <c:dateAx>
        <c:axId val="88878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576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8957696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7808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[22]Pais_2!$E$13:$E$73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[22]Pais_2!$F$13:$F$73</c:f>
              <c:numCache>
                <c:formatCode>General</c:formatCode>
                <c:ptCount val="61"/>
                <c:pt idx="0">
                  <c:v>22.306488811666664</c:v>
                </c:pt>
                <c:pt idx="1">
                  <c:v>22.691685099999997</c:v>
                </c:pt>
                <c:pt idx="2">
                  <c:v>22.881291703333332</c:v>
                </c:pt>
                <c:pt idx="3">
                  <c:v>23.538267169166669</c:v>
                </c:pt>
                <c:pt idx="4">
                  <c:v>23.655917431666666</c:v>
                </c:pt>
                <c:pt idx="5">
                  <c:v>24.348615812500004</c:v>
                </c:pt>
                <c:pt idx="6">
                  <c:v>24.924733961666675</c:v>
                </c:pt>
                <c:pt idx="7">
                  <c:v>25.209385752500001</c:v>
                </c:pt>
                <c:pt idx="8">
                  <c:v>25.661481659166672</c:v>
                </c:pt>
                <c:pt idx="9">
                  <c:v>25.755806460000013</c:v>
                </c:pt>
                <c:pt idx="10">
                  <c:v>26.465910060833341</c:v>
                </c:pt>
                <c:pt idx="11">
                  <c:v>26.560971440000003</c:v>
                </c:pt>
                <c:pt idx="12">
                  <c:v>26.569681256666669</c:v>
                </c:pt>
                <c:pt idx="13">
                  <c:v>26.619972046666671</c:v>
                </c:pt>
                <c:pt idx="14">
                  <c:v>26.978025706666667</c:v>
                </c:pt>
                <c:pt idx="15">
                  <c:v>26.726375503333333</c:v>
                </c:pt>
                <c:pt idx="16">
                  <c:v>27.208525604999995</c:v>
                </c:pt>
                <c:pt idx="17">
                  <c:v>26.937707599166661</c:v>
                </c:pt>
                <c:pt idx="18">
                  <c:v>26.482191577499986</c:v>
                </c:pt>
                <c:pt idx="19">
                  <c:v>26.321980657499989</c:v>
                </c:pt>
                <c:pt idx="20">
                  <c:v>26.087757795833323</c:v>
                </c:pt>
                <c:pt idx="21">
                  <c:v>25.937468499166652</c:v>
                </c:pt>
                <c:pt idx="22">
                  <c:v>25.467568772499988</c:v>
                </c:pt>
                <c:pt idx="23">
                  <c:v>25.433588402499996</c:v>
                </c:pt>
                <c:pt idx="24">
                  <c:v>25.835709415833332</c:v>
                </c:pt>
                <c:pt idx="25">
                  <c:v>25.901864328333335</c:v>
                </c:pt>
                <c:pt idx="26">
                  <c:v>25.320692311666679</c:v>
                </c:pt>
                <c:pt idx="27">
                  <c:v>26.06921443000002</c:v>
                </c:pt>
                <c:pt idx="28">
                  <c:v>26.341984237500014</c:v>
                </c:pt>
                <c:pt idx="29">
                  <c:v>26.636400589166687</c:v>
                </c:pt>
                <c:pt idx="30">
                  <c:v>27.91171344250002</c:v>
                </c:pt>
                <c:pt idx="31">
                  <c:v>29.250769045833351</c:v>
                </c:pt>
                <c:pt idx="32">
                  <c:v>30.117156851666689</c:v>
                </c:pt>
                <c:pt idx="33">
                  <c:v>30.83870488666669</c:v>
                </c:pt>
                <c:pt idx="34">
                  <c:v>32.672427285833365</c:v>
                </c:pt>
                <c:pt idx="35">
                  <c:v>33.757828150833355</c:v>
                </c:pt>
                <c:pt idx="36">
                  <c:v>35.128904274166679</c:v>
                </c:pt>
                <c:pt idx="37">
                  <c:v>35.940557754166676</c:v>
                </c:pt>
                <c:pt idx="38">
                  <c:v>36.423832058333339</c:v>
                </c:pt>
                <c:pt idx="39">
                  <c:v>35.953100132500005</c:v>
                </c:pt>
                <c:pt idx="40">
                  <c:v>35.681320562499998</c:v>
                </c:pt>
                <c:pt idx="41">
                  <c:v>35.727992719166657</c:v>
                </c:pt>
                <c:pt idx="42">
                  <c:v>34.932810733333326</c:v>
                </c:pt>
                <c:pt idx="43">
                  <c:v>33.759985304999994</c:v>
                </c:pt>
                <c:pt idx="44">
                  <c:v>32.562219945833327</c:v>
                </c:pt>
                <c:pt idx="45">
                  <c:v>32.19937629166666</c:v>
                </c:pt>
                <c:pt idx="46">
                  <c:v>30.735366798333317</c:v>
                </c:pt>
                <c:pt idx="47">
                  <c:v>29.973160124999982</c:v>
                </c:pt>
                <c:pt idx="48">
                  <c:v>28.956642776666651</c:v>
                </c:pt>
                <c:pt idx="49">
                  <c:v>27.971363097499985</c:v>
                </c:pt>
                <c:pt idx="50">
                  <c:v>28.44449417749999</c:v>
                </c:pt>
                <c:pt idx="51">
                  <c:v>29.344832988333312</c:v>
                </c:pt>
                <c:pt idx="52">
                  <c:v>30.221206226666656</c:v>
                </c:pt>
                <c:pt idx="53">
                  <c:v>31.000651070833328</c:v>
                </c:pt>
                <c:pt idx="54">
                  <c:v>31.554452459166665</c:v>
                </c:pt>
                <c:pt idx="55">
                  <c:v>32.007247226666678</c:v>
                </c:pt>
                <c:pt idx="56">
                  <c:v>32.931455175000004</c:v>
                </c:pt>
                <c:pt idx="57">
                  <c:v>34.731126366666672</c:v>
                </c:pt>
                <c:pt idx="58">
                  <c:v>37.489088426666662</c:v>
                </c:pt>
                <c:pt idx="59">
                  <c:v>37.623091014999986</c:v>
                </c:pt>
                <c:pt idx="60">
                  <c:v>38.16979858583332</c:v>
                </c:pt>
              </c:numCache>
            </c:numRef>
          </c:val>
        </c:ser>
        <c:marker val="1"/>
        <c:axId val="89006848"/>
        <c:axId val="89009536"/>
      </c:lineChart>
      <c:dateAx>
        <c:axId val="89006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095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9009536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06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[22]Pais_2_primarios!$E$13:$E$73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[22]Pais_2_primarios!$F$13:$F$73</c:f>
              <c:numCache>
                <c:formatCode>General</c:formatCode>
                <c:ptCount val="61"/>
                <c:pt idx="0">
                  <c:v>0.16126384666666668</c:v>
                </c:pt>
                <c:pt idx="1">
                  <c:v>0.17409489916666668</c:v>
                </c:pt>
                <c:pt idx="2">
                  <c:v>0.19088706583333334</c:v>
                </c:pt>
                <c:pt idx="3">
                  <c:v>0.21803870249999999</c:v>
                </c:pt>
                <c:pt idx="4">
                  <c:v>0.28288098500000003</c:v>
                </c:pt>
                <c:pt idx="5">
                  <c:v>0.28791001000000005</c:v>
                </c:pt>
                <c:pt idx="6">
                  <c:v>0.29382528083333337</c:v>
                </c:pt>
                <c:pt idx="7">
                  <c:v>0.30592480833333335</c:v>
                </c:pt>
                <c:pt idx="8">
                  <c:v>0.36964719250000005</c:v>
                </c:pt>
                <c:pt idx="9">
                  <c:v>0.36960674083333339</c:v>
                </c:pt>
                <c:pt idx="10">
                  <c:v>0.35664041083333342</c:v>
                </c:pt>
                <c:pt idx="11">
                  <c:v>0.3586307333333334</c:v>
                </c:pt>
                <c:pt idx="12">
                  <c:v>0.34076923000000003</c:v>
                </c:pt>
                <c:pt idx="13">
                  <c:v>0.35662525583333338</c:v>
                </c:pt>
                <c:pt idx="14">
                  <c:v>0.35934955083333336</c:v>
                </c:pt>
                <c:pt idx="15">
                  <c:v>0.3336384025000001</c:v>
                </c:pt>
                <c:pt idx="16">
                  <c:v>0.29149932583333332</c:v>
                </c:pt>
                <c:pt idx="17">
                  <c:v>0.28707375333333335</c:v>
                </c:pt>
                <c:pt idx="18">
                  <c:v>0.31621875583333331</c:v>
                </c:pt>
                <c:pt idx="19">
                  <c:v>0.32104073999999999</c:v>
                </c:pt>
                <c:pt idx="20">
                  <c:v>0.29684871499999999</c:v>
                </c:pt>
                <c:pt idx="21">
                  <c:v>0.32275399083333334</c:v>
                </c:pt>
                <c:pt idx="22">
                  <c:v>0.35298153333333332</c:v>
                </c:pt>
                <c:pt idx="23">
                  <c:v>0.36487854583333329</c:v>
                </c:pt>
                <c:pt idx="24">
                  <c:v>0.36076907249999995</c:v>
                </c:pt>
                <c:pt idx="25">
                  <c:v>0.36751982333333327</c:v>
                </c:pt>
                <c:pt idx="26">
                  <c:v>0.37005822333333332</c:v>
                </c:pt>
                <c:pt idx="27">
                  <c:v>0.41147958166666659</c:v>
                </c:pt>
                <c:pt idx="28">
                  <c:v>0.42783657916666668</c:v>
                </c:pt>
                <c:pt idx="29">
                  <c:v>0.44262539666666667</c:v>
                </c:pt>
                <c:pt idx="30">
                  <c:v>0.44422624166666669</c:v>
                </c:pt>
                <c:pt idx="31">
                  <c:v>0.44352141333333339</c:v>
                </c:pt>
                <c:pt idx="32">
                  <c:v>0.3990213208333333</c:v>
                </c:pt>
                <c:pt idx="33">
                  <c:v>0.36474529000000006</c:v>
                </c:pt>
                <c:pt idx="34">
                  <c:v>0.35105465583333323</c:v>
                </c:pt>
                <c:pt idx="35">
                  <c:v>0.33769897499999996</c:v>
                </c:pt>
                <c:pt idx="36">
                  <c:v>0.32933263749999997</c:v>
                </c:pt>
                <c:pt idx="37">
                  <c:v>0.31167352833333334</c:v>
                </c:pt>
                <c:pt idx="38">
                  <c:v>0.29930900666666665</c:v>
                </c:pt>
                <c:pt idx="39">
                  <c:v>0.2653296175</c:v>
                </c:pt>
                <c:pt idx="40">
                  <c:v>0.23830490999999998</c:v>
                </c:pt>
                <c:pt idx="41">
                  <c:v>0.21624138416666663</c:v>
                </c:pt>
                <c:pt idx="42">
                  <c:v>0.18413539166666668</c:v>
                </c:pt>
                <c:pt idx="43">
                  <c:v>0.17846897583333332</c:v>
                </c:pt>
                <c:pt idx="44">
                  <c:v>0.18433157166666667</c:v>
                </c:pt>
                <c:pt idx="45">
                  <c:v>0.19368306583333336</c:v>
                </c:pt>
                <c:pt idx="46">
                  <c:v>0.1811804766666667</c:v>
                </c:pt>
                <c:pt idx="47">
                  <c:v>0.17735486750000004</c:v>
                </c:pt>
                <c:pt idx="48">
                  <c:v>0.18411662500000003</c:v>
                </c:pt>
                <c:pt idx="49">
                  <c:v>0.17179167750000002</c:v>
                </c:pt>
                <c:pt idx="50">
                  <c:v>0.20055074833333333</c:v>
                </c:pt>
                <c:pt idx="51">
                  <c:v>0.21376884083333336</c:v>
                </c:pt>
                <c:pt idx="52">
                  <c:v>0.2140998975</c:v>
                </c:pt>
                <c:pt idx="53">
                  <c:v>0.21501929583333335</c:v>
                </c:pt>
                <c:pt idx="54">
                  <c:v>0.22277632166666669</c:v>
                </c:pt>
                <c:pt idx="55">
                  <c:v>0.21002018583333337</c:v>
                </c:pt>
                <c:pt idx="56">
                  <c:v>0.25876089916666672</c:v>
                </c:pt>
                <c:pt idx="57">
                  <c:v>0.30293714166666669</c:v>
                </c:pt>
                <c:pt idx="58">
                  <c:v>0.32256466666666667</c:v>
                </c:pt>
                <c:pt idx="59">
                  <c:v>0.33061557666666669</c:v>
                </c:pt>
                <c:pt idx="60">
                  <c:v>0.36039572583333329</c:v>
                </c:pt>
              </c:numCache>
            </c:numRef>
          </c:val>
        </c:ser>
        <c:marker val="1"/>
        <c:axId val="90404352"/>
        <c:axId val="90405888"/>
      </c:lineChart>
      <c:dateAx>
        <c:axId val="9040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58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0405888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4352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[22]Pais_2_rec_naturales!$E$13:$E$73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[22]Pais_2_rec_naturales!$F$13:$F$73</c:f>
              <c:numCache>
                <c:formatCode>General</c:formatCode>
                <c:ptCount val="61"/>
                <c:pt idx="0">
                  <c:v>1.4536320949999997</c:v>
                </c:pt>
                <c:pt idx="1">
                  <c:v>1.4398308283333332</c:v>
                </c:pt>
                <c:pt idx="2">
                  <c:v>1.4206068874999997</c:v>
                </c:pt>
                <c:pt idx="3">
                  <c:v>1.4100804241666667</c:v>
                </c:pt>
                <c:pt idx="4">
                  <c:v>1.3888855</c:v>
                </c:pt>
                <c:pt idx="5">
                  <c:v>1.453361359166667</c:v>
                </c:pt>
                <c:pt idx="6">
                  <c:v>1.5265553025000003</c:v>
                </c:pt>
                <c:pt idx="7">
                  <c:v>1.5182680441666669</c:v>
                </c:pt>
                <c:pt idx="8">
                  <c:v>1.5398997075000003</c:v>
                </c:pt>
                <c:pt idx="9">
                  <c:v>1.6127014758333338</c:v>
                </c:pt>
                <c:pt idx="10">
                  <c:v>1.6968731850000003</c:v>
                </c:pt>
                <c:pt idx="11">
                  <c:v>1.7472626200000001</c:v>
                </c:pt>
                <c:pt idx="12">
                  <c:v>1.809076069166667</c:v>
                </c:pt>
                <c:pt idx="13">
                  <c:v>1.8536975233333335</c:v>
                </c:pt>
                <c:pt idx="14">
                  <c:v>1.8948409925000005</c:v>
                </c:pt>
                <c:pt idx="15">
                  <c:v>1.9356106875000003</c:v>
                </c:pt>
                <c:pt idx="16">
                  <c:v>1.9527234166666665</c:v>
                </c:pt>
                <c:pt idx="17">
                  <c:v>1.9699215333333331</c:v>
                </c:pt>
                <c:pt idx="18">
                  <c:v>1.9176841524999995</c:v>
                </c:pt>
                <c:pt idx="19">
                  <c:v>1.960602685833333</c:v>
                </c:pt>
                <c:pt idx="20">
                  <c:v>2.0331439199999997</c:v>
                </c:pt>
                <c:pt idx="21">
                  <c:v>2.0728087858333333</c:v>
                </c:pt>
                <c:pt idx="22">
                  <c:v>2.206022303333333</c:v>
                </c:pt>
                <c:pt idx="23">
                  <c:v>2.3124094108333333</c:v>
                </c:pt>
                <c:pt idx="24">
                  <c:v>2.3633594899999997</c:v>
                </c:pt>
                <c:pt idx="25">
                  <c:v>2.4156356116666662</c:v>
                </c:pt>
                <c:pt idx="26">
                  <c:v>2.4314363774999994</c:v>
                </c:pt>
                <c:pt idx="27">
                  <c:v>2.5131183283333329</c:v>
                </c:pt>
                <c:pt idx="28">
                  <c:v>2.6867783191666663</c:v>
                </c:pt>
                <c:pt idx="29">
                  <c:v>2.8752253216666666</c:v>
                </c:pt>
                <c:pt idx="30">
                  <c:v>3.0987788783333339</c:v>
                </c:pt>
                <c:pt idx="31">
                  <c:v>3.3047168066666668</c:v>
                </c:pt>
                <c:pt idx="32">
                  <c:v>3.3691289400000008</c:v>
                </c:pt>
                <c:pt idx="33">
                  <c:v>3.4467020808333335</c:v>
                </c:pt>
                <c:pt idx="34">
                  <c:v>3.6326964741666679</c:v>
                </c:pt>
                <c:pt idx="35">
                  <c:v>3.642652149166667</c:v>
                </c:pt>
                <c:pt idx="36">
                  <c:v>3.8754037916666686</c:v>
                </c:pt>
                <c:pt idx="37">
                  <c:v>3.9469176091666687</c:v>
                </c:pt>
                <c:pt idx="38">
                  <c:v>4.0373854491666687</c:v>
                </c:pt>
                <c:pt idx="39">
                  <c:v>4.0518183758333359</c:v>
                </c:pt>
                <c:pt idx="40">
                  <c:v>3.9419622250000028</c:v>
                </c:pt>
                <c:pt idx="41">
                  <c:v>3.8539702625000025</c:v>
                </c:pt>
                <c:pt idx="42">
                  <c:v>3.7288409166666692</c:v>
                </c:pt>
                <c:pt idx="43">
                  <c:v>3.6567668950000018</c:v>
                </c:pt>
                <c:pt idx="44">
                  <c:v>3.6136421008333355</c:v>
                </c:pt>
                <c:pt idx="45">
                  <c:v>3.532039345833335</c:v>
                </c:pt>
                <c:pt idx="46">
                  <c:v>3.3421876458333339</c:v>
                </c:pt>
                <c:pt idx="47">
                  <c:v>3.3074765783333331</c:v>
                </c:pt>
                <c:pt idx="48">
                  <c:v>3.116484564999999</c:v>
                </c:pt>
                <c:pt idx="49">
                  <c:v>3.0690059508333327</c:v>
                </c:pt>
                <c:pt idx="50">
                  <c:v>3.0478874641666658</c:v>
                </c:pt>
                <c:pt idx="51">
                  <c:v>3.110372814166666</c:v>
                </c:pt>
                <c:pt idx="52">
                  <c:v>3.2239881191666657</c:v>
                </c:pt>
                <c:pt idx="53">
                  <c:v>3.2320739074999989</c:v>
                </c:pt>
                <c:pt idx="54">
                  <c:v>3.3103427183333323</c:v>
                </c:pt>
                <c:pt idx="55">
                  <c:v>3.2909966049999988</c:v>
                </c:pt>
                <c:pt idx="56">
                  <c:v>3.3465782949999991</c:v>
                </c:pt>
                <c:pt idx="57">
                  <c:v>3.5330707741666658</c:v>
                </c:pt>
                <c:pt idx="58">
                  <c:v>3.609628523333333</c:v>
                </c:pt>
                <c:pt idx="59">
                  <c:v>3.6181819033333333</c:v>
                </c:pt>
                <c:pt idx="60">
                  <c:v>3.673521543333333</c:v>
                </c:pt>
              </c:numCache>
            </c:numRef>
          </c:val>
        </c:ser>
        <c:marker val="1"/>
        <c:axId val="91158016"/>
        <c:axId val="91159552"/>
      </c:lineChart>
      <c:dateAx>
        <c:axId val="91158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595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159552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5801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[22]Pais_2_baja_tek!$E$13:$E$73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[22]Pais_2_baja_tek!$F$13:$F$73</c:f>
              <c:numCache>
                <c:formatCode>General</c:formatCode>
                <c:ptCount val="61"/>
                <c:pt idx="0">
                  <c:v>4.8250393658333328</c:v>
                </c:pt>
                <c:pt idx="1">
                  <c:v>4.9497717424999994</c:v>
                </c:pt>
                <c:pt idx="2">
                  <c:v>4.9177034608333337</c:v>
                </c:pt>
                <c:pt idx="3">
                  <c:v>4.9013252783333323</c:v>
                </c:pt>
                <c:pt idx="4">
                  <c:v>4.8080949891666664</c:v>
                </c:pt>
                <c:pt idx="5">
                  <c:v>4.7428011083333326</c:v>
                </c:pt>
                <c:pt idx="6">
                  <c:v>4.7196977149999997</c:v>
                </c:pt>
                <c:pt idx="7">
                  <c:v>4.8350235616666657</c:v>
                </c:pt>
                <c:pt idx="8">
                  <c:v>4.8852886674999985</c:v>
                </c:pt>
                <c:pt idx="9">
                  <c:v>4.853352928333333</c:v>
                </c:pt>
                <c:pt idx="10">
                  <c:v>4.9833243625000003</c:v>
                </c:pt>
                <c:pt idx="11">
                  <c:v>4.9532247758333332</c:v>
                </c:pt>
                <c:pt idx="12">
                  <c:v>4.9508251058333341</c:v>
                </c:pt>
                <c:pt idx="13">
                  <c:v>4.8822568125000005</c:v>
                </c:pt>
                <c:pt idx="14">
                  <c:v>4.944626958333334</c:v>
                </c:pt>
                <c:pt idx="15">
                  <c:v>4.8415136925000013</c:v>
                </c:pt>
                <c:pt idx="16">
                  <c:v>4.8205185458333348</c:v>
                </c:pt>
                <c:pt idx="17">
                  <c:v>4.9346429966666676</c:v>
                </c:pt>
                <c:pt idx="18">
                  <c:v>4.9725183741666674</c:v>
                </c:pt>
                <c:pt idx="19">
                  <c:v>4.980985214166668</c:v>
                </c:pt>
                <c:pt idx="20">
                  <c:v>5.0540503258333347</c:v>
                </c:pt>
                <c:pt idx="21">
                  <c:v>5.0766811933333349</c:v>
                </c:pt>
                <c:pt idx="22">
                  <c:v>5.1471552675000005</c:v>
                </c:pt>
                <c:pt idx="23">
                  <c:v>5.241322610000001</c:v>
                </c:pt>
                <c:pt idx="24">
                  <c:v>5.3469991441666673</c:v>
                </c:pt>
                <c:pt idx="25">
                  <c:v>5.4503119016666668</c:v>
                </c:pt>
                <c:pt idx="26">
                  <c:v>5.4008319716666664</c:v>
                </c:pt>
                <c:pt idx="27">
                  <c:v>5.5306704125000001</c:v>
                </c:pt>
                <c:pt idx="28">
                  <c:v>5.7698934966666675</c:v>
                </c:pt>
                <c:pt idx="29">
                  <c:v>5.8242172200000004</c:v>
                </c:pt>
                <c:pt idx="30">
                  <c:v>6.138133961666667</c:v>
                </c:pt>
                <c:pt idx="31">
                  <c:v>6.3366889641666662</c:v>
                </c:pt>
                <c:pt idx="32">
                  <c:v>6.4864422725000006</c:v>
                </c:pt>
                <c:pt idx="33">
                  <c:v>6.6513768375000026</c:v>
                </c:pt>
                <c:pt idx="34">
                  <c:v>7.1667880983333383</c:v>
                </c:pt>
                <c:pt idx="35">
                  <c:v>7.6049856050000031</c:v>
                </c:pt>
                <c:pt idx="36">
                  <c:v>7.9032607616666688</c:v>
                </c:pt>
                <c:pt idx="37">
                  <c:v>8.121077575833338</c:v>
                </c:pt>
                <c:pt idx="38">
                  <c:v>8.3566736600000038</c:v>
                </c:pt>
                <c:pt idx="39">
                  <c:v>8.5337987900000041</c:v>
                </c:pt>
                <c:pt idx="40">
                  <c:v>8.4635278041666684</c:v>
                </c:pt>
                <c:pt idx="41">
                  <c:v>8.4661094733333346</c:v>
                </c:pt>
                <c:pt idx="42">
                  <c:v>8.4945351616666684</c:v>
                </c:pt>
                <c:pt idx="43">
                  <c:v>8.4736931450000004</c:v>
                </c:pt>
                <c:pt idx="44">
                  <c:v>8.2720696100000008</c:v>
                </c:pt>
                <c:pt idx="45">
                  <c:v>8.3785298158333337</c:v>
                </c:pt>
                <c:pt idx="46">
                  <c:v>7.9874278283333311</c:v>
                </c:pt>
                <c:pt idx="47">
                  <c:v>7.6020880349999977</c:v>
                </c:pt>
                <c:pt idx="48">
                  <c:v>7.5438872449999996</c:v>
                </c:pt>
                <c:pt idx="49">
                  <c:v>7.3411747166666643</c:v>
                </c:pt>
                <c:pt idx="50">
                  <c:v>7.4672699991666676</c:v>
                </c:pt>
                <c:pt idx="51">
                  <c:v>7.8083635675000025</c:v>
                </c:pt>
                <c:pt idx="52">
                  <c:v>8.1700360308333355</c:v>
                </c:pt>
                <c:pt idx="53">
                  <c:v>8.3694598283333352</c:v>
                </c:pt>
                <c:pt idx="54">
                  <c:v>8.6157120250000006</c:v>
                </c:pt>
                <c:pt idx="55">
                  <c:v>8.8932741408333325</c:v>
                </c:pt>
                <c:pt idx="56">
                  <c:v>9.1521357716666678</c:v>
                </c:pt>
                <c:pt idx="57">
                  <c:v>9.6202702983333328</c:v>
                </c:pt>
                <c:pt idx="58">
                  <c:v>9.9547276874999984</c:v>
                </c:pt>
                <c:pt idx="59">
                  <c:v>10.210645358333334</c:v>
                </c:pt>
                <c:pt idx="60">
                  <c:v>10.412174059166666</c:v>
                </c:pt>
              </c:numCache>
            </c:numRef>
          </c:val>
        </c:ser>
        <c:marker val="1"/>
        <c:axId val="91230976"/>
        <c:axId val="91233664"/>
      </c:lineChart>
      <c:dateAx>
        <c:axId val="9123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336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233664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3097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[22]Pais_2_media_tek!$E$13:$E$73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[22]Pais_2_media_tek!$F$13:$F$73</c:f>
              <c:numCache>
                <c:formatCode>General</c:formatCode>
                <c:ptCount val="61"/>
                <c:pt idx="0">
                  <c:v>13.030774163333334</c:v>
                </c:pt>
                <c:pt idx="1">
                  <c:v>13.294160651666667</c:v>
                </c:pt>
                <c:pt idx="2">
                  <c:v>13.524751734166665</c:v>
                </c:pt>
                <c:pt idx="3">
                  <c:v>14.061585323333331</c:v>
                </c:pt>
                <c:pt idx="4">
                  <c:v>14.26736159</c:v>
                </c:pt>
                <c:pt idx="5">
                  <c:v>14.735227423333333</c:v>
                </c:pt>
                <c:pt idx="6">
                  <c:v>15.084290462500002</c:v>
                </c:pt>
                <c:pt idx="7">
                  <c:v>15.19982072083333</c:v>
                </c:pt>
                <c:pt idx="8">
                  <c:v>15.350525810833332</c:v>
                </c:pt>
                <c:pt idx="9">
                  <c:v>15.253501369166665</c:v>
                </c:pt>
                <c:pt idx="10">
                  <c:v>15.536694150833332</c:v>
                </c:pt>
                <c:pt idx="11">
                  <c:v>15.537694394999997</c:v>
                </c:pt>
                <c:pt idx="12">
                  <c:v>15.510728574999996</c:v>
                </c:pt>
                <c:pt idx="13">
                  <c:v>15.560067352499997</c:v>
                </c:pt>
                <c:pt idx="14">
                  <c:v>15.762947389999999</c:v>
                </c:pt>
                <c:pt idx="15">
                  <c:v>15.644480734166663</c:v>
                </c:pt>
                <c:pt idx="16">
                  <c:v>16.151176863333333</c:v>
                </c:pt>
                <c:pt idx="17">
                  <c:v>15.979803668333332</c:v>
                </c:pt>
                <c:pt idx="18">
                  <c:v>15.605157124999996</c:v>
                </c:pt>
                <c:pt idx="19">
                  <c:v>15.378703954999997</c:v>
                </c:pt>
                <c:pt idx="20">
                  <c:v>15.212172785</c:v>
                </c:pt>
                <c:pt idx="21">
                  <c:v>15.090638920833333</c:v>
                </c:pt>
                <c:pt idx="22">
                  <c:v>14.543256968333331</c:v>
                </c:pt>
                <c:pt idx="23">
                  <c:v>14.320025574999997</c:v>
                </c:pt>
                <c:pt idx="24">
                  <c:v>14.469086648333331</c:v>
                </c:pt>
                <c:pt idx="25">
                  <c:v>14.267051519166664</c:v>
                </c:pt>
                <c:pt idx="26">
                  <c:v>13.663164091666664</c:v>
                </c:pt>
                <c:pt idx="27">
                  <c:v>14.10579798333333</c:v>
                </c:pt>
                <c:pt idx="28">
                  <c:v>13.859266193333331</c:v>
                </c:pt>
                <c:pt idx="29">
                  <c:v>13.881801153333333</c:v>
                </c:pt>
                <c:pt idx="30">
                  <c:v>14.323623255833333</c:v>
                </c:pt>
                <c:pt idx="31">
                  <c:v>15.141273159166666</c:v>
                </c:pt>
                <c:pt idx="32">
                  <c:v>15.617255004166665</c:v>
                </c:pt>
                <c:pt idx="33">
                  <c:v>16.062979890000001</c:v>
                </c:pt>
                <c:pt idx="34">
                  <c:v>17.064838919166665</c:v>
                </c:pt>
                <c:pt idx="35">
                  <c:v>17.688935939999997</c:v>
                </c:pt>
                <c:pt idx="36">
                  <c:v>18.574947935833332</c:v>
                </c:pt>
                <c:pt idx="37">
                  <c:v>19.206144183333326</c:v>
                </c:pt>
                <c:pt idx="38">
                  <c:v>19.360846466666661</c:v>
                </c:pt>
                <c:pt idx="39">
                  <c:v>18.544429479166666</c:v>
                </c:pt>
                <c:pt idx="40">
                  <c:v>18.274804208333332</c:v>
                </c:pt>
                <c:pt idx="41">
                  <c:v>18.165376016666666</c:v>
                </c:pt>
                <c:pt idx="42">
                  <c:v>17.698717128333335</c:v>
                </c:pt>
                <c:pt idx="43">
                  <c:v>16.649930180833334</c:v>
                </c:pt>
                <c:pt idx="44">
                  <c:v>15.717514138333334</c:v>
                </c:pt>
                <c:pt idx="45">
                  <c:v>15.207555700833332</c:v>
                </c:pt>
                <c:pt idx="46">
                  <c:v>14.159478407500002</c:v>
                </c:pt>
                <c:pt idx="47">
                  <c:v>13.756977645000001</c:v>
                </c:pt>
                <c:pt idx="48">
                  <c:v>12.826695498333331</c:v>
                </c:pt>
                <c:pt idx="49">
                  <c:v>12.116776767499998</c:v>
                </c:pt>
                <c:pt idx="50">
                  <c:v>12.524692974166664</c:v>
                </c:pt>
                <c:pt idx="51">
                  <c:v>13.191359079999998</c:v>
                </c:pt>
                <c:pt idx="52">
                  <c:v>13.710258168333331</c:v>
                </c:pt>
                <c:pt idx="53">
                  <c:v>14.448249940833328</c:v>
                </c:pt>
                <c:pt idx="54">
                  <c:v>14.787538654999997</c:v>
                </c:pt>
                <c:pt idx="55">
                  <c:v>15.029905466666662</c:v>
                </c:pt>
                <c:pt idx="56">
                  <c:v>15.61314302166666</c:v>
                </c:pt>
                <c:pt idx="57">
                  <c:v>16.714314942499996</c:v>
                </c:pt>
                <c:pt idx="58">
                  <c:v>17.724543054999994</c:v>
                </c:pt>
                <c:pt idx="59">
                  <c:v>17.568125190833332</c:v>
                </c:pt>
                <c:pt idx="60">
                  <c:v>17.869587951666666</c:v>
                </c:pt>
              </c:numCache>
            </c:numRef>
          </c:val>
        </c:ser>
        <c:marker val="1"/>
        <c:axId val="91425408"/>
        <c:axId val="91488640"/>
      </c:lineChart>
      <c:dateAx>
        <c:axId val="9142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4886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488640"/>
        <c:scaling>
          <c:orientation val="minMax"/>
          <c:max val="2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4254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[22]Pais_2_alta_tek!$E$13:$E$73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[22]Pais_2_alta_tek!$F$13:$F$73</c:f>
              <c:numCache>
                <c:formatCode>General</c:formatCode>
                <c:ptCount val="61"/>
                <c:pt idx="0">
                  <c:v>2.2414242799999999</c:v>
                </c:pt>
                <c:pt idx="1">
                  <c:v>2.2403919691666667</c:v>
                </c:pt>
                <c:pt idx="2">
                  <c:v>2.2478630483333331</c:v>
                </c:pt>
                <c:pt idx="3">
                  <c:v>2.3681742250000002</c:v>
                </c:pt>
                <c:pt idx="4">
                  <c:v>2.3379756533333333</c:v>
                </c:pt>
                <c:pt idx="5">
                  <c:v>2.5564576608333334</c:v>
                </c:pt>
                <c:pt idx="6">
                  <c:v>2.7129740674999998</c:v>
                </c:pt>
                <c:pt idx="7">
                  <c:v>2.7737501166666667</c:v>
                </c:pt>
                <c:pt idx="8">
                  <c:v>2.906107884166667</c:v>
                </c:pt>
                <c:pt idx="9">
                  <c:v>3.0741632425000005</c:v>
                </c:pt>
                <c:pt idx="10">
                  <c:v>3.3025945049999996</c:v>
                </c:pt>
                <c:pt idx="11">
                  <c:v>3.3736925708333332</c:v>
                </c:pt>
                <c:pt idx="12">
                  <c:v>3.3623539791666666</c:v>
                </c:pt>
                <c:pt idx="13">
                  <c:v>3.3751075658333334</c:v>
                </c:pt>
                <c:pt idx="14">
                  <c:v>3.4166361141666663</c:v>
                </c:pt>
                <c:pt idx="15">
                  <c:v>3.3642064349999998</c:v>
                </c:pt>
                <c:pt idx="16">
                  <c:v>3.3927290833333328</c:v>
                </c:pt>
                <c:pt idx="17">
                  <c:v>3.1571072258333337</c:v>
                </c:pt>
                <c:pt idx="18">
                  <c:v>3.0493845275000004</c:v>
                </c:pt>
                <c:pt idx="19">
                  <c:v>3.0424307208333334</c:v>
                </c:pt>
                <c:pt idx="20">
                  <c:v>2.865887995833333</c:v>
                </c:pt>
                <c:pt idx="21">
                  <c:v>2.7517250583333333</c:v>
                </c:pt>
                <c:pt idx="22">
                  <c:v>2.5716650841666668</c:v>
                </c:pt>
                <c:pt idx="23">
                  <c:v>2.5630517916666671</c:v>
                </c:pt>
                <c:pt idx="24">
                  <c:v>2.645647573333334</c:v>
                </c:pt>
                <c:pt idx="25">
                  <c:v>2.7314204891666667</c:v>
                </c:pt>
                <c:pt idx="26">
                  <c:v>2.7732230650000003</c:v>
                </c:pt>
                <c:pt idx="27">
                  <c:v>2.8158863808333336</c:v>
                </c:pt>
                <c:pt idx="28">
                  <c:v>2.9047652675000002</c:v>
                </c:pt>
                <c:pt idx="29">
                  <c:v>2.8983804950000001</c:v>
                </c:pt>
                <c:pt idx="30">
                  <c:v>3.1844278033333335</c:v>
                </c:pt>
                <c:pt idx="31">
                  <c:v>3.2722760475000001</c:v>
                </c:pt>
                <c:pt idx="32">
                  <c:v>3.4794352333333332</c:v>
                </c:pt>
                <c:pt idx="33">
                  <c:v>3.5724137149999997</c:v>
                </c:pt>
                <c:pt idx="34">
                  <c:v>3.7073510866666664</c:v>
                </c:pt>
                <c:pt idx="35">
                  <c:v>3.7232216216666671</c:v>
                </c:pt>
                <c:pt idx="36">
                  <c:v>3.6888610200000005</c:v>
                </c:pt>
                <c:pt idx="37">
                  <c:v>3.601774438333333</c:v>
                </c:pt>
                <c:pt idx="38">
                  <c:v>3.6341252091666667</c:v>
                </c:pt>
                <c:pt idx="39">
                  <c:v>3.8137848216666659</c:v>
                </c:pt>
                <c:pt idx="40">
                  <c:v>4.0168574425000001</c:v>
                </c:pt>
                <c:pt idx="41">
                  <c:v>4.2996868541666666</c:v>
                </c:pt>
                <c:pt idx="42">
                  <c:v>4.1193899283333337</c:v>
                </c:pt>
                <c:pt idx="43">
                  <c:v>4.1177663858333338</c:v>
                </c:pt>
                <c:pt idx="44">
                  <c:v>4.120306096666666</c:v>
                </c:pt>
                <c:pt idx="45">
                  <c:v>4.2207682091666667</c:v>
                </c:pt>
                <c:pt idx="46">
                  <c:v>4.3786362216666666</c:v>
                </c:pt>
                <c:pt idx="47">
                  <c:v>4.4493777950000002</c:v>
                </c:pt>
                <c:pt idx="48">
                  <c:v>4.5987516108333333</c:v>
                </c:pt>
                <c:pt idx="49">
                  <c:v>4.6053398900000007</c:v>
                </c:pt>
                <c:pt idx="50">
                  <c:v>4.5264402874999998</c:v>
                </c:pt>
                <c:pt idx="51">
                  <c:v>4.3431255991666662</c:v>
                </c:pt>
                <c:pt idx="52">
                  <c:v>4.1804316391666658</c:v>
                </c:pt>
                <c:pt idx="53">
                  <c:v>4.0226584624999999</c:v>
                </c:pt>
                <c:pt idx="54">
                  <c:v>3.9059437466666664</c:v>
                </c:pt>
                <c:pt idx="55">
                  <c:v>3.8813911983333331</c:v>
                </c:pt>
                <c:pt idx="56">
                  <c:v>3.8504937966666666</c:v>
                </c:pt>
                <c:pt idx="57">
                  <c:v>3.8332876916666669</c:v>
                </c:pt>
                <c:pt idx="58">
                  <c:v>5.1566479475000007</c:v>
                </c:pt>
                <c:pt idx="59">
                  <c:v>5.1669510050000014</c:v>
                </c:pt>
                <c:pt idx="60">
                  <c:v>5.106375152500001</c:v>
                </c:pt>
              </c:numCache>
            </c:numRef>
          </c:val>
        </c:ser>
        <c:marker val="1"/>
        <c:axId val="91656192"/>
        <c:axId val="91657728"/>
      </c:lineChart>
      <c:dateAx>
        <c:axId val="91656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577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657728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5619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[22]Pais_3!$E$13:$E$73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[22]Pais_3!$F$13:$F$73</c:f>
              <c:numCache>
                <c:formatCode>General</c:formatCode>
                <c:ptCount val="61"/>
                <c:pt idx="0">
                  <c:v>45.171871737499991</c:v>
                </c:pt>
                <c:pt idx="1">
                  <c:v>45.951070667499984</c:v>
                </c:pt>
                <c:pt idx="2">
                  <c:v>48.192281390833323</c:v>
                </c:pt>
                <c:pt idx="3">
                  <c:v>50.484646976666632</c:v>
                </c:pt>
                <c:pt idx="4">
                  <c:v>50.485210056666652</c:v>
                </c:pt>
                <c:pt idx="5">
                  <c:v>50.835225150833331</c:v>
                </c:pt>
                <c:pt idx="6">
                  <c:v>51.199179458333333</c:v>
                </c:pt>
                <c:pt idx="7">
                  <c:v>51.493069476666655</c:v>
                </c:pt>
                <c:pt idx="8">
                  <c:v>53.317499474166659</c:v>
                </c:pt>
                <c:pt idx="9">
                  <c:v>55.048550365833343</c:v>
                </c:pt>
                <c:pt idx="10">
                  <c:v>57.611603047500012</c:v>
                </c:pt>
                <c:pt idx="11">
                  <c:v>60.095793292499998</c:v>
                </c:pt>
                <c:pt idx="12">
                  <c:v>62.353987021666661</c:v>
                </c:pt>
                <c:pt idx="13">
                  <c:v>63.949717029166656</c:v>
                </c:pt>
                <c:pt idx="14">
                  <c:v>65.595158850833329</c:v>
                </c:pt>
                <c:pt idx="15">
                  <c:v>68.041004352499996</c:v>
                </c:pt>
                <c:pt idx="16">
                  <c:v>70.57508751666667</c:v>
                </c:pt>
                <c:pt idx="17">
                  <c:v>74.570555538333323</c:v>
                </c:pt>
                <c:pt idx="18">
                  <c:v>77.75068486166667</c:v>
                </c:pt>
                <c:pt idx="19">
                  <c:v>82.394450996666663</c:v>
                </c:pt>
                <c:pt idx="20">
                  <c:v>87.151205061666687</c:v>
                </c:pt>
                <c:pt idx="21">
                  <c:v>90.878683924166637</c:v>
                </c:pt>
                <c:pt idx="22">
                  <c:v>96.084488294999986</c:v>
                </c:pt>
                <c:pt idx="23">
                  <c:v>103.05068921416667</c:v>
                </c:pt>
                <c:pt idx="24">
                  <c:v>109.11022714249999</c:v>
                </c:pt>
                <c:pt idx="25">
                  <c:v>112.02680090500002</c:v>
                </c:pt>
                <c:pt idx="26">
                  <c:v>115.87663665083336</c:v>
                </c:pt>
                <c:pt idx="27">
                  <c:v>115.23035497500005</c:v>
                </c:pt>
                <c:pt idx="28">
                  <c:v>120.1384663308334</c:v>
                </c:pt>
                <c:pt idx="29">
                  <c:v>121.74114139916669</c:v>
                </c:pt>
                <c:pt idx="30">
                  <c:v>121.06276686333337</c:v>
                </c:pt>
                <c:pt idx="31">
                  <c:v>120.97074395083337</c:v>
                </c:pt>
                <c:pt idx="32">
                  <c:v>118.43014143333339</c:v>
                </c:pt>
                <c:pt idx="33">
                  <c:v>115.33356286666672</c:v>
                </c:pt>
                <c:pt idx="34">
                  <c:v>116.58430098166674</c:v>
                </c:pt>
                <c:pt idx="35">
                  <c:v>112.87927946833344</c:v>
                </c:pt>
                <c:pt idx="36">
                  <c:v>110.6893016075001</c:v>
                </c:pt>
                <c:pt idx="37">
                  <c:v>109.1073894958334</c:v>
                </c:pt>
                <c:pt idx="38">
                  <c:v>107.05737386833339</c:v>
                </c:pt>
                <c:pt idx="39">
                  <c:v>107.35083741250003</c:v>
                </c:pt>
                <c:pt idx="40">
                  <c:v>100.93407012833336</c:v>
                </c:pt>
                <c:pt idx="41">
                  <c:v>99.164111519999992</c:v>
                </c:pt>
                <c:pt idx="42">
                  <c:v>99.422705794166689</c:v>
                </c:pt>
                <c:pt idx="43">
                  <c:v>95.006824379166687</c:v>
                </c:pt>
                <c:pt idx="44">
                  <c:v>91.503335906666692</c:v>
                </c:pt>
                <c:pt idx="45">
                  <c:v>90.034921106666687</c:v>
                </c:pt>
                <c:pt idx="46">
                  <c:v>81.374432404166683</c:v>
                </c:pt>
                <c:pt idx="47">
                  <c:v>75.483086149999991</c:v>
                </c:pt>
                <c:pt idx="48">
                  <c:v>68.45559328749998</c:v>
                </c:pt>
                <c:pt idx="49">
                  <c:v>64.120771120000001</c:v>
                </c:pt>
                <c:pt idx="50">
                  <c:v>59.858429481666654</c:v>
                </c:pt>
                <c:pt idx="51">
                  <c:v>56.10499506</c:v>
                </c:pt>
                <c:pt idx="52">
                  <c:v>53.996618374166673</c:v>
                </c:pt>
                <c:pt idx="53">
                  <c:v>48.999321677500014</c:v>
                </c:pt>
                <c:pt idx="54">
                  <c:v>43.82051807666668</c:v>
                </c:pt>
                <c:pt idx="55">
                  <c:v>41.195742134166672</c:v>
                </c:pt>
                <c:pt idx="56">
                  <c:v>38.330820054166672</c:v>
                </c:pt>
                <c:pt idx="57">
                  <c:v>34.55777914916667</c:v>
                </c:pt>
                <c:pt idx="58">
                  <c:v>32.021908273333338</c:v>
                </c:pt>
                <c:pt idx="59">
                  <c:v>29.502944209166674</c:v>
                </c:pt>
                <c:pt idx="60">
                  <c:v>28.781717730000015</c:v>
                </c:pt>
              </c:numCache>
            </c:numRef>
          </c:val>
        </c:ser>
        <c:marker val="1"/>
        <c:axId val="91731072"/>
        <c:axId val="91732992"/>
      </c:lineChart>
      <c:dateAx>
        <c:axId val="91731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329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732992"/>
        <c:scaling>
          <c:orientation val="minMax"/>
          <c:max val="13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3107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[22]Pais_3_primarios!$E$13:$E$73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[22]Pais_3_primarios!$F$13:$F$73</c:f>
              <c:numCache>
                <c:formatCode>General</c:formatCode>
                <c:ptCount val="61"/>
                <c:pt idx="0">
                  <c:v>0.72245876166666678</c:v>
                </c:pt>
                <c:pt idx="1">
                  <c:v>0.76224539916666678</c:v>
                </c:pt>
                <c:pt idx="2">
                  <c:v>0.87054271750000023</c:v>
                </c:pt>
                <c:pt idx="3">
                  <c:v>0.59703881666666669</c:v>
                </c:pt>
                <c:pt idx="4">
                  <c:v>0.55783192333333331</c:v>
                </c:pt>
                <c:pt idx="5">
                  <c:v>0.54822302499999997</c:v>
                </c:pt>
                <c:pt idx="6">
                  <c:v>0.50035010916666667</c:v>
                </c:pt>
                <c:pt idx="7">
                  <c:v>0.68175306666666657</c:v>
                </c:pt>
                <c:pt idx="8">
                  <c:v>0.94963558416666682</c:v>
                </c:pt>
                <c:pt idx="9">
                  <c:v>0.93961226333333336</c:v>
                </c:pt>
                <c:pt idx="10">
                  <c:v>1.3743284908333333</c:v>
                </c:pt>
                <c:pt idx="11">
                  <c:v>1.387950665</c:v>
                </c:pt>
                <c:pt idx="12">
                  <c:v>1.5839300366666667</c:v>
                </c:pt>
                <c:pt idx="13">
                  <c:v>1.7866211541666666</c:v>
                </c:pt>
                <c:pt idx="14">
                  <c:v>1.8098245758333336</c:v>
                </c:pt>
                <c:pt idx="15">
                  <c:v>2.0219514508333334</c:v>
                </c:pt>
                <c:pt idx="16">
                  <c:v>2.0262183441666668</c:v>
                </c:pt>
                <c:pt idx="17">
                  <c:v>2.0399472158333336</c:v>
                </c:pt>
                <c:pt idx="18">
                  <c:v>2.4357321091666666</c:v>
                </c:pt>
                <c:pt idx="19">
                  <c:v>2.5617016408333333</c:v>
                </c:pt>
                <c:pt idx="20">
                  <c:v>2.8253527158333331</c:v>
                </c:pt>
                <c:pt idx="21">
                  <c:v>3.07890036</c:v>
                </c:pt>
                <c:pt idx="22">
                  <c:v>2.8120545725000006</c:v>
                </c:pt>
                <c:pt idx="23">
                  <c:v>3.0514109483333338</c:v>
                </c:pt>
                <c:pt idx="24">
                  <c:v>2.9459603566666672</c:v>
                </c:pt>
                <c:pt idx="25">
                  <c:v>2.7559425725000004</c:v>
                </c:pt>
                <c:pt idx="26">
                  <c:v>3.4281154083333338</c:v>
                </c:pt>
                <c:pt idx="27">
                  <c:v>3.7384319308333342</c:v>
                </c:pt>
                <c:pt idx="28">
                  <c:v>4.1166495358333339</c:v>
                </c:pt>
                <c:pt idx="29">
                  <c:v>5.2202420133333343</c:v>
                </c:pt>
                <c:pt idx="30">
                  <c:v>5.4337233691666675</c:v>
                </c:pt>
                <c:pt idx="31">
                  <c:v>5.9234913674999996</c:v>
                </c:pt>
                <c:pt idx="32">
                  <c:v>5.7452092508333337</c:v>
                </c:pt>
                <c:pt idx="33">
                  <c:v>5.4812625441666674</c:v>
                </c:pt>
                <c:pt idx="34">
                  <c:v>5.3937150058333332</c:v>
                </c:pt>
                <c:pt idx="35">
                  <c:v>5.3073517208333332</c:v>
                </c:pt>
                <c:pt idx="36">
                  <c:v>5.4340102733333344</c:v>
                </c:pt>
                <c:pt idx="37">
                  <c:v>5.4801087358333334</c:v>
                </c:pt>
                <c:pt idx="38">
                  <c:v>4.7978621366666658</c:v>
                </c:pt>
                <c:pt idx="39">
                  <c:v>4.3958611183333334</c:v>
                </c:pt>
                <c:pt idx="40">
                  <c:v>4.1984795291666659</c:v>
                </c:pt>
                <c:pt idx="41">
                  <c:v>3.2119336700000001</c:v>
                </c:pt>
                <c:pt idx="42">
                  <c:v>2.8030510808333342</c:v>
                </c:pt>
                <c:pt idx="43">
                  <c:v>2.0585262558333333</c:v>
                </c:pt>
                <c:pt idx="44">
                  <c:v>1.6915972141666664</c:v>
                </c:pt>
                <c:pt idx="45">
                  <c:v>1.6750972141666667</c:v>
                </c:pt>
                <c:pt idx="46">
                  <c:v>1.5845001208333336</c:v>
                </c:pt>
                <c:pt idx="47">
                  <c:v>1.4281608366666667</c:v>
                </c:pt>
                <c:pt idx="48">
                  <c:v>1.1892034191666665</c:v>
                </c:pt>
                <c:pt idx="49">
                  <c:v>1.0903182900000001</c:v>
                </c:pt>
                <c:pt idx="50">
                  <c:v>0.98136474166666676</c:v>
                </c:pt>
                <c:pt idx="51">
                  <c:v>0.86331885666666663</c:v>
                </c:pt>
                <c:pt idx="52">
                  <c:v>0.67804175749999995</c:v>
                </c:pt>
                <c:pt idx="53">
                  <c:v>0.51870633249999998</c:v>
                </c:pt>
                <c:pt idx="54">
                  <c:v>0.35072826333333329</c:v>
                </c:pt>
                <c:pt idx="55">
                  <c:v>0.34036840916666661</c:v>
                </c:pt>
                <c:pt idx="56">
                  <c:v>0.31581678416666664</c:v>
                </c:pt>
                <c:pt idx="57">
                  <c:v>0.31241897166666666</c:v>
                </c:pt>
                <c:pt idx="58">
                  <c:v>0.3153021133333333</c:v>
                </c:pt>
                <c:pt idx="59">
                  <c:v>0.30639413249999997</c:v>
                </c:pt>
                <c:pt idx="60">
                  <c:v>0.2942072641666667</c:v>
                </c:pt>
              </c:numCache>
            </c:numRef>
          </c:val>
        </c:ser>
        <c:marker val="1"/>
        <c:axId val="91876736"/>
        <c:axId val="92116096"/>
      </c:lineChart>
      <c:dateAx>
        <c:axId val="91876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160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116096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7673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[22]Pais_3_rec_naturales!$E$13:$E$73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[22]Pais_3_rec_naturales!$F$13:$F$73</c:f>
              <c:numCache>
                <c:formatCode>General</c:formatCode>
                <c:ptCount val="61"/>
                <c:pt idx="0">
                  <c:v>2.9392427141666668</c:v>
                </c:pt>
                <c:pt idx="1">
                  <c:v>2.8975642525</c:v>
                </c:pt>
                <c:pt idx="2">
                  <c:v>2.9039500433333334</c:v>
                </c:pt>
                <c:pt idx="3">
                  <c:v>3.0429698691666665</c:v>
                </c:pt>
                <c:pt idx="4">
                  <c:v>3.0878164091666664</c:v>
                </c:pt>
                <c:pt idx="5">
                  <c:v>3.0693009341666664</c:v>
                </c:pt>
                <c:pt idx="6">
                  <c:v>3.0721836191666658</c:v>
                </c:pt>
                <c:pt idx="7">
                  <c:v>3.2538335191666667</c:v>
                </c:pt>
                <c:pt idx="8">
                  <c:v>3.4615202349999996</c:v>
                </c:pt>
                <c:pt idx="9">
                  <c:v>3.5239567616666663</c:v>
                </c:pt>
                <c:pt idx="10">
                  <c:v>3.5999993216666666</c:v>
                </c:pt>
                <c:pt idx="11">
                  <c:v>3.704664146666667</c:v>
                </c:pt>
                <c:pt idx="12">
                  <c:v>3.9155276550000018</c:v>
                </c:pt>
                <c:pt idx="13">
                  <c:v>4.0496541150000018</c:v>
                </c:pt>
                <c:pt idx="14">
                  <c:v>4.3764391525000015</c:v>
                </c:pt>
                <c:pt idx="15">
                  <c:v>4.5254605166666684</c:v>
                </c:pt>
                <c:pt idx="16">
                  <c:v>4.8338527525000012</c:v>
                </c:pt>
                <c:pt idx="17">
                  <c:v>5.1665184516666685</c:v>
                </c:pt>
                <c:pt idx="18">
                  <c:v>5.4130557000000019</c:v>
                </c:pt>
                <c:pt idx="19">
                  <c:v>5.7431692908333352</c:v>
                </c:pt>
                <c:pt idx="20">
                  <c:v>6.1489527225000016</c:v>
                </c:pt>
                <c:pt idx="21">
                  <c:v>6.6498048641666685</c:v>
                </c:pt>
                <c:pt idx="22">
                  <c:v>7.0946434566666694</c:v>
                </c:pt>
                <c:pt idx="23">
                  <c:v>7.411934733333335</c:v>
                </c:pt>
                <c:pt idx="24">
                  <c:v>7.7491360474999995</c:v>
                </c:pt>
                <c:pt idx="25">
                  <c:v>8.1924553424999988</c:v>
                </c:pt>
                <c:pt idx="26">
                  <c:v>8.4518365458333324</c:v>
                </c:pt>
                <c:pt idx="27">
                  <c:v>8.6582848408333337</c:v>
                </c:pt>
                <c:pt idx="28">
                  <c:v>9.1830702583333341</c:v>
                </c:pt>
                <c:pt idx="29">
                  <c:v>9.5639654616666672</c:v>
                </c:pt>
                <c:pt idx="30">
                  <c:v>10.103427743333334</c:v>
                </c:pt>
                <c:pt idx="31">
                  <c:v>10.4682793525</c:v>
                </c:pt>
                <c:pt idx="32">
                  <c:v>10.741363327499998</c:v>
                </c:pt>
                <c:pt idx="33">
                  <c:v>10.534449021666665</c:v>
                </c:pt>
                <c:pt idx="34">
                  <c:v>11.179894403333334</c:v>
                </c:pt>
                <c:pt idx="35">
                  <c:v>11.767832991666666</c:v>
                </c:pt>
                <c:pt idx="36">
                  <c:v>12.611879357500001</c:v>
                </c:pt>
                <c:pt idx="37">
                  <c:v>12.893787010000002</c:v>
                </c:pt>
                <c:pt idx="38">
                  <c:v>13.490847310833333</c:v>
                </c:pt>
                <c:pt idx="39">
                  <c:v>13.937448957500001</c:v>
                </c:pt>
                <c:pt idx="40">
                  <c:v>13.569552232500001</c:v>
                </c:pt>
                <c:pt idx="41">
                  <c:v>13.241491585000004</c:v>
                </c:pt>
                <c:pt idx="42">
                  <c:v>12.634964381666668</c:v>
                </c:pt>
                <c:pt idx="43">
                  <c:v>12.248898695000001</c:v>
                </c:pt>
                <c:pt idx="44">
                  <c:v>11.852029513333333</c:v>
                </c:pt>
                <c:pt idx="45">
                  <c:v>11.846274045833333</c:v>
                </c:pt>
                <c:pt idx="46">
                  <c:v>11.065102688333333</c:v>
                </c:pt>
                <c:pt idx="47">
                  <c:v>10.244719850000001</c:v>
                </c:pt>
                <c:pt idx="48">
                  <c:v>9.1610193200000012</c:v>
                </c:pt>
                <c:pt idx="49">
                  <c:v>8.4084240916666673</c:v>
                </c:pt>
                <c:pt idx="50">
                  <c:v>7.4733318591666666</c:v>
                </c:pt>
                <c:pt idx="51">
                  <c:v>6.7385453600000025</c:v>
                </c:pt>
                <c:pt idx="52">
                  <c:v>6.4970165541666693</c:v>
                </c:pt>
                <c:pt idx="53">
                  <c:v>6.1666290258333349</c:v>
                </c:pt>
                <c:pt idx="54">
                  <c:v>5.9090879766666689</c:v>
                </c:pt>
                <c:pt idx="55">
                  <c:v>5.4603531700000021</c:v>
                </c:pt>
                <c:pt idx="56">
                  <c:v>5.0523394316666685</c:v>
                </c:pt>
                <c:pt idx="57">
                  <c:v>4.693811510833334</c:v>
                </c:pt>
                <c:pt idx="58">
                  <c:v>4.308043495833334</c:v>
                </c:pt>
                <c:pt idx="59">
                  <c:v>3.9641255533333335</c:v>
                </c:pt>
                <c:pt idx="60">
                  <c:v>3.6680577991666663</c:v>
                </c:pt>
              </c:numCache>
            </c:numRef>
          </c:val>
        </c:ser>
        <c:marker val="1"/>
        <c:axId val="92231168"/>
        <c:axId val="92232704"/>
      </c:lineChart>
      <c:dateAx>
        <c:axId val="9223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2327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232704"/>
        <c:scaling>
          <c:orientation val="minMax"/>
          <c:max val="1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2311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[22]Pais_3_baja_tek!$E$13:$E$73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[22]Pais_3_baja_tek!$F$13:$F$73</c:f>
              <c:numCache>
                <c:formatCode>General</c:formatCode>
                <c:ptCount val="61"/>
                <c:pt idx="0">
                  <c:v>8.9585019158333363</c:v>
                </c:pt>
                <c:pt idx="1">
                  <c:v>9.2520013833333348</c:v>
                </c:pt>
                <c:pt idx="2">
                  <c:v>9.902457349166669</c:v>
                </c:pt>
                <c:pt idx="3">
                  <c:v>10.32210011666667</c:v>
                </c:pt>
                <c:pt idx="4">
                  <c:v>10.375909593333336</c:v>
                </c:pt>
                <c:pt idx="5">
                  <c:v>10.743968865000001</c:v>
                </c:pt>
                <c:pt idx="6">
                  <c:v>11.165343855000003</c:v>
                </c:pt>
                <c:pt idx="7">
                  <c:v>11.310735965833336</c:v>
                </c:pt>
                <c:pt idx="8">
                  <c:v>11.448187739166665</c:v>
                </c:pt>
                <c:pt idx="9">
                  <c:v>12.009154148333332</c:v>
                </c:pt>
                <c:pt idx="10">
                  <c:v>12.60606259666667</c:v>
                </c:pt>
                <c:pt idx="11">
                  <c:v>13.032698599999998</c:v>
                </c:pt>
                <c:pt idx="12">
                  <c:v>13.47823238583333</c:v>
                </c:pt>
                <c:pt idx="13">
                  <c:v>13.718651912499995</c:v>
                </c:pt>
                <c:pt idx="14">
                  <c:v>14.047229864999997</c:v>
                </c:pt>
                <c:pt idx="15">
                  <c:v>14.629952289999997</c:v>
                </c:pt>
                <c:pt idx="16">
                  <c:v>15.526387234166657</c:v>
                </c:pt>
                <c:pt idx="17">
                  <c:v>16.660483876666657</c:v>
                </c:pt>
                <c:pt idx="18">
                  <c:v>18.057757359166661</c:v>
                </c:pt>
                <c:pt idx="19">
                  <c:v>19.637595629999993</c:v>
                </c:pt>
                <c:pt idx="20">
                  <c:v>22.013453234166658</c:v>
                </c:pt>
                <c:pt idx="21">
                  <c:v>23.70310379999999</c:v>
                </c:pt>
                <c:pt idx="22">
                  <c:v>26.868568359166645</c:v>
                </c:pt>
                <c:pt idx="23">
                  <c:v>29.688209314166642</c:v>
                </c:pt>
                <c:pt idx="24">
                  <c:v>33.323858328333309</c:v>
                </c:pt>
                <c:pt idx="25">
                  <c:v>36.717323428333309</c:v>
                </c:pt>
                <c:pt idx="26">
                  <c:v>39.24542958916664</c:v>
                </c:pt>
                <c:pt idx="27">
                  <c:v>40.733612029999975</c:v>
                </c:pt>
                <c:pt idx="28">
                  <c:v>44.873172354999973</c:v>
                </c:pt>
                <c:pt idx="29">
                  <c:v>47.768658304999974</c:v>
                </c:pt>
                <c:pt idx="30">
                  <c:v>48.504138797499969</c:v>
                </c:pt>
                <c:pt idx="31">
                  <c:v>49.333551312499971</c:v>
                </c:pt>
                <c:pt idx="32">
                  <c:v>49.053593393333301</c:v>
                </c:pt>
                <c:pt idx="33">
                  <c:v>48.988728966666635</c:v>
                </c:pt>
                <c:pt idx="34">
                  <c:v>51.378016036666672</c:v>
                </c:pt>
                <c:pt idx="35">
                  <c:v>51.272131560833344</c:v>
                </c:pt>
                <c:pt idx="36">
                  <c:v>50.321825247499987</c:v>
                </c:pt>
                <c:pt idx="37">
                  <c:v>48.448406519999992</c:v>
                </c:pt>
                <c:pt idx="38">
                  <c:v>47.808061170833305</c:v>
                </c:pt>
                <c:pt idx="39">
                  <c:v>48.294979869999985</c:v>
                </c:pt>
                <c:pt idx="40">
                  <c:v>44.467606974999995</c:v>
                </c:pt>
                <c:pt idx="41">
                  <c:v>44.283996439166664</c:v>
                </c:pt>
                <c:pt idx="42">
                  <c:v>45.002830533333338</c:v>
                </c:pt>
                <c:pt idx="43">
                  <c:v>43.355471829166675</c:v>
                </c:pt>
                <c:pt idx="44">
                  <c:v>41.968183801666669</c:v>
                </c:pt>
                <c:pt idx="45">
                  <c:v>40.696879727500004</c:v>
                </c:pt>
                <c:pt idx="46">
                  <c:v>35.346276072499982</c:v>
                </c:pt>
                <c:pt idx="47">
                  <c:v>32.308958599166651</c:v>
                </c:pt>
                <c:pt idx="48">
                  <c:v>29.545250625833333</c:v>
                </c:pt>
                <c:pt idx="49">
                  <c:v>27.979783473333338</c:v>
                </c:pt>
                <c:pt idx="50">
                  <c:v>26.4481731875</c:v>
                </c:pt>
                <c:pt idx="51">
                  <c:v>24.277376261666671</c:v>
                </c:pt>
                <c:pt idx="52">
                  <c:v>23.537168062499997</c:v>
                </c:pt>
                <c:pt idx="53">
                  <c:v>20.036895266666658</c:v>
                </c:pt>
                <c:pt idx="54">
                  <c:v>17.320866797499988</c:v>
                </c:pt>
                <c:pt idx="55">
                  <c:v>16.439830814166658</c:v>
                </c:pt>
                <c:pt idx="56">
                  <c:v>15.572139845833329</c:v>
                </c:pt>
                <c:pt idx="57">
                  <c:v>14.576356732499997</c:v>
                </c:pt>
                <c:pt idx="58">
                  <c:v>13.731152785833332</c:v>
                </c:pt>
                <c:pt idx="59">
                  <c:v>13.182450066666663</c:v>
                </c:pt>
                <c:pt idx="60">
                  <c:v>13.460304984166667</c:v>
                </c:pt>
              </c:numCache>
            </c:numRef>
          </c:val>
        </c:ser>
        <c:marker val="1"/>
        <c:axId val="92560000"/>
        <c:axId val="92562560"/>
      </c:lineChart>
      <c:dateAx>
        <c:axId val="92560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5625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56256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5600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[22]Pais_3_media_tek!$E$13:$E$73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[22]Pais_3_media_tek!$F$13:$F$73</c:f>
              <c:numCache>
                <c:formatCode>General</c:formatCode>
                <c:ptCount val="61"/>
                <c:pt idx="0">
                  <c:v>26.762175675833333</c:v>
                </c:pt>
                <c:pt idx="1">
                  <c:v>26.9020476</c:v>
                </c:pt>
                <c:pt idx="2">
                  <c:v>28.067624822499997</c:v>
                </c:pt>
                <c:pt idx="3">
                  <c:v>29.712601804999995</c:v>
                </c:pt>
                <c:pt idx="4">
                  <c:v>29.651662378333331</c:v>
                </c:pt>
                <c:pt idx="5">
                  <c:v>29.544628370833337</c:v>
                </c:pt>
                <c:pt idx="6">
                  <c:v>29.161600337500005</c:v>
                </c:pt>
                <c:pt idx="7">
                  <c:v>28.921182566666669</c:v>
                </c:pt>
                <c:pt idx="8">
                  <c:v>29.834371399999995</c:v>
                </c:pt>
                <c:pt idx="9">
                  <c:v>30.734638095833336</c:v>
                </c:pt>
                <c:pt idx="10">
                  <c:v>32.051422429999995</c:v>
                </c:pt>
                <c:pt idx="11">
                  <c:v>33.820559150833326</c:v>
                </c:pt>
                <c:pt idx="12">
                  <c:v>35.111227465833331</c:v>
                </c:pt>
                <c:pt idx="13">
                  <c:v>35.75170310499999</c:v>
                </c:pt>
                <c:pt idx="14">
                  <c:v>36.893599919166661</c:v>
                </c:pt>
                <c:pt idx="15">
                  <c:v>37.914349261666658</c:v>
                </c:pt>
                <c:pt idx="16">
                  <c:v>39.045776649166669</c:v>
                </c:pt>
                <c:pt idx="17">
                  <c:v>40.865266865833341</c:v>
                </c:pt>
                <c:pt idx="18">
                  <c:v>42.046363484999993</c:v>
                </c:pt>
                <c:pt idx="19">
                  <c:v>44.095475957500007</c:v>
                </c:pt>
                <c:pt idx="20">
                  <c:v>45.574407512500009</c:v>
                </c:pt>
                <c:pt idx="21">
                  <c:v>46.672113530833343</c:v>
                </c:pt>
                <c:pt idx="22">
                  <c:v>48.312377197500012</c:v>
                </c:pt>
                <c:pt idx="23">
                  <c:v>51.744964415833344</c:v>
                </c:pt>
                <c:pt idx="24">
                  <c:v>53.547887440833335</c:v>
                </c:pt>
                <c:pt idx="25">
                  <c:v>52.820421495000005</c:v>
                </c:pt>
                <c:pt idx="26">
                  <c:v>52.785449456666676</c:v>
                </c:pt>
                <c:pt idx="27">
                  <c:v>50.195506468333349</c:v>
                </c:pt>
                <c:pt idx="28">
                  <c:v>49.374779342500013</c:v>
                </c:pt>
                <c:pt idx="29">
                  <c:v>46.851530019166681</c:v>
                </c:pt>
                <c:pt idx="30">
                  <c:v>44.528222798333339</c:v>
                </c:pt>
                <c:pt idx="31">
                  <c:v>42.088375078333343</c:v>
                </c:pt>
                <c:pt idx="32">
                  <c:v>39.503833186666675</c:v>
                </c:pt>
                <c:pt idx="33">
                  <c:v>36.965182669999997</c:v>
                </c:pt>
                <c:pt idx="34">
                  <c:v>34.674908570000007</c:v>
                </c:pt>
                <c:pt idx="35">
                  <c:v>29.982141770833337</c:v>
                </c:pt>
                <c:pt idx="36">
                  <c:v>27.50068207833333</c:v>
                </c:pt>
                <c:pt idx="37">
                  <c:v>27.340352234166673</c:v>
                </c:pt>
                <c:pt idx="38">
                  <c:v>25.504474954166668</c:v>
                </c:pt>
                <c:pt idx="39">
                  <c:v>25.367513900833334</c:v>
                </c:pt>
                <c:pt idx="40">
                  <c:v>23.914048293333334</c:v>
                </c:pt>
                <c:pt idx="41">
                  <c:v>23.488162486666667</c:v>
                </c:pt>
                <c:pt idx="42">
                  <c:v>23.345262899999998</c:v>
                </c:pt>
                <c:pt idx="43">
                  <c:v>22.659910567500003</c:v>
                </c:pt>
                <c:pt idx="44">
                  <c:v>21.421951221666671</c:v>
                </c:pt>
                <c:pt idx="45">
                  <c:v>20.40153346166667</c:v>
                </c:pt>
                <c:pt idx="46">
                  <c:v>18.552485430000001</c:v>
                </c:pt>
                <c:pt idx="47">
                  <c:v>16.787521738333336</c:v>
                </c:pt>
                <c:pt idx="48">
                  <c:v>14.291991547500004</c:v>
                </c:pt>
                <c:pt idx="49">
                  <c:v>13.332562176666672</c:v>
                </c:pt>
                <c:pt idx="50">
                  <c:v>12.44845763166667</c:v>
                </c:pt>
                <c:pt idx="51">
                  <c:v>11.808564876666672</c:v>
                </c:pt>
                <c:pt idx="52">
                  <c:v>11.301564370833338</c:v>
                </c:pt>
                <c:pt idx="53">
                  <c:v>10.645160762500003</c:v>
                </c:pt>
                <c:pt idx="54">
                  <c:v>9.9906065691666708</c:v>
                </c:pt>
                <c:pt idx="55">
                  <c:v>9.3762902075000021</c:v>
                </c:pt>
                <c:pt idx="56">
                  <c:v>8.8229507483333336</c:v>
                </c:pt>
                <c:pt idx="57">
                  <c:v>7.9920930941666697</c:v>
                </c:pt>
                <c:pt idx="58">
                  <c:v>7.3804959775000016</c:v>
                </c:pt>
                <c:pt idx="59">
                  <c:v>6.9811117500000011</c:v>
                </c:pt>
                <c:pt idx="60">
                  <c:v>6.929612360000001</c:v>
                </c:pt>
              </c:numCache>
            </c:numRef>
          </c:val>
        </c:ser>
        <c:marker val="1"/>
        <c:axId val="92788224"/>
        <c:axId val="92789760"/>
      </c:lineChart>
      <c:dateAx>
        <c:axId val="92788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89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78976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882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[22]Pais_3_alta_tek!$E$13:$E$73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[22]Pais_3_alta_tek!$F$13:$F$73</c:f>
              <c:numCache>
                <c:formatCode>General</c:formatCode>
                <c:ptCount val="61"/>
                <c:pt idx="0">
                  <c:v>4.6549863449999984</c:v>
                </c:pt>
                <c:pt idx="1">
                  <c:v>4.9842317608333326</c:v>
                </c:pt>
                <c:pt idx="2">
                  <c:v>5.2778830108333334</c:v>
                </c:pt>
                <c:pt idx="3">
                  <c:v>5.5833145833333333</c:v>
                </c:pt>
                <c:pt idx="4">
                  <c:v>5.6072105416666664</c:v>
                </c:pt>
                <c:pt idx="5">
                  <c:v>5.7106665441666671</c:v>
                </c:pt>
                <c:pt idx="6">
                  <c:v>6.0394283316666675</c:v>
                </c:pt>
                <c:pt idx="7">
                  <c:v>6.0446042033333329</c:v>
                </c:pt>
                <c:pt idx="8">
                  <c:v>6.3065609549999984</c:v>
                </c:pt>
                <c:pt idx="9">
                  <c:v>6.5273823991666644</c:v>
                </c:pt>
                <c:pt idx="10">
                  <c:v>6.6042700941666643</c:v>
                </c:pt>
                <c:pt idx="11">
                  <c:v>6.6557159566666648</c:v>
                </c:pt>
                <c:pt idx="12">
                  <c:v>6.7682001466666648</c:v>
                </c:pt>
                <c:pt idx="13">
                  <c:v>7.1205918233333323</c:v>
                </c:pt>
                <c:pt idx="14">
                  <c:v>6.9020478708333313</c:v>
                </c:pt>
                <c:pt idx="15">
                  <c:v>7.4189882991666645</c:v>
                </c:pt>
                <c:pt idx="16">
                  <c:v>7.4509062074999983</c:v>
                </c:pt>
                <c:pt idx="17">
                  <c:v>7.9732101774999977</c:v>
                </c:pt>
                <c:pt idx="18">
                  <c:v>7.7922941458333312</c:v>
                </c:pt>
                <c:pt idx="19">
                  <c:v>8.3141923874999986</c:v>
                </c:pt>
                <c:pt idx="20">
                  <c:v>8.3861495991666679</c:v>
                </c:pt>
                <c:pt idx="21">
                  <c:v>8.394184162500002</c:v>
                </c:pt>
                <c:pt idx="22">
                  <c:v>8.4555182766666697</c:v>
                </c:pt>
                <c:pt idx="23">
                  <c:v>8.6093733033333351</c:v>
                </c:pt>
                <c:pt idx="24">
                  <c:v>8.8464902891666686</c:v>
                </c:pt>
                <c:pt idx="25">
                  <c:v>8.7058048966666686</c:v>
                </c:pt>
                <c:pt idx="26">
                  <c:v>9.0700061475000027</c:v>
                </c:pt>
                <c:pt idx="27">
                  <c:v>9.0044845725000009</c:v>
                </c:pt>
                <c:pt idx="28">
                  <c:v>9.6655301224999999</c:v>
                </c:pt>
                <c:pt idx="29">
                  <c:v>9.4772868525000007</c:v>
                </c:pt>
                <c:pt idx="30">
                  <c:v>9.7507523375000016</c:v>
                </c:pt>
                <c:pt idx="31">
                  <c:v>10.343316179166665</c:v>
                </c:pt>
                <c:pt idx="32">
                  <c:v>10.561931459999998</c:v>
                </c:pt>
                <c:pt idx="33">
                  <c:v>10.595934776666665</c:v>
                </c:pt>
                <c:pt idx="34">
                  <c:v>10.809300416666664</c:v>
                </c:pt>
                <c:pt idx="35">
                  <c:v>11.207250076666666</c:v>
                </c:pt>
                <c:pt idx="36">
                  <c:v>11.255780549999997</c:v>
                </c:pt>
                <c:pt idx="37">
                  <c:v>11.116666426666663</c:v>
                </c:pt>
                <c:pt idx="38">
                  <c:v>11.511114357499997</c:v>
                </c:pt>
                <c:pt idx="39">
                  <c:v>11.309220811666664</c:v>
                </c:pt>
                <c:pt idx="40">
                  <c:v>10.854074821666666</c:v>
                </c:pt>
                <c:pt idx="41">
                  <c:v>10.9709471475</c:v>
                </c:pt>
                <c:pt idx="42">
                  <c:v>11.562207866666668</c:v>
                </c:pt>
                <c:pt idx="43">
                  <c:v>10.521758835833335</c:v>
                </c:pt>
                <c:pt idx="44">
                  <c:v>10.494856540000002</c:v>
                </c:pt>
                <c:pt idx="45">
                  <c:v>11.373039350833336</c:v>
                </c:pt>
                <c:pt idx="46">
                  <c:v>11.335663869166666</c:v>
                </c:pt>
                <c:pt idx="47">
                  <c:v>11.550103125000001</c:v>
                </c:pt>
                <c:pt idx="48">
                  <c:v>11.422509439999999</c:v>
                </c:pt>
                <c:pt idx="49">
                  <c:v>10.905485292500002</c:v>
                </c:pt>
                <c:pt idx="50">
                  <c:v>10.281076274166669</c:v>
                </c:pt>
                <c:pt idx="51">
                  <c:v>10.304920988333334</c:v>
                </c:pt>
                <c:pt idx="52">
                  <c:v>9.8734544325000009</c:v>
                </c:pt>
                <c:pt idx="53">
                  <c:v>9.4154372258333332</c:v>
                </c:pt>
                <c:pt idx="54">
                  <c:v>8.1435203349999998</c:v>
                </c:pt>
                <c:pt idx="55">
                  <c:v>7.6986783791666653</c:v>
                </c:pt>
                <c:pt idx="56">
                  <c:v>6.8293972591666661</c:v>
                </c:pt>
                <c:pt idx="57">
                  <c:v>5.3399438208333336</c:v>
                </c:pt>
                <c:pt idx="58">
                  <c:v>4.7135059900000007</c:v>
                </c:pt>
                <c:pt idx="59">
                  <c:v>3.5349332208333326</c:v>
                </c:pt>
                <c:pt idx="60">
                  <c:v>3.0268789658333328</c:v>
                </c:pt>
              </c:numCache>
            </c:numRef>
          </c:val>
        </c:ser>
        <c:marker val="1"/>
        <c:axId val="93101440"/>
        <c:axId val="93299840"/>
      </c:lineChart>
      <c:dateAx>
        <c:axId val="93101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2998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299840"/>
        <c:scaling>
          <c:orientation val="minMax"/>
          <c:max val="12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10144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[22]Pais_4!$E$13:$E$73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[22]Pais_4!$F$13:$F$73</c:f>
              <c:numCache>
                <c:formatCode>General</c:formatCode>
                <c:ptCount val="61"/>
                <c:pt idx="0">
                  <c:v>4.6112134816666659</c:v>
                </c:pt>
                <c:pt idx="1">
                  <c:v>4.785102535</c:v>
                </c:pt>
                <c:pt idx="2">
                  <c:v>4.8370829166666658</c:v>
                </c:pt>
                <c:pt idx="3">
                  <c:v>4.8263742958333324</c:v>
                </c:pt>
                <c:pt idx="4">
                  <c:v>4.9803123574999981</c:v>
                </c:pt>
                <c:pt idx="5">
                  <c:v>5.144434968333333</c:v>
                </c:pt>
                <c:pt idx="6">
                  <c:v>5.4979128774999984</c:v>
                </c:pt>
                <c:pt idx="7">
                  <c:v>5.5769917933333319</c:v>
                </c:pt>
                <c:pt idx="8">
                  <c:v>5.6664368624999994</c:v>
                </c:pt>
                <c:pt idx="9">
                  <c:v>6.1022733991666662</c:v>
                </c:pt>
                <c:pt idx="10">
                  <c:v>6.4011847675000011</c:v>
                </c:pt>
                <c:pt idx="11">
                  <c:v>6.6718889100000025</c:v>
                </c:pt>
                <c:pt idx="12">
                  <c:v>6.7835400375000026</c:v>
                </c:pt>
                <c:pt idx="13">
                  <c:v>6.9274692183333348</c:v>
                </c:pt>
                <c:pt idx="14">
                  <c:v>7.310521070000001</c:v>
                </c:pt>
                <c:pt idx="15">
                  <c:v>7.8066038175000019</c:v>
                </c:pt>
                <c:pt idx="16">
                  <c:v>8.0177677750000029</c:v>
                </c:pt>
                <c:pt idx="17">
                  <c:v>8.2291565641666704</c:v>
                </c:pt>
                <c:pt idx="18">
                  <c:v>8.3719786933333342</c:v>
                </c:pt>
                <c:pt idx="19">
                  <c:v>8.6425964608333352</c:v>
                </c:pt>
                <c:pt idx="20">
                  <c:v>8.8507972916666695</c:v>
                </c:pt>
                <c:pt idx="21">
                  <c:v>9.0621764083333343</c:v>
                </c:pt>
                <c:pt idx="22">
                  <c:v>9.2238805300000006</c:v>
                </c:pt>
                <c:pt idx="23">
                  <c:v>9.3959443808333329</c:v>
                </c:pt>
                <c:pt idx="24">
                  <c:v>9.525395779166665</c:v>
                </c:pt>
                <c:pt idx="25">
                  <c:v>9.7422337116666657</c:v>
                </c:pt>
                <c:pt idx="26">
                  <c:v>9.7276361374999976</c:v>
                </c:pt>
                <c:pt idx="27">
                  <c:v>9.7342461466666652</c:v>
                </c:pt>
                <c:pt idx="28">
                  <c:v>9.7934407233333314</c:v>
                </c:pt>
                <c:pt idx="29">
                  <c:v>10.081876652499998</c:v>
                </c:pt>
                <c:pt idx="30">
                  <c:v>10.642676765833333</c:v>
                </c:pt>
                <c:pt idx="31">
                  <c:v>10.910084389999996</c:v>
                </c:pt>
                <c:pt idx="32">
                  <c:v>10.920337321666665</c:v>
                </c:pt>
                <c:pt idx="33">
                  <c:v>10.738864984166668</c:v>
                </c:pt>
                <c:pt idx="34">
                  <c:v>11.037626661666669</c:v>
                </c:pt>
                <c:pt idx="35">
                  <c:v>11.175527550833335</c:v>
                </c:pt>
                <c:pt idx="36">
                  <c:v>11.711492457500002</c:v>
                </c:pt>
                <c:pt idx="37">
                  <c:v>11.99430515666667</c:v>
                </c:pt>
                <c:pt idx="38">
                  <c:v>12.461271134166671</c:v>
                </c:pt>
                <c:pt idx="39">
                  <c:v>12.817644937500001</c:v>
                </c:pt>
                <c:pt idx="40">
                  <c:v>13.20707111916667</c:v>
                </c:pt>
                <c:pt idx="41">
                  <c:v>12.981678067500001</c:v>
                </c:pt>
                <c:pt idx="42">
                  <c:v>12.305903846666666</c:v>
                </c:pt>
                <c:pt idx="43">
                  <c:v>12.176488028333333</c:v>
                </c:pt>
                <c:pt idx="44">
                  <c:v>12.36382950166667</c:v>
                </c:pt>
                <c:pt idx="45">
                  <c:v>12.794329441666669</c:v>
                </c:pt>
                <c:pt idx="46">
                  <c:v>13.127015901666665</c:v>
                </c:pt>
                <c:pt idx="47">
                  <c:v>13.023658302499996</c:v>
                </c:pt>
                <c:pt idx="48">
                  <c:v>13.140724007499996</c:v>
                </c:pt>
                <c:pt idx="49">
                  <c:v>12.835834206666663</c:v>
                </c:pt>
                <c:pt idx="50">
                  <c:v>12.575876212499997</c:v>
                </c:pt>
                <c:pt idx="51">
                  <c:v>12.56572276583333</c:v>
                </c:pt>
                <c:pt idx="52">
                  <c:v>12.388632019999996</c:v>
                </c:pt>
                <c:pt idx="53">
                  <c:v>12.591145680833328</c:v>
                </c:pt>
                <c:pt idx="54">
                  <c:v>13.251684199166661</c:v>
                </c:pt>
                <c:pt idx="55">
                  <c:v>13.389264475833331</c:v>
                </c:pt>
                <c:pt idx="56">
                  <c:v>13.396051471666665</c:v>
                </c:pt>
                <c:pt idx="57">
                  <c:v>13.124489299166664</c:v>
                </c:pt>
                <c:pt idx="58">
                  <c:v>12.534769781666663</c:v>
                </c:pt>
                <c:pt idx="59">
                  <c:v>12.66654583083333</c:v>
                </c:pt>
                <c:pt idx="60">
                  <c:v>12.184886529166667</c:v>
                </c:pt>
              </c:numCache>
            </c:numRef>
          </c:val>
        </c:ser>
        <c:marker val="1"/>
        <c:axId val="93812224"/>
        <c:axId val="93813760"/>
      </c:lineChart>
      <c:dateAx>
        <c:axId val="9381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813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813760"/>
        <c:scaling>
          <c:orientation val="minMax"/>
          <c:max val="14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81222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[22]Pais_5!$E$13:$E$73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[22]Pais_5!$F$13:$F$73</c:f>
              <c:numCache>
                <c:formatCode>General</c:formatCode>
                <c:ptCount val="61"/>
                <c:pt idx="0">
                  <c:v>5.4388216824999995</c:v>
                </c:pt>
                <c:pt idx="1">
                  <c:v>5.5540480766666676</c:v>
                </c:pt>
                <c:pt idx="2">
                  <c:v>5.8216976133333338</c:v>
                </c:pt>
                <c:pt idx="3">
                  <c:v>5.8291804075</c:v>
                </c:pt>
                <c:pt idx="4">
                  <c:v>5.6905073399999999</c:v>
                </c:pt>
                <c:pt idx="5">
                  <c:v>5.6943441083333335</c:v>
                </c:pt>
                <c:pt idx="6">
                  <c:v>5.8332769200000003</c:v>
                </c:pt>
                <c:pt idx="7">
                  <c:v>6.0127673841666658</c:v>
                </c:pt>
                <c:pt idx="8">
                  <c:v>6.3224733149999999</c:v>
                </c:pt>
                <c:pt idx="9">
                  <c:v>6.4576173141666651</c:v>
                </c:pt>
                <c:pt idx="10">
                  <c:v>6.7219089758333324</c:v>
                </c:pt>
                <c:pt idx="11">
                  <c:v>6.9005826408333339</c:v>
                </c:pt>
                <c:pt idx="12">
                  <c:v>7.0483511491666668</c:v>
                </c:pt>
                <c:pt idx="13">
                  <c:v>7.2243307608333334</c:v>
                </c:pt>
                <c:pt idx="14">
                  <c:v>7.428890260000002</c:v>
                </c:pt>
                <c:pt idx="15">
                  <c:v>7.557297150000001</c:v>
                </c:pt>
                <c:pt idx="16">
                  <c:v>7.570064865</c:v>
                </c:pt>
                <c:pt idx="17">
                  <c:v>7.6641615508333345</c:v>
                </c:pt>
                <c:pt idx="18">
                  <c:v>7.7169936558333339</c:v>
                </c:pt>
                <c:pt idx="19">
                  <c:v>7.6369701124999994</c:v>
                </c:pt>
                <c:pt idx="20">
                  <c:v>7.6120053866666666</c:v>
                </c:pt>
                <c:pt idx="21">
                  <c:v>7.7282006658333335</c:v>
                </c:pt>
                <c:pt idx="22">
                  <c:v>7.6159342091666664</c:v>
                </c:pt>
                <c:pt idx="23">
                  <c:v>7.5596059375000024</c:v>
                </c:pt>
                <c:pt idx="24">
                  <c:v>7.4861371475000027</c:v>
                </c:pt>
                <c:pt idx="25">
                  <c:v>7.4586601775000014</c:v>
                </c:pt>
                <c:pt idx="26">
                  <c:v>7.3369571599999999</c:v>
                </c:pt>
                <c:pt idx="27">
                  <c:v>7.3217844533333336</c:v>
                </c:pt>
                <c:pt idx="28">
                  <c:v>8.1737898133333342</c:v>
                </c:pt>
                <c:pt idx="29">
                  <c:v>8.7647901191666691</c:v>
                </c:pt>
                <c:pt idx="30">
                  <c:v>8.9957721908333337</c:v>
                </c:pt>
                <c:pt idx="31">
                  <c:v>9.749028758333333</c:v>
                </c:pt>
                <c:pt idx="32">
                  <c:v>9.7509672625000015</c:v>
                </c:pt>
                <c:pt idx="33">
                  <c:v>9.7180807750000024</c:v>
                </c:pt>
                <c:pt idx="34">
                  <c:v>9.8562179983333333</c:v>
                </c:pt>
                <c:pt idx="35">
                  <c:v>9.9106200874999999</c:v>
                </c:pt>
                <c:pt idx="36">
                  <c:v>10.020884590833333</c:v>
                </c:pt>
                <c:pt idx="37">
                  <c:v>11.081552976666666</c:v>
                </c:pt>
                <c:pt idx="38">
                  <c:v>11.237960553333332</c:v>
                </c:pt>
                <c:pt idx="39">
                  <c:v>11.276174144166667</c:v>
                </c:pt>
                <c:pt idx="40">
                  <c:v>10.495309321666669</c:v>
                </c:pt>
                <c:pt idx="41">
                  <c:v>9.9729932650000013</c:v>
                </c:pt>
                <c:pt idx="42">
                  <c:v>10.053650460833335</c:v>
                </c:pt>
                <c:pt idx="43">
                  <c:v>9.5520782925000027</c:v>
                </c:pt>
                <c:pt idx="44">
                  <c:v>9.5411241858333344</c:v>
                </c:pt>
                <c:pt idx="45">
                  <c:v>9.5638539516666672</c:v>
                </c:pt>
                <c:pt idx="46">
                  <c:v>9.5302370816666677</c:v>
                </c:pt>
                <c:pt idx="47">
                  <c:v>9.5179961616666677</c:v>
                </c:pt>
                <c:pt idx="48">
                  <c:v>9.5188680133333339</c:v>
                </c:pt>
                <c:pt idx="49">
                  <c:v>8.5814534725000016</c:v>
                </c:pt>
                <c:pt idx="50">
                  <c:v>8.4452849433333359</c:v>
                </c:pt>
                <c:pt idx="51">
                  <c:v>8.5265247608333343</c:v>
                </c:pt>
                <c:pt idx="52">
                  <c:v>8.8862207200000025</c:v>
                </c:pt>
                <c:pt idx="53">
                  <c:v>8.9527544075000023</c:v>
                </c:pt>
                <c:pt idx="54">
                  <c:v>8.9336111283333342</c:v>
                </c:pt>
                <c:pt idx="55">
                  <c:v>8.8816404616666649</c:v>
                </c:pt>
                <c:pt idx="56">
                  <c:v>9.05299806083333</c:v>
                </c:pt>
                <c:pt idx="57">
                  <c:v>9.1827021983333328</c:v>
                </c:pt>
                <c:pt idx="58">
                  <c:v>9.3827735416666638</c:v>
                </c:pt>
                <c:pt idx="59">
                  <c:v>9.5213007983333302</c:v>
                </c:pt>
                <c:pt idx="60">
                  <c:v>9.6079578674999961</c:v>
                </c:pt>
              </c:numCache>
            </c:numRef>
          </c:val>
        </c:ser>
        <c:marker val="1"/>
        <c:axId val="94142464"/>
        <c:axId val="94144000"/>
      </c:lineChart>
      <c:dateAx>
        <c:axId val="94142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1440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144000"/>
        <c:scaling>
          <c:orientation val="minMax"/>
          <c:max val="12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14246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[22]ciiu_1!$E$13:$E$73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[22]ciiu_1!$F$13:$F$73</c:f>
              <c:numCache>
                <c:formatCode>General</c:formatCode>
                <c:ptCount val="61"/>
                <c:pt idx="0">
                  <c:v>15.763242254999994</c:v>
                </c:pt>
                <c:pt idx="1">
                  <c:v>16.083801039999994</c:v>
                </c:pt>
                <c:pt idx="2">
                  <c:v>16.432089531666659</c:v>
                </c:pt>
                <c:pt idx="3">
                  <c:v>17.21087196083332</c:v>
                </c:pt>
                <c:pt idx="4">
                  <c:v>17.461167303333326</c:v>
                </c:pt>
                <c:pt idx="5">
                  <c:v>17.851919545833322</c:v>
                </c:pt>
                <c:pt idx="6">
                  <c:v>18.232022878333325</c:v>
                </c:pt>
                <c:pt idx="7">
                  <c:v>18.379173510833326</c:v>
                </c:pt>
                <c:pt idx="8">
                  <c:v>19.022453460833326</c:v>
                </c:pt>
                <c:pt idx="9">
                  <c:v>19.759092849166656</c:v>
                </c:pt>
                <c:pt idx="10">
                  <c:v>20.44343407083332</c:v>
                </c:pt>
                <c:pt idx="11">
                  <c:v>20.659083879166655</c:v>
                </c:pt>
                <c:pt idx="12">
                  <c:v>20.845609801666654</c:v>
                </c:pt>
                <c:pt idx="13">
                  <c:v>21.140013096666653</c:v>
                </c:pt>
                <c:pt idx="14">
                  <c:v>21.33536707499999</c:v>
                </c:pt>
                <c:pt idx="15">
                  <c:v>21.584419440833319</c:v>
                </c:pt>
                <c:pt idx="16">
                  <c:v>21.813562857499985</c:v>
                </c:pt>
                <c:pt idx="17">
                  <c:v>22.348109150833313</c:v>
                </c:pt>
                <c:pt idx="18">
                  <c:v>22.666224933333311</c:v>
                </c:pt>
                <c:pt idx="19">
                  <c:v>23.483985993333306</c:v>
                </c:pt>
                <c:pt idx="20">
                  <c:v>23.980183255833307</c:v>
                </c:pt>
                <c:pt idx="21">
                  <c:v>24.497608420833306</c:v>
                </c:pt>
                <c:pt idx="22">
                  <c:v>24.775125235833304</c:v>
                </c:pt>
                <c:pt idx="23">
                  <c:v>25.719528106666644</c:v>
                </c:pt>
                <c:pt idx="24">
                  <c:v>26.734696468333308</c:v>
                </c:pt>
                <c:pt idx="25">
                  <c:v>27.82826512666664</c:v>
                </c:pt>
                <c:pt idx="26">
                  <c:v>28.599666509166642</c:v>
                </c:pt>
                <c:pt idx="27">
                  <c:v>30.200136775833325</c:v>
                </c:pt>
                <c:pt idx="28">
                  <c:v>31.67232280666666</c:v>
                </c:pt>
                <c:pt idx="29">
                  <c:v>33.017625692500005</c:v>
                </c:pt>
                <c:pt idx="30">
                  <c:v>33.80465204916667</c:v>
                </c:pt>
                <c:pt idx="31">
                  <c:v>35.531085672500005</c:v>
                </c:pt>
                <c:pt idx="32">
                  <c:v>36.4841665625</c:v>
                </c:pt>
                <c:pt idx="33">
                  <c:v>36.255216006666664</c:v>
                </c:pt>
                <c:pt idx="34">
                  <c:v>39.366725653333326</c:v>
                </c:pt>
                <c:pt idx="35">
                  <c:v>40.240436099166665</c:v>
                </c:pt>
                <c:pt idx="36">
                  <c:v>42.263147400000001</c:v>
                </c:pt>
                <c:pt idx="37">
                  <c:v>43.149775254166663</c:v>
                </c:pt>
                <c:pt idx="38">
                  <c:v>45.043757284166674</c:v>
                </c:pt>
                <c:pt idx="39">
                  <c:v>45.195724154166669</c:v>
                </c:pt>
                <c:pt idx="40">
                  <c:v>45.147608518333321</c:v>
                </c:pt>
                <c:pt idx="41">
                  <c:v>44.828380790833329</c:v>
                </c:pt>
                <c:pt idx="42">
                  <c:v>45.155777626666662</c:v>
                </c:pt>
                <c:pt idx="43">
                  <c:v>44.541407092499981</c:v>
                </c:pt>
                <c:pt idx="44">
                  <c:v>44.359353649999974</c:v>
                </c:pt>
                <c:pt idx="45">
                  <c:v>47.002448523333307</c:v>
                </c:pt>
                <c:pt idx="46">
                  <c:v>45.324054310833326</c:v>
                </c:pt>
                <c:pt idx="47">
                  <c:v>45.788504249999995</c:v>
                </c:pt>
                <c:pt idx="48">
                  <c:v>45.014168568333332</c:v>
                </c:pt>
                <c:pt idx="49">
                  <c:v>43.956835172500007</c:v>
                </c:pt>
                <c:pt idx="50">
                  <c:v>42.671427347500007</c:v>
                </c:pt>
                <c:pt idx="51">
                  <c:v>42.858163845833339</c:v>
                </c:pt>
                <c:pt idx="52">
                  <c:v>43.562413795833351</c:v>
                </c:pt>
                <c:pt idx="53">
                  <c:v>44.785934125000004</c:v>
                </c:pt>
                <c:pt idx="54">
                  <c:v>45.10113625916668</c:v>
                </c:pt>
                <c:pt idx="55">
                  <c:v>44.424552756666685</c:v>
                </c:pt>
                <c:pt idx="56">
                  <c:v>44.288153639166694</c:v>
                </c:pt>
                <c:pt idx="57">
                  <c:v>42.422138080000025</c:v>
                </c:pt>
                <c:pt idx="58">
                  <c:v>41.662219133333359</c:v>
                </c:pt>
                <c:pt idx="59">
                  <c:v>40.588596411666693</c:v>
                </c:pt>
                <c:pt idx="60">
                  <c:v>40.424459200000022</c:v>
                </c:pt>
              </c:numCache>
            </c:numRef>
          </c:val>
        </c:ser>
        <c:marker val="1"/>
        <c:axId val="94239360"/>
        <c:axId val="94445952"/>
      </c:lineChart>
      <c:dateAx>
        <c:axId val="94239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4459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445952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2393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[22]ciiu_2!$E$13:$E$73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[22]ciiu_2!$F$13:$F$73</c:f>
              <c:numCache>
                <c:formatCode>General</c:formatCode>
                <c:ptCount val="61"/>
                <c:pt idx="0">
                  <c:v>6.8223883133333345</c:v>
                </c:pt>
                <c:pt idx="1">
                  <c:v>6.7106960608333353</c:v>
                </c:pt>
                <c:pt idx="2">
                  <c:v>7.0542065266666683</c:v>
                </c:pt>
                <c:pt idx="3">
                  <c:v>7.0054092658333333</c:v>
                </c:pt>
                <c:pt idx="4">
                  <c:v>6.0797434249999993</c:v>
                </c:pt>
                <c:pt idx="5">
                  <c:v>5.348327099166668</c:v>
                </c:pt>
                <c:pt idx="6">
                  <c:v>5.731929758333334</c:v>
                </c:pt>
                <c:pt idx="7">
                  <c:v>6.4657732816666673</c:v>
                </c:pt>
                <c:pt idx="8">
                  <c:v>6.6973235433333329</c:v>
                </c:pt>
                <c:pt idx="9">
                  <c:v>6.8387910066666668</c:v>
                </c:pt>
                <c:pt idx="10">
                  <c:v>7.562425815000001</c:v>
                </c:pt>
                <c:pt idx="11">
                  <c:v>7.520684280000002</c:v>
                </c:pt>
                <c:pt idx="12">
                  <c:v>7.7546593091666685</c:v>
                </c:pt>
                <c:pt idx="13">
                  <c:v>8.356774232500003</c:v>
                </c:pt>
                <c:pt idx="14">
                  <c:v>8.608182032500002</c:v>
                </c:pt>
                <c:pt idx="15">
                  <c:v>9.5827299316666714</c:v>
                </c:pt>
                <c:pt idx="16">
                  <c:v>10.259014024166671</c:v>
                </c:pt>
                <c:pt idx="17">
                  <c:v>10.639529370833335</c:v>
                </c:pt>
                <c:pt idx="18">
                  <c:v>10.600058245833337</c:v>
                </c:pt>
                <c:pt idx="19">
                  <c:v>10.405417655833331</c:v>
                </c:pt>
                <c:pt idx="20">
                  <c:v>10.772907629166665</c:v>
                </c:pt>
                <c:pt idx="21">
                  <c:v>11.002744176666665</c:v>
                </c:pt>
                <c:pt idx="22">
                  <c:v>10.255882297499996</c:v>
                </c:pt>
                <c:pt idx="23">
                  <c:v>10.623198126666663</c:v>
                </c:pt>
                <c:pt idx="24">
                  <c:v>10.731711219166662</c:v>
                </c:pt>
                <c:pt idx="25">
                  <c:v>10.33463343583333</c:v>
                </c:pt>
                <c:pt idx="26">
                  <c:v>10.067807995833329</c:v>
                </c:pt>
                <c:pt idx="27">
                  <c:v>9.1361388041666611</c:v>
                </c:pt>
                <c:pt idx="28">
                  <c:v>8.8353868674999934</c:v>
                </c:pt>
                <c:pt idx="29">
                  <c:v>8.6717141899999941</c:v>
                </c:pt>
                <c:pt idx="30">
                  <c:v>8.486711226666662</c:v>
                </c:pt>
                <c:pt idx="31">
                  <c:v>9.0805947241666676</c:v>
                </c:pt>
                <c:pt idx="32">
                  <c:v>9.0698440624999996</c:v>
                </c:pt>
                <c:pt idx="33">
                  <c:v>8.5900464516666677</c:v>
                </c:pt>
                <c:pt idx="34">
                  <c:v>8.4165318033333332</c:v>
                </c:pt>
                <c:pt idx="35">
                  <c:v>8.0091529291666674</c:v>
                </c:pt>
                <c:pt idx="36">
                  <c:v>7.8925774750000022</c:v>
                </c:pt>
                <c:pt idx="37">
                  <c:v>7.7467460675000019</c:v>
                </c:pt>
                <c:pt idx="38">
                  <c:v>7.5478617200000029</c:v>
                </c:pt>
                <c:pt idx="39">
                  <c:v>7.7751799533333363</c:v>
                </c:pt>
                <c:pt idx="40">
                  <c:v>7.8765533883333338</c:v>
                </c:pt>
                <c:pt idx="41">
                  <c:v>8.5109670499999996</c:v>
                </c:pt>
                <c:pt idx="42">
                  <c:v>8.4149846066666658</c:v>
                </c:pt>
                <c:pt idx="43">
                  <c:v>8.2234594000000012</c:v>
                </c:pt>
                <c:pt idx="44">
                  <c:v>8.2412909733333368</c:v>
                </c:pt>
                <c:pt idx="45">
                  <c:v>9.5145734016666683</c:v>
                </c:pt>
                <c:pt idx="46">
                  <c:v>10.842584954166668</c:v>
                </c:pt>
                <c:pt idx="47">
                  <c:v>12.138161029166666</c:v>
                </c:pt>
                <c:pt idx="48">
                  <c:v>13.685289770833334</c:v>
                </c:pt>
                <c:pt idx="49">
                  <c:v>15.056262162499999</c:v>
                </c:pt>
                <c:pt idx="50">
                  <c:v>16.913906624999992</c:v>
                </c:pt>
                <c:pt idx="51">
                  <c:v>19.425939829999994</c:v>
                </c:pt>
                <c:pt idx="52">
                  <c:v>20.817165196666661</c:v>
                </c:pt>
                <c:pt idx="53">
                  <c:v>25.421301684999989</c:v>
                </c:pt>
                <c:pt idx="54">
                  <c:v>26.834686419999983</c:v>
                </c:pt>
                <c:pt idx="55">
                  <c:v>26.919218944166655</c:v>
                </c:pt>
                <c:pt idx="56">
                  <c:v>28.383967839166647</c:v>
                </c:pt>
                <c:pt idx="57">
                  <c:v>29.48484241749998</c:v>
                </c:pt>
                <c:pt idx="58">
                  <c:v>30.007826932499984</c:v>
                </c:pt>
                <c:pt idx="59">
                  <c:v>32.19259384833331</c:v>
                </c:pt>
                <c:pt idx="60">
                  <c:v>36.81101546083331</c:v>
                </c:pt>
              </c:numCache>
            </c:numRef>
          </c:val>
        </c:ser>
        <c:marker val="1"/>
        <c:axId val="94775168"/>
        <c:axId val="94776704"/>
      </c:lineChart>
      <c:dateAx>
        <c:axId val="94775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7767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776704"/>
        <c:scaling>
          <c:orientation val="minMax"/>
          <c:max val="4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7751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[22]ciiu_3!$E$13:$E$73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[22]ciiu_3!$F$13:$F$73</c:f>
              <c:numCache>
                <c:formatCode>General</c:formatCode>
                <c:ptCount val="61"/>
                <c:pt idx="0">
                  <c:v>13.157842350000005</c:v>
                </c:pt>
                <c:pt idx="1">
                  <c:v>13.590864008333339</c:v>
                </c:pt>
                <c:pt idx="2">
                  <c:v>14.790929172500002</c:v>
                </c:pt>
                <c:pt idx="3">
                  <c:v>15.806293341666668</c:v>
                </c:pt>
                <c:pt idx="4">
                  <c:v>16.108358257500001</c:v>
                </c:pt>
                <c:pt idx="5">
                  <c:v>15.534236473333332</c:v>
                </c:pt>
                <c:pt idx="6">
                  <c:v>15.0613817225</c:v>
                </c:pt>
                <c:pt idx="7">
                  <c:v>15.027926616666669</c:v>
                </c:pt>
                <c:pt idx="8">
                  <c:v>15.386537499166669</c:v>
                </c:pt>
                <c:pt idx="9">
                  <c:v>15.51195550916667</c:v>
                </c:pt>
                <c:pt idx="10">
                  <c:v>15.801504980833338</c:v>
                </c:pt>
                <c:pt idx="11">
                  <c:v>15.619586334166669</c:v>
                </c:pt>
                <c:pt idx="12">
                  <c:v>15.263594685833334</c:v>
                </c:pt>
                <c:pt idx="13">
                  <c:v>14.835970938333334</c:v>
                </c:pt>
                <c:pt idx="14">
                  <c:v>13.99896647416667</c:v>
                </c:pt>
                <c:pt idx="15">
                  <c:v>13.227638198333338</c:v>
                </c:pt>
                <c:pt idx="16">
                  <c:v>13.076033670000006</c:v>
                </c:pt>
                <c:pt idx="17">
                  <c:v>12.984648697500001</c:v>
                </c:pt>
                <c:pt idx="18">
                  <c:v>13.339585650000004</c:v>
                </c:pt>
                <c:pt idx="19">
                  <c:v>13.487865483333337</c:v>
                </c:pt>
                <c:pt idx="20">
                  <c:v>13.416857483333336</c:v>
                </c:pt>
                <c:pt idx="21">
                  <c:v>13.668033048333333</c:v>
                </c:pt>
                <c:pt idx="22">
                  <c:v>13.728155495833333</c:v>
                </c:pt>
                <c:pt idx="23">
                  <c:v>13.903935884999997</c:v>
                </c:pt>
                <c:pt idx="24">
                  <c:v>14.027947559166664</c:v>
                </c:pt>
                <c:pt idx="25">
                  <c:v>14.530212806666668</c:v>
                </c:pt>
                <c:pt idx="26">
                  <c:v>16.572848862499999</c:v>
                </c:pt>
                <c:pt idx="27">
                  <c:v>18.837580377499989</c:v>
                </c:pt>
                <c:pt idx="28">
                  <c:v>22.211302006666656</c:v>
                </c:pt>
                <c:pt idx="29">
                  <c:v>24.08418143916666</c:v>
                </c:pt>
                <c:pt idx="30">
                  <c:v>26.243936536666666</c:v>
                </c:pt>
                <c:pt idx="31">
                  <c:v>27.264401459166667</c:v>
                </c:pt>
                <c:pt idx="32">
                  <c:v>28.812118489999992</c:v>
                </c:pt>
                <c:pt idx="33">
                  <c:v>28.781229637500001</c:v>
                </c:pt>
                <c:pt idx="34">
                  <c:v>29.802608205833327</c:v>
                </c:pt>
                <c:pt idx="35">
                  <c:v>30.018334366666664</c:v>
                </c:pt>
                <c:pt idx="36">
                  <c:v>30.843426809999993</c:v>
                </c:pt>
                <c:pt idx="37">
                  <c:v>31.963370649166663</c:v>
                </c:pt>
                <c:pt idx="38">
                  <c:v>31.172005525833331</c:v>
                </c:pt>
                <c:pt idx="39">
                  <c:v>30.397747704166665</c:v>
                </c:pt>
                <c:pt idx="40">
                  <c:v>27.326253302500003</c:v>
                </c:pt>
                <c:pt idx="41">
                  <c:v>25.587014155000006</c:v>
                </c:pt>
                <c:pt idx="42">
                  <c:v>23.867398875833334</c:v>
                </c:pt>
                <c:pt idx="43">
                  <c:v>22.952899938333335</c:v>
                </c:pt>
                <c:pt idx="44">
                  <c:v>21.43666713166667</c:v>
                </c:pt>
                <c:pt idx="45">
                  <c:v>21.268530164166673</c:v>
                </c:pt>
                <c:pt idx="46">
                  <c:v>20.039754477500004</c:v>
                </c:pt>
                <c:pt idx="47">
                  <c:v>20.178767850000007</c:v>
                </c:pt>
                <c:pt idx="48">
                  <c:v>19.931631619166676</c:v>
                </c:pt>
                <c:pt idx="49">
                  <c:v>19.107756288333341</c:v>
                </c:pt>
                <c:pt idx="50">
                  <c:v>18.469198256666669</c:v>
                </c:pt>
                <c:pt idx="51">
                  <c:v>18.185925160000004</c:v>
                </c:pt>
                <c:pt idx="52">
                  <c:v>18.009831485833338</c:v>
                </c:pt>
                <c:pt idx="53">
                  <c:v>18.898869692500003</c:v>
                </c:pt>
                <c:pt idx="54">
                  <c:v>18.920276355833334</c:v>
                </c:pt>
                <c:pt idx="55">
                  <c:v>18.827581924166665</c:v>
                </c:pt>
                <c:pt idx="56">
                  <c:v>19.301637590000002</c:v>
                </c:pt>
                <c:pt idx="57">
                  <c:v>19.816329667499996</c:v>
                </c:pt>
                <c:pt idx="58">
                  <c:v>20.346193192499996</c:v>
                </c:pt>
                <c:pt idx="59">
                  <c:v>21.220928927499997</c:v>
                </c:pt>
                <c:pt idx="60">
                  <c:v>21.962151309166661</c:v>
                </c:pt>
              </c:numCache>
            </c:numRef>
          </c:val>
        </c:ser>
        <c:marker val="1"/>
        <c:axId val="95384320"/>
        <c:axId val="95385856"/>
      </c:lineChart>
      <c:dateAx>
        <c:axId val="95384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385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385856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38432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[22]ciiu_4!$E$13:$E$73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[22]ciiu_4!$F$13:$F$73</c:f>
              <c:numCache>
                <c:formatCode>General</c:formatCode>
                <c:ptCount val="61"/>
                <c:pt idx="0">
                  <c:v>3.5091032608333328</c:v>
                </c:pt>
                <c:pt idx="1">
                  <c:v>3.4280228400000001</c:v>
                </c:pt>
                <c:pt idx="2">
                  <c:v>3.5027633733333334</c:v>
                </c:pt>
                <c:pt idx="3">
                  <c:v>3.7980713850000005</c:v>
                </c:pt>
                <c:pt idx="4">
                  <c:v>4.0953966399999997</c:v>
                </c:pt>
                <c:pt idx="5">
                  <c:v>4.4363081458333333</c:v>
                </c:pt>
                <c:pt idx="6">
                  <c:v>4.6481271416666665</c:v>
                </c:pt>
                <c:pt idx="7">
                  <c:v>4.9233985566666663</c:v>
                </c:pt>
                <c:pt idx="8">
                  <c:v>5.1969775283333339</c:v>
                </c:pt>
                <c:pt idx="9">
                  <c:v>5.6677475166666662</c:v>
                </c:pt>
                <c:pt idx="10">
                  <c:v>6.1036040758333341</c:v>
                </c:pt>
                <c:pt idx="11">
                  <c:v>6.4200174541666675</c:v>
                </c:pt>
                <c:pt idx="12">
                  <c:v>6.1243784533333319</c:v>
                </c:pt>
                <c:pt idx="13">
                  <c:v>5.9534473883333332</c:v>
                </c:pt>
                <c:pt idx="14">
                  <c:v>5.6350550841666669</c:v>
                </c:pt>
                <c:pt idx="15">
                  <c:v>5.1916191683333333</c:v>
                </c:pt>
                <c:pt idx="16">
                  <c:v>4.5948288516666658</c:v>
                </c:pt>
                <c:pt idx="17">
                  <c:v>5.7348743866666654</c:v>
                </c:pt>
                <c:pt idx="18">
                  <c:v>5.9485863649999979</c:v>
                </c:pt>
                <c:pt idx="19">
                  <c:v>5.7936636841666642</c:v>
                </c:pt>
                <c:pt idx="20">
                  <c:v>6.0432429591666654</c:v>
                </c:pt>
                <c:pt idx="21">
                  <c:v>7.5714961733333324</c:v>
                </c:pt>
                <c:pt idx="22">
                  <c:v>7.8393141499999999</c:v>
                </c:pt>
                <c:pt idx="23">
                  <c:v>7.9088457408333319</c:v>
                </c:pt>
                <c:pt idx="24">
                  <c:v>8.6463141649999997</c:v>
                </c:pt>
                <c:pt idx="25">
                  <c:v>9.2207568358333312</c:v>
                </c:pt>
                <c:pt idx="26">
                  <c:v>9.9761123583333333</c:v>
                </c:pt>
                <c:pt idx="27">
                  <c:v>10.567548431666664</c:v>
                </c:pt>
                <c:pt idx="28">
                  <c:v>12.212470396666667</c:v>
                </c:pt>
                <c:pt idx="29">
                  <c:v>11.051657722499998</c:v>
                </c:pt>
                <c:pt idx="30">
                  <c:v>11.294281349166667</c:v>
                </c:pt>
                <c:pt idx="31">
                  <c:v>12.467826503333335</c:v>
                </c:pt>
                <c:pt idx="32">
                  <c:v>12.257399317500001</c:v>
                </c:pt>
                <c:pt idx="33">
                  <c:v>11.645734442500002</c:v>
                </c:pt>
                <c:pt idx="34">
                  <c:v>13.741198319166669</c:v>
                </c:pt>
                <c:pt idx="35">
                  <c:v>13.35004891</c:v>
                </c:pt>
                <c:pt idx="36">
                  <c:v>12.833084811666671</c:v>
                </c:pt>
                <c:pt idx="37">
                  <c:v>12.80016132916667</c:v>
                </c:pt>
                <c:pt idx="38">
                  <c:v>12.336640039166667</c:v>
                </c:pt>
                <c:pt idx="39">
                  <c:v>12.610750218333335</c:v>
                </c:pt>
                <c:pt idx="40">
                  <c:v>11.378179815833334</c:v>
                </c:pt>
                <c:pt idx="41">
                  <c:v>11.809807364166668</c:v>
                </c:pt>
                <c:pt idx="42">
                  <c:v>11.129712678333334</c:v>
                </c:pt>
                <c:pt idx="43">
                  <c:v>10.572478215833337</c:v>
                </c:pt>
                <c:pt idx="44">
                  <c:v>10.629907608333335</c:v>
                </c:pt>
                <c:pt idx="45">
                  <c:v>9.2711545808333344</c:v>
                </c:pt>
                <c:pt idx="46">
                  <c:v>6.5297653783333329</c:v>
                </c:pt>
                <c:pt idx="47">
                  <c:v>6.4479131999999995</c:v>
                </c:pt>
                <c:pt idx="48">
                  <c:v>7.4003927691666656</c:v>
                </c:pt>
                <c:pt idx="49">
                  <c:v>7.8084598099999996</c:v>
                </c:pt>
                <c:pt idx="50">
                  <c:v>8.2182206733333345</c:v>
                </c:pt>
                <c:pt idx="51">
                  <c:v>10.421852334166667</c:v>
                </c:pt>
                <c:pt idx="52">
                  <c:v>10.403903344166666</c:v>
                </c:pt>
                <c:pt idx="53">
                  <c:v>15.379537679999999</c:v>
                </c:pt>
                <c:pt idx="54">
                  <c:v>15.668748033333332</c:v>
                </c:pt>
                <c:pt idx="55">
                  <c:v>14.854548846666669</c:v>
                </c:pt>
                <c:pt idx="56">
                  <c:v>15.474757287499999</c:v>
                </c:pt>
                <c:pt idx="57">
                  <c:v>17.763928603333333</c:v>
                </c:pt>
                <c:pt idx="58">
                  <c:v>19.694117778333332</c:v>
                </c:pt>
                <c:pt idx="59">
                  <c:v>19.739346917500001</c:v>
                </c:pt>
                <c:pt idx="60">
                  <c:v>18.605192927500003</c:v>
                </c:pt>
              </c:numCache>
            </c:numRef>
          </c:val>
        </c:ser>
        <c:marker val="1"/>
        <c:axId val="95411584"/>
        <c:axId val="95564928"/>
      </c:lineChart>
      <c:dateAx>
        <c:axId val="95411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5649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564928"/>
        <c:scaling>
          <c:orientation val="minMax"/>
          <c:max val="2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4115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[22]ciiu_5!$E$13:$E$73</c:f>
              <c:numCache>
                <c:formatCode>General</c:formatCode>
                <c:ptCount val="61"/>
                <c:pt idx="0">
                  <c:v>38687</c:v>
                </c:pt>
                <c:pt idx="1">
                  <c:v>38718</c:v>
                </c:pt>
                <c:pt idx="2">
                  <c:v>38749</c:v>
                </c:pt>
                <c:pt idx="3">
                  <c:v>38777</c:v>
                </c:pt>
                <c:pt idx="4">
                  <c:v>38808</c:v>
                </c:pt>
                <c:pt idx="5">
                  <c:v>38838</c:v>
                </c:pt>
                <c:pt idx="6">
                  <c:v>38869</c:v>
                </c:pt>
                <c:pt idx="7">
                  <c:v>38899</c:v>
                </c:pt>
                <c:pt idx="8">
                  <c:v>38930</c:v>
                </c:pt>
                <c:pt idx="9">
                  <c:v>38961</c:v>
                </c:pt>
                <c:pt idx="10">
                  <c:v>38991</c:v>
                </c:pt>
                <c:pt idx="11">
                  <c:v>39022</c:v>
                </c:pt>
                <c:pt idx="12">
                  <c:v>39052</c:v>
                </c:pt>
                <c:pt idx="13">
                  <c:v>39083</c:v>
                </c:pt>
                <c:pt idx="14">
                  <c:v>39114</c:v>
                </c:pt>
                <c:pt idx="15">
                  <c:v>39142</c:v>
                </c:pt>
                <c:pt idx="16">
                  <c:v>39173</c:v>
                </c:pt>
                <c:pt idx="17">
                  <c:v>39203</c:v>
                </c:pt>
                <c:pt idx="18">
                  <c:v>39234</c:v>
                </c:pt>
                <c:pt idx="19">
                  <c:v>39264</c:v>
                </c:pt>
                <c:pt idx="20">
                  <c:v>39295</c:v>
                </c:pt>
                <c:pt idx="21">
                  <c:v>39326</c:v>
                </c:pt>
                <c:pt idx="22">
                  <c:v>39356</c:v>
                </c:pt>
                <c:pt idx="23">
                  <c:v>39387</c:v>
                </c:pt>
                <c:pt idx="24">
                  <c:v>39417</c:v>
                </c:pt>
                <c:pt idx="25">
                  <c:v>39448</c:v>
                </c:pt>
                <c:pt idx="26">
                  <c:v>39479</c:v>
                </c:pt>
                <c:pt idx="27">
                  <c:v>39508</c:v>
                </c:pt>
                <c:pt idx="28">
                  <c:v>39539</c:v>
                </c:pt>
                <c:pt idx="29">
                  <c:v>39569</c:v>
                </c:pt>
                <c:pt idx="30">
                  <c:v>39600</c:v>
                </c:pt>
                <c:pt idx="31">
                  <c:v>39630</c:v>
                </c:pt>
                <c:pt idx="32">
                  <c:v>39661</c:v>
                </c:pt>
                <c:pt idx="33">
                  <c:v>39692</c:v>
                </c:pt>
                <c:pt idx="34">
                  <c:v>39722</c:v>
                </c:pt>
                <c:pt idx="35">
                  <c:v>39753</c:v>
                </c:pt>
                <c:pt idx="36">
                  <c:v>39783</c:v>
                </c:pt>
                <c:pt idx="37">
                  <c:v>39814</c:v>
                </c:pt>
                <c:pt idx="38">
                  <c:v>39845</c:v>
                </c:pt>
                <c:pt idx="39">
                  <c:v>39873</c:v>
                </c:pt>
                <c:pt idx="40">
                  <c:v>39904</c:v>
                </c:pt>
                <c:pt idx="41">
                  <c:v>39934</c:v>
                </c:pt>
                <c:pt idx="42">
                  <c:v>39965</c:v>
                </c:pt>
                <c:pt idx="43">
                  <c:v>39995</c:v>
                </c:pt>
                <c:pt idx="44">
                  <c:v>40026</c:v>
                </c:pt>
                <c:pt idx="45">
                  <c:v>40057</c:v>
                </c:pt>
                <c:pt idx="46">
                  <c:v>40087</c:v>
                </c:pt>
                <c:pt idx="47">
                  <c:v>40118</c:v>
                </c:pt>
                <c:pt idx="48">
                  <c:v>40148</c:v>
                </c:pt>
                <c:pt idx="49">
                  <c:v>40179</c:v>
                </c:pt>
                <c:pt idx="50">
                  <c:v>40210</c:v>
                </c:pt>
                <c:pt idx="51">
                  <c:v>40238</c:v>
                </c:pt>
                <c:pt idx="52">
                  <c:v>40269</c:v>
                </c:pt>
                <c:pt idx="53">
                  <c:v>40299</c:v>
                </c:pt>
                <c:pt idx="54">
                  <c:v>40330</c:v>
                </c:pt>
                <c:pt idx="55">
                  <c:v>40360</c:v>
                </c:pt>
                <c:pt idx="56">
                  <c:v>40391</c:v>
                </c:pt>
                <c:pt idx="57">
                  <c:v>40422</c:v>
                </c:pt>
                <c:pt idx="58">
                  <c:v>40452</c:v>
                </c:pt>
                <c:pt idx="59">
                  <c:v>40483</c:v>
                </c:pt>
                <c:pt idx="60">
                  <c:v>40513</c:v>
                </c:pt>
              </c:numCache>
            </c:numRef>
          </c:cat>
          <c:val>
            <c:numRef>
              <c:f>[22]ciiu_5!$F$13:$F$73</c:f>
              <c:numCache>
                <c:formatCode>General</c:formatCode>
                <c:ptCount val="61"/>
                <c:pt idx="0">
                  <c:v>8.1430076125000017</c:v>
                </c:pt>
                <c:pt idx="1">
                  <c:v>8.3357334200000022</c:v>
                </c:pt>
                <c:pt idx="2">
                  <c:v>8.6213788541666698</c:v>
                </c:pt>
                <c:pt idx="3">
                  <c:v>8.7943160866666705</c:v>
                </c:pt>
                <c:pt idx="4">
                  <c:v>8.7921341583333348</c:v>
                </c:pt>
                <c:pt idx="5">
                  <c:v>9.0726215275000062</c:v>
                </c:pt>
                <c:pt idx="6">
                  <c:v>9.3006103691666748</c:v>
                </c:pt>
                <c:pt idx="7">
                  <c:v>9.4047530916666719</c:v>
                </c:pt>
                <c:pt idx="8">
                  <c:v>9.5350542133333374</c:v>
                </c:pt>
                <c:pt idx="9">
                  <c:v>9.9941851208333379</c:v>
                </c:pt>
                <c:pt idx="10">
                  <c:v>10.476119504166672</c:v>
                </c:pt>
                <c:pt idx="11">
                  <c:v>10.790035166666669</c:v>
                </c:pt>
                <c:pt idx="12">
                  <c:v>11.057523186666671</c:v>
                </c:pt>
                <c:pt idx="13">
                  <c:v>11.275818133333338</c:v>
                </c:pt>
                <c:pt idx="14">
                  <c:v>11.693333285000003</c:v>
                </c:pt>
                <c:pt idx="15">
                  <c:v>12.096951547500003</c:v>
                </c:pt>
                <c:pt idx="16">
                  <c:v>12.690409686666674</c:v>
                </c:pt>
                <c:pt idx="17">
                  <c:v>13.259836217500004</c:v>
                </c:pt>
                <c:pt idx="18">
                  <c:v>13.945573570000006</c:v>
                </c:pt>
                <c:pt idx="19">
                  <c:v>15.003286144166674</c:v>
                </c:pt>
                <c:pt idx="20">
                  <c:v>15.996785145833343</c:v>
                </c:pt>
                <c:pt idx="21">
                  <c:v>16.587355444166672</c:v>
                </c:pt>
                <c:pt idx="22">
                  <c:v>18.310462775000008</c:v>
                </c:pt>
                <c:pt idx="23">
                  <c:v>19.699274726666673</c:v>
                </c:pt>
                <c:pt idx="24">
                  <c:v>21.272284292500007</c:v>
                </c:pt>
                <c:pt idx="25">
                  <c:v>23.380475224166673</c:v>
                </c:pt>
                <c:pt idx="26">
                  <c:v>24.296462386666672</c:v>
                </c:pt>
                <c:pt idx="27">
                  <c:v>25.067626230833341</c:v>
                </c:pt>
                <c:pt idx="28">
                  <c:v>28.034447619166684</c:v>
                </c:pt>
                <c:pt idx="29">
                  <c:v>29.505734511666692</c:v>
                </c:pt>
                <c:pt idx="30">
                  <c:v>29.728113792500025</c:v>
                </c:pt>
                <c:pt idx="31">
                  <c:v>30.120315326666688</c:v>
                </c:pt>
                <c:pt idx="32">
                  <c:v>30.418553360833357</c:v>
                </c:pt>
                <c:pt idx="33">
                  <c:v>30.541653738333363</c:v>
                </c:pt>
                <c:pt idx="34">
                  <c:v>31.985125430833353</c:v>
                </c:pt>
                <c:pt idx="35">
                  <c:v>32.752797985000022</c:v>
                </c:pt>
                <c:pt idx="36">
                  <c:v>32.916201959166685</c:v>
                </c:pt>
                <c:pt idx="37">
                  <c:v>31.476022226666689</c:v>
                </c:pt>
                <c:pt idx="38">
                  <c:v>31.369377959166695</c:v>
                </c:pt>
                <c:pt idx="39">
                  <c:v>31.547715932500026</c:v>
                </c:pt>
                <c:pt idx="40">
                  <c:v>28.893234952500013</c:v>
                </c:pt>
                <c:pt idx="41">
                  <c:v>30.250273661666672</c:v>
                </c:pt>
                <c:pt idx="42">
                  <c:v>32.120411898333337</c:v>
                </c:pt>
                <c:pt idx="43">
                  <c:v>31.192935910000006</c:v>
                </c:pt>
                <c:pt idx="44">
                  <c:v>30.226269621666674</c:v>
                </c:pt>
                <c:pt idx="45">
                  <c:v>29.669869775000006</c:v>
                </c:pt>
                <c:pt idx="46">
                  <c:v>26.742481841666685</c:v>
                </c:pt>
                <c:pt idx="47">
                  <c:v>24.653847675833347</c:v>
                </c:pt>
                <c:pt idx="48">
                  <c:v>23.059673959166684</c:v>
                </c:pt>
                <c:pt idx="49">
                  <c:v>22.263472544166678</c:v>
                </c:pt>
                <c:pt idx="50">
                  <c:v>21.356658923333345</c:v>
                </c:pt>
                <c:pt idx="51">
                  <c:v>20.560388841666676</c:v>
                </c:pt>
                <c:pt idx="52">
                  <c:v>20.169647824166677</c:v>
                </c:pt>
                <c:pt idx="53">
                  <c:v>17.008287950833342</c:v>
                </c:pt>
                <c:pt idx="54">
                  <c:v>14.66693170333334</c:v>
                </c:pt>
                <c:pt idx="55">
                  <c:v>14.417360290000007</c:v>
                </c:pt>
                <c:pt idx="56">
                  <c:v>14.330801530833341</c:v>
                </c:pt>
                <c:pt idx="57">
                  <c:v>14.599257111666672</c:v>
                </c:pt>
                <c:pt idx="58">
                  <c:v>14.533860602500001</c:v>
                </c:pt>
                <c:pt idx="59">
                  <c:v>14.65641071416667</c:v>
                </c:pt>
                <c:pt idx="60">
                  <c:v>14.905564232500003</c:v>
                </c:pt>
              </c:numCache>
            </c:numRef>
          </c:val>
        </c:ser>
        <c:marker val="1"/>
        <c:axId val="95598848"/>
        <c:axId val="95735808"/>
      </c:lineChart>
      <c:dateAx>
        <c:axId val="95598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7358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735808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598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rtaciones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urales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rtaciones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ural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M&#233;xic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i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 agricultura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M&#233;xico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productos qui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198438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-6,1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-1,5%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-460,5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316,3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-3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30</xdr:row>
      <xdr:rowOff>19050</xdr:rowOff>
    </xdr:from>
    <xdr:to>
      <xdr:col>7</xdr:col>
      <xdr:colOff>276225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66675</xdr:rowOff>
    </xdr:from>
    <xdr:to>
      <xdr:col>10</xdr:col>
      <xdr:colOff>104775</xdr:colOff>
      <xdr:row>5</xdr:row>
      <xdr:rowOff>127783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66675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Cuadro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umen_ciiu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umen_venezuela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paises_disminuyeron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paises_aumentaron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Comex/Exportaciones/Cuadros_informe/resumen_pais_destino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umen_pais_destino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umen_pais_dest_prim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_pais_dest_manufacturas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_pais_dest_rec_naturale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_pais_dest_baja_tek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_pais_dest_media_tek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_pais_dest_alta_tek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cuadro1c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resumen_subpartida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cuadro_historico1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Gr&#225;fico_historico2_1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historico_tradicionales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historico_intensidad_tecnologica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princ_paises_tek_P1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principales_paises_p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principales_paises_p3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principales_paises_p4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principales_paises_p5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historico_ciiu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total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tradicional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no_tradicional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tek_primarios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tek_rec_naturales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tek_baja_tecnologia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tek_tecnologia_media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deptos_origen_tek_alta_tecnologia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ipo_exportacion"/>
      <sheetName val="Tek"/>
    </sheetNames>
    <sheetDataSet>
      <sheetData sheetId="0">
        <row r="2">
          <cell r="C2">
            <v>276879625.72000033</v>
          </cell>
          <cell r="D2">
            <v>23241848.41</v>
          </cell>
        </row>
        <row r="3">
          <cell r="C3">
            <v>2608469549.0999885</v>
          </cell>
          <cell r="D3">
            <v>219920184.94999966</v>
          </cell>
        </row>
        <row r="4">
          <cell r="C4">
            <v>267740121.21000066</v>
          </cell>
          <cell r="D4">
            <v>30091880.679999996</v>
          </cell>
        </row>
        <row r="5">
          <cell r="C5">
            <v>2677317004.5900459</v>
          </cell>
          <cell r="D5">
            <v>251007241.11000028</v>
          </cell>
        </row>
      </sheetData>
      <sheetData sheetId="1">
        <row r="2">
          <cell r="D2">
            <v>438523298.2899968</v>
          </cell>
          <cell r="E2">
            <v>44622080.470000014</v>
          </cell>
        </row>
        <row r="3">
          <cell r="D3">
            <v>363557663.51999867</v>
          </cell>
          <cell r="E3">
            <v>32502700.990000002</v>
          </cell>
        </row>
        <row r="4">
          <cell r="D4">
            <v>781093357.47998524</v>
          </cell>
          <cell r="E4">
            <v>61088584.490000062</v>
          </cell>
        </row>
        <row r="5">
          <cell r="D5">
            <v>681589419.65999937</v>
          </cell>
          <cell r="E5">
            <v>57841998.800000004</v>
          </cell>
        </row>
        <row r="6">
          <cell r="D6">
            <v>498766230.64000028</v>
          </cell>
          <cell r="E6">
            <v>37997848.640000001</v>
          </cell>
        </row>
        <row r="7">
          <cell r="D7">
            <v>121819205.22999981</v>
          </cell>
          <cell r="E7">
            <v>9108819.9699999988</v>
          </cell>
        </row>
        <row r="8">
          <cell r="D8">
            <v>664177962.63999283</v>
          </cell>
          <cell r="E8">
            <v>106151448.91</v>
          </cell>
        </row>
        <row r="9">
          <cell r="D9">
            <v>340102725.8000015</v>
          </cell>
          <cell r="E9">
            <v>30797247.870000001</v>
          </cell>
        </row>
        <row r="10">
          <cell r="D10">
            <v>682814107.70999992</v>
          </cell>
          <cell r="E10">
            <v>65737679.91000025</v>
          </cell>
        </row>
        <row r="11">
          <cell r="D11">
            <v>675885489.84999824</v>
          </cell>
          <cell r="E11">
            <v>52165011.019999996</v>
          </cell>
        </row>
        <row r="12">
          <cell r="D12">
            <v>478054933.70999652</v>
          </cell>
          <cell r="E12">
            <v>19519693.049999997</v>
          </cell>
        </row>
        <row r="13">
          <cell r="D13">
            <v>104021906.09000008</v>
          </cell>
          <cell r="E13">
            <v>6728041.0299999947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C2">
            <v>540170022.81999815</v>
          </cell>
          <cell r="D2">
            <v>44462261.259999961</v>
          </cell>
          <cell r="E2" t="str">
            <v>Productos quimicos</v>
          </cell>
          <cell r="G2">
            <v>485093510.39999944</v>
          </cell>
          <cell r="H2">
            <v>42492614.719999894</v>
          </cell>
        </row>
        <row r="3">
          <cell r="C3">
            <v>164223477.25000024</v>
          </cell>
          <cell r="D3">
            <v>23187387.370000005</v>
          </cell>
          <cell r="E3" t="str">
            <v>Agricultura</v>
          </cell>
          <cell r="G3">
            <v>441732185.53000087</v>
          </cell>
          <cell r="H3">
            <v>78608446.719999984</v>
          </cell>
        </row>
        <row r="4">
          <cell r="C4">
            <v>239179579.43000031</v>
          </cell>
          <cell r="D4">
            <v>21033372.180000011</v>
          </cell>
          <cell r="E4" t="str">
            <v>Alimentos y bebidas</v>
          </cell>
          <cell r="G4">
            <v>263545815.7100009</v>
          </cell>
          <cell r="H4">
            <v>29928040.759999994</v>
          </cell>
        </row>
        <row r="5">
          <cell r="C5">
            <v>88804713.230000019</v>
          </cell>
          <cell r="D5">
            <v>14411545.030000003</v>
          </cell>
          <cell r="E5" t="str">
            <v>Equipos de transporte</v>
          </cell>
          <cell r="G5">
            <v>223262315.13000003</v>
          </cell>
          <cell r="H5">
            <v>801697.15</v>
          </cell>
        </row>
        <row r="6">
          <cell r="C6">
            <v>276716087.51000166</v>
          </cell>
          <cell r="D6">
            <v>13770143.540000023</v>
          </cell>
          <cell r="E6" t="str">
            <v>Textiles</v>
          </cell>
          <cell r="G6">
            <v>178866770.78999868</v>
          </cell>
          <cell r="H6">
            <v>16759985.760000002</v>
          </cell>
        </row>
        <row r="7">
          <cell r="C7">
            <v>176771862.00000018</v>
          </cell>
          <cell r="D7">
            <v>16012060.380000012</v>
          </cell>
          <cell r="E7" t="str">
            <v>Caucho y de plastico</v>
          </cell>
          <cell r="G7">
            <v>172015342.44000009</v>
          </cell>
          <cell r="H7">
            <v>12124347.799999995</v>
          </cell>
        </row>
        <row r="8">
          <cell r="C8">
            <v>116128071.01999991</v>
          </cell>
          <cell r="D8">
            <v>11364863.650000002</v>
          </cell>
          <cell r="E8" t="str">
            <v>Vehículos automotores</v>
          </cell>
          <cell r="G8">
            <v>148877858.23000002</v>
          </cell>
          <cell r="H8">
            <v>8567960.849999994</v>
          </cell>
        </row>
        <row r="9">
          <cell r="C9">
            <v>128915679.03999999</v>
          </cell>
          <cell r="D9">
            <v>13870080.759999994</v>
          </cell>
          <cell r="E9" t="str">
            <v>Edición</v>
          </cell>
          <cell r="G9">
            <v>108562080.22000019</v>
          </cell>
          <cell r="H9">
            <v>8770086.5099999961</v>
          </cell>
        </row>
        <row r="10">
          <cell r="C10">
            <v>97515189.960000381</v>
          </cell>
          <cell r="D10">
            <v>7786423.4700000007</v>
          </cell>
          <cell r="E10" t="str">
            <v>Prendas de vestir</v>
          </cell>
          <cell r="G10">
            <v>100447468.27000004</v>
          </cell>
          <cell r="H10">
            <v>13442008.340000028</v>
          </cell>
        </row>
        <row r="11">
          <cell r="C11">
            <v>84987225.169999942</v>
          </cell>
          <cell r="D11">
            <v>8560059.2499999981</v>
          </cell>
          <cell r="E11" t="str">
            <v>Refinación del petroleo</v>
          </cell>
          <cell r="G11">
            <v>96420201.819999993</v>
          </cell>
          <cell r="H11">
            <v>8492885.2299999986</v>
          </cell>
        </row>
        <row r="12">
          <cell r="C12">
            <v>123087899.42000043</v>
          </cell>
          <cell r="D12">
            <v>7469346.3400000045</v>
          </cell>
          <cell r="E12" t="str">
            <v>Maquinaria y equipo</v>
          </cell>
          <cell r="G12">
            <v>94856136.610000223</v>
          </cell>
          <cell r="H12">
            <v>6053404.3599999994</v>
          </cell>
        </row>
        <row r="13">
          <cell r="C13">
            <v>80281861.370000154</v>
          </cell>
          <cell r="D13">
            <v>6864569.150000005</v>
          </cell>
          <cell r="E13" t="str">
            <v>Cueros</v>
          </cell>
          <cell r="G13">
            <v>90342615.330000207</v>
          </cell>
          <cell r="H13">
            <v>9221214.7799999937</v>
          </cell>
        </row>
        <row r="14">
          <cell r="C14">
            <v>86725755.519999638</v>
          </cell>
          <cell r="D14">
            <v>7104872.8099999856</v>
          </cell>
          <cell r="E14" t="str">
            <v>Muebles industrias</v>
          </cell>
          <cell r="G14">
            <v>89110496.670000106</v>
          </cell>
          <cell r="H14">
            <v>9334894.4399999939</v>
          </cell>
        </row>
        <row r="15">
          <cell r="C15">
            <v>207117849.29999989</v>
          </cell>
          <cell r="D15">
            <v>10662204.850000009</v>
          </cell>
          <cell r="E15" t="str">
            <v>Aparatos electricos</v>
          </cell>
          <cell r="G15">
            <v>75084148.169999868</v>
          </cell>
          <cell r="H15">
            <v>3684110.0499999989</v>
          </cell>
        </row>
        <row r="16">
          <cell r="C16">
            <v>46064627.279999942</v>
          </cell>
          <cell r="D16">
            <v>6515396.2000000011</v>
          </cell>
          <cell r="E16" t="str">
            <v>Productos metalúrgicos</v>
          </cell>
          <cell r="G16">
            <v>72984175.36999999</v>
          </cell>
          <cell r="H16">
            <v>3943535.4699999983</v>
          </cell>
        </row>
        <row r="17">
          <cell r="C17">
            <v>75551196.069999948</v>
          </cell>
          <cell r="D17">
            <v>6957961.3299999982</v>
          </cell>
          <cell r="E17" t="str">
            <v>Productos de metal</v>
          </cell>
          <cell r="G17">
            <v>66041153.879999958</v>
          </cell>
          <cell r="H17">
            <v>5529695.5200000051</v>
          </cell>
        </row>
        <row r="18">
          <cell r="C18">
            <v>70441389.220000029</v>
          </cell>
          <cell r="D18">
            <v>5833209.3999999966</v>
          </cell>
          <cell r="E18" t="str">
            <v>Minerales no metálicos</v>
          </cell>
          <cell r="G18">
            <v>63953337.849999934</v>
          </cell>
          <cell r="H18">
            <v>5388645.8399999943</v>
          </cell>
        </row>
        <row r="19">
          <cell r="C19">
            <v>53208865.300000019</v>
          </cell>
          <cell r="D19">
            <v>2793312.15</v>
          </cell>
          <cell r="E19" t="str">
            <v>Equipo de radio</v>
          </cell>
          <cell r="G19">
            <v>50025223.619999953</v>
          </cell>
          <cell r="H19">
            <v>2103342.65</v>
          </cell>
        </row>
        <row r="20">
          <cell r="C20">
            <v>73714707.780000016</v>
          </cell>
          <cell r="D20">
            <v>4478883</v>
          </cell>
          <cell r="E20" t="str">
            <v>Carbón</v>
          </cell>
          <cell r="G20">
            <v>38282393.099999994</v>
          </cell>
          <cell r="H20">
            <v>6839656.6000000006</v>
          </cell>
        </row>
        <row r="21">
          <cell r="C21">
            <v>39420483.81000004</v>
          </cell>
          <cell r="D21">
            <v>1920189.4400000002</v>
          </cell>
          <cell r="E21" t="str">
            <v>Instrumentos médicos</v>
          </cell>
          <cell r="G21">
            <v>23901199.95000004</v>
          </cell>
          <cell r="H21">
            <v>1989061.0699999989</v>
          </cell>
        </row>
        <row r="22">
          <cell r="C22">
            <v>34065571.900000021</v>
          </cell>
          <cell r="D22">
            <v>1782754.1900000004</v>
          </cell>
          <cell r="E22" t="str">
            <v>Papel</v>
          </cell>
          <cell r="G22">
            <v>14791571.370000007</v>
          </cell>
          <cell r="H22">
            <v>1702713.9200000013</v>
          </cell>
        </row>
        <row r="23">
          <cell r="C23">
            <v>6671806.25</v>
          </cell>
          <cell r="D23">
            <v>430667.73999999993</v>
          </cell>
          <cell r="E23" t="str">
            <v>Sin información</v>
          </cell>
          <cell r="G23">
            <v>14633827.119999997</v>
          </cell>
          <cell r="H23">
            <v>2814279.3</v>
          </cell>
        </row>
        <row r="24">
          <cell r="C24">
            <v>8451606.8999999985</v>
          </cell>
          <cell r="D24">
            <v>734890.93</v>
          </cell>
          <cell r="E24" t="str">
            <v>Pesca</v>
          </cell>
          <cell r="G24">
            <v>8574721.7599999998</v>
          </cell>
          <cell r="H24">
            <v>583508.39</v>
          </cell>
        </row>
        <row r="25">
          <cell r="C25">
            <v>8911634.9599999879</v>
          </cell>
          <cell r="D25">
            <v>302226.88000000006</v>
          </cell>
          <cell r="E25" t="str">
            <v>Maquinaria de oficina</v>
          </cell>
          <cell r="G25">
            <v>7249727.1799999941</v>
          </cell>
          <cell r="H25">
            <v>950091.7899999998</v>
          </cell>
        </row>
        <row r="26">
          <cell r="C26">
            <v>6426908.8300000029</v>
          </cell>
          <cell r="D26">
            <v>314009.79000000004</v>
          </cell>
          <cell r="E26" t="str">
            <v>Madera</v>
          </cell>
          <cell r="G26">
            <v>5075344.5300000012</v>
          </cell>
          <cell r="H26">
            <v>353201.64999999997</v>
          </cell>
        </row>
        <row r="27">
          <cell r="C27">
            <v>34337897.900000006</v>
          </cell>
          <cell r="D27">
            <v>2972919.33</v>
          </cell>
          <cell r="E27" t="str">
            <v>Minerales metaliferos</v>
          </cell>
          <cell r="G27">
            <v>3706069.73</v>
          </cell>
          <cell r="H27">
            <v>0</v>
          </cell>
        </row>
        <row r="28">
          <cell r="C28">
            <v>1723269.7400000002</v>
          </cell>
          <cell r="D28">
            <v>125327.93</v>
          </cell>
          <cell r="E28" t="str">
            <v>Reciclaje</v>
          </cell>
          <cell r="G28">
            <v>3410558.7800000003</v>
          </cell>
          <cell r="H28">
            <v>398697.29000000004</v>
          </cell>
        </row>
        <row r="29">
          <cell r="C29">
            <v>11940857.770000003</v>
          </cell>
          <cell r="D29">
            <v>204534.08000000002</v>
          </cell>
          <cell r="E29" t="str">
            <v>Minerales no metalicos</v>
          </cell>
          <cell r="G29">
            <v>2130671.5699999998</v>
          </cell>
          <cell r="H29">
            <v>83364.009999999995</v>
          </cell>
        </row>
        <row r="30">
          <cell r="C30">
            <v>2581919.4500000002</v>
          </cell>
          <cell r="D30">
            <v>1157226</v>
          </cell>
          <cell r="E30" t="str">
            <v>Tabaco</v>
          </cell>
          <cell r="G30">
            <v>966101.31</v>
          </cell>
          <cell r="H30">
            <v>11135.6</v>
          </cell>
        </row>
        <row r="31">
          <cell r="C31">
            <v>628621.44000000006</v>
          </cell>
          <cell r="D31">
            <v>40825.699999999997</v>
          </cell>
          <cell r="E31" t="str">
            <v>Esparcimiento</v>
          </cell>
          <cell r="G31">
            <v>574239.06000000006</v>
          </cell>
          <cell r="H31">
            <v>54455.33</v>
          </cell>
        </row>
        <row r="32">
          <cell r="C32">
            <v>523177.53999999986</v>
          </cell>
          <cell r="D32">
            <v>38188.130000000005</v>
          </cell>
          <cell r="E32" t="str">
            <v>Silvicultura</v>
          </cell>
          <cell r="G32">
            <v>532487.68999999994</v>
          </cell>
          <cell r="H32">
            <v>68815.98000000001</v>
          </cell>
        </row>
        <row r="33">
          <cell r="C33">
            <v>47869.42</v>
          </cell>
          <cell r="D33">
            <v>100.1</v>
          </cell>
          <cell r="E33" t="str">
            <v>Activ. empresariales</v>
          </cell>
          <cell r="G33">
            <v>5821.33</v>
          </cell>
          <cell r="H33">
            <v>3215.33</v>
          </cell>
        </row>
        <row r="34">
          <cell r="C34">
            <v>7279.66</v>
          </cell>
          <cell r="D34">
            <v>0</v>
          </cell>
          <cell r="E34" t="str">
            <v>Telecomunicaciones</v>
          </cell>
          <cell r="G34">
            <v>866.48</v>
          </cell>
          <cell r="H34">
            <v>8.58</v>
          </cell>
        </row>
        <row r="35">
          <cell r="C35">
            <v>4210.5599999999995</v>
          </cell>
          <cell r="D35">
            <v>221</v>
          </cell>
          <cell r="E35" t="str">
            <v>Comercio al por mayor</v>
          </cell>
          <cell r="G35">
            <v>678.8</v>
          </cell>
          <cell r="H35">
            <v>0</v>
          </cell>
        </row>
        <row r="36">
          <cell r="E36" t="str">
            <v>Petróleo</v>
          </cell>
          <cell r="G36">
            <v>10</v>
          </cell>
          <cell r="H36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resumen_venezuela1"/>
    </sheetNames>
    <sheetDataSet>
      <sheetData sheetId="0">
        <row r="8">
          <cell r="B8">
            <v>821467119</v>
          </cell>
          <cell r="C8">
            <v>345380613</v>
          </cell>
          <cell r="D8">
            <v>37412286</v>
          </cell>
          <cell r="E8">
            <v>28757568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Venezuela</v>
          </cell>
          <cell r="B2">
            <v>821467119.45000315</v>
          </cell>
          <cell r="C2">
            <v>37412285.840000018</v>
          </cell>
          <cell r="D2">
            <v>345380612.7599979</v>
          </cell>
          <cell r="E2">
            <v>28757568.089999992</v>
          </cell>
        </row>
        <row r="3">
          <cell r="A3" t="str">
            <v>Suiza</v>
          </cell>
          <cell r="B3">
            <v>125064526.79999998</v>
          </cell>
          <cell r="C3">
            <v>16581730.720000001</v>
          </cell>
          <cell r="D3">
            <v>95235552.22999993</v>
          </cell>
          <cell r="E3">
            <v>8023037.5500000007</v>
          </cell>
        </row>
        <row r="4">
          <cell r="A4" t="str">
            <v>Costa Rica</v>
          </cell>
          <cell r="B4">
            <v>52003638.190000169</v>
          </cell>
          <cell r="C4">
            <v>4688939.8100000024</v>
          </cell>
          <cell r="D4">
            <v>40142317.589999959</v>
          </cell>
          <cell r="E4">
            <v>4235955.7400000021</v>
          </cell>
        </row>
        <row r="5">
          <cell r="A5" t="str">
            <v>Perú</v>
          </cell>
          <cell r="B5">
            <v>157688688.09000063</v>
          </cell>
          <cell r="C5">
            <v>17062716.360000011</v>
          </cell>
          <cell r="D5">
            <v>146218638.34999985</v>
          </cell>
          <cell r="E5">
            <v>11282804.739999995</v>
          </cell>
        </row>
        <row r="6">
          <cell r="A6" t="str">
            <v>Bolivia</v>
          </cell>
          <cell r="B6">
            <v>24068660.850000024</v>
          </cell>
          <cell r="C6">
            <v>1060856.5899999999</v>
          </cell>
          <cell r="D6">
            <v>13552935.770000005</v>
          </cell>
          <cell r="E6">
            <v>1113256.71</v>
          </cell>
        </row>
        <row r="7">
          <cell r="A7" t="str">
            <v>Alemania</v>
          </cell>
          <cell r="B7">
            <v>25551284.919999998</v>
          </cell>
          <cell r="C7">
            <v>1951922.9099999995</v>
          </cell>
          <cell r="D7">
            <v>19974581.399999991</v>
          </cell>
          <cell r="E7">
            <v>987430.4499999996</v>
          </cell>
        </row>
        <row r="8">
          <cell r="A8" t="str">
            <v>Portugal</v>
          </cell>
          <cell r="B8">
            <v>5157035.6400000015</v>
          </cell>
          <cell r="C8">
            <v>250909.12000000002</v>
          </cell>
          <cell r="D8">
            <v>2400079.7600000007</v>
          </cell>
          <cell r="E8">
            <v>181536.99</v>
          </cell>
        </row>
        <row r="9">
          <cell r="A9" t="str">
            <v>Puerto Rico</v>
          </cell>
          <cell r="B9">
            <v>24189142.140000008</v>
          </cell>
          <cell r="C9">
            <v>1791865.4099999995</v>
          </cell>
          <cell r="D9">
            <v>21659169.729999956</v>
          </cell>
          <cell r="E9">
            <v>1673275.3699999996</v>
          </cell>
        </row>
        <row r="10">
          <cell r="A10" t="str">
            <v>España</v>
          </cell>
          <cell r="B10">
            <v>38711335.399999961</v>
          </cell>
          <cell r="C10">
            <v>4476310.9899999984</v>
          </cell>
          <cell r="D10">
            <v>38195223.609999925</v>
          </cell>
          <cell r="E10">
            <v>3943141.5000000033</v>
          </cell>
        </row>
        <row r="11">
          <cell r="A11" t="str">
            <v>Bulgaria</v>
          </cell>
          <cell r="B11">
            <v>280608.08999999997</v>
          </cell>
          <cell r="C11">
            <v>12252.5</v>
          </cell>
          <cell r="D11">
            <v>18714.5</v>
          </cell>
          <cell r="E11">
            <v>3357.6</v>
          </cell>
        </row>
        <row r="12">
          <cell r="A12" t="str">
            <v>Dinamarca</v>
          </cell>
          <cell r="B12">
            <v>615824.57999999996</v>
          </cell>
          <cell r="C12">
            <v>18807.099999999999</v>
          </cell>
          <cell r="D12">
            <v>391627.09000000008</v>
          </cell>
          <cell r="E12">
            <v>23304.5</v>
          </cell>
        </row>
        <row r="13">
          <cell r="A13" t="str">
            <v>Rumania</v>
          </cell>
          <cell r="B13">
            <v>150060.51</v>
          </cell>
          <cell r="C13">
            <v>24066.51</v>
          </cell>
          <cell r="D13">
            <v>67865.19</v>
          </cell>
          <cell r="E13">
            <v>7686.3</v>
          </cell>
        </row>
        <row r="14">
          <cell r="A14" t="str">
            <v>Malta</v>
          </cell>
          <cell r="B14">
            <v>44388.9</v>
          </cell>
          <cell r="C14">
            <v>18228</v>
          </cell>
          <cell r="D14">
            <v>0</v>
          </cell>
          <cell r="E14">
            <v>0</v>
          </cell>
        </row>
        <row r="15">
          <cell r="A15" t="str">
            <v>Luxemburgo</v>
          </cell>
          <cell r="B15">
            <v>32184.85</v>
          </cell>
          <cell r="C15">
            <v>0</v>
          </cell>
          <cell r="D15">
            <v>0</v>
          </cell>
          <cell r="E15">
            <v>0</v>
          </cell>
        </row>
        <row r="16">
          <cell r="A16" t="str">
            <v>Letonia</v>
          </cell>
          <cell r="B16">
            <v>38930.93</v>
          </cell>
          <cell r="C16">
            <v>0</v>
          </cell>
          <cell r="D16">
            <v>21331.21</v>
          </cell>
          <cell r="E16">
            <v>3206.44</v>
          </cell>
        </row>
        <row r="17">
          <cell r="A17" t="str">
            <v>Hungría</v>
          </cell>
          <cell r="B17">
            <v>216917.66999999998</v>
          </cell>
          <cell r="C17">
            <v>1284.5999999999999</v>
          </cell>
          <cell r="D17">
            <v>208565.73</v>
          </cell>
          <cell r="E17">
            <v>53113.450000000004</v>
          </cell>
        </row>
        <row r="18">
          <cell r="A18" t="str">
            <v>Estonia</v>
          </cell>
          <cell r="B18">
            <v>15038.5</v>
          </cell>
          <cell r="C18">
            <v>2715</v>
          </cell>
          <cell r="D18">
            <v>14122.05</v>
          </cell>
          <cell r="E18">
            <v>471</v>
          </cell>
        </row>
        <row r="19">
          <cell r="A19" t="str">
            <v>Los demás</v>
          </cell>
          <cell r="B19">
            <v>147981600.57999951</v>
          </cell>
          <cell r="C19">
            <v>9118532.5199999977</v>
          </cell>
          <cell r="D19">
            <v>64656515.649999961</v>
          </cell>
          <cell r="E19">
            <v>4996446.469999996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Estados Unidos</v>
          </cell>
          <cell r="B2">
            <v>485344661.01999635</v>
          </cell>
          <cell r="C2">
            <v>46674695.600000009</v>
          </cell>
          <cell r="D2">
            <v>713284830.41999745</v>
          </cell>
          <cell r="E2">
            <v>96752866.699999601</v>
          </cell>
        </row>
        <row r="3">
          <cell r="A3" t="str">
            <v>Ecuador</v>
          </cell>
          <cell r="B3">
            <v>347479713.31999743</v>
          </cell>
          <cell r="C3">
            <v>31940796.870000046</v>
          </cell>
          <cell r="D3">
            <v>458037583.03000093</v>
          </cell>
          <cell r="E3">
            <v>38501287.720000088</v>
          </cell>
        </row>
        <row r="4">
          <cell r="A4" t="str">
            <v>Brasil</v>
          </cell>
          <cell r="B4">
            <v>43861656.119999893</v>
          </cell>
          <cell r="C4">
            <v>9948290.1099999994</v>
          </cell>
          <cell r="D4">
            <v>104188302.99999997</v>
          </cell>
          <cell r="E4">
            <v>4697022.709999999</v>
          </cell>
        </row>
        <row r="5">
          <cell r="A5" t="str">
            <v>Italia</v>
          </cell>
          <cell r="B5">
            <v>18340215.809999991</v>
          </cell>
          <cell r="C5">
            <v>738315.21999999974</v>
          </cell>
          <cell r="D5">
            <v>74298381.3800001</v>
          </cell>
          <cell r="E5">
            <v>5502729.5499999989</v>
          </cell>
        </row>
        <row r="6">
          <cell r="A6" t="str">
            <v>Bélgica</v>
          </cell>
          <cell r="B6">
            <v>13578549.089999998</v>
          </cell>
          <cell r="C6">
            <v>2806376.58</v>
          </cell>
          <cell r="D6">
            <v>26558865.369999968</v>
          </cell>
          <cell r="E6">
            <v>4201765.5399999991</v>
          </cell>
        </row>
        <row r="7">
          <cell r="A7" t="str">
            <v>Reino Unido</v>
          </cell>
          <cell r="B7">
            <v>16264761.57999998</v>
          </cell>
          <cell r="C7">
            <v>2780548.879999999</v>
          </cell>
          <cell r="D7">
            <v>29158180.820000011</v>
          </cell>
          <cell r="E7">
            <v>3942429.6399999978</v>
          </cell>
        </row>
        <row r="8">
          <cell r="A8" t="str">
            <v>Japón</v>
          </cell>
          <cell r="B8">
            <v>18743439.399999995</v>
          </cell>
          <cell r="C8">
            <v>1771639.3399999994</v>
          </cell>
          <cell r="D8">
            <v>28588483.650000017</v>
          </cell>
          <cell r="E8">
            <v>3951844.5900000008</v>
          </cell>
        </row>
        <row r="9">
          <cell r="A9" t="str">
            <v>Francia</v>
          </cell>
          <cell r="B9">
            <v>20249512.110000018</v>
          </cell>
          <cell r="C9">
            <v>2626079.0700000003</v>
          </cell>
          <cell r="D9">
            <v>29979296.140000001</v>
          </cell>
          <cell r="E9">
            <v>2930547.5899999989</v>
          </cell>
        </row>
        <row r="10">
          <cell r="A10" t="str">
            <v>China</v>
          </cell>
          <cell r="B10">
            <v>20818379.52</v>
          </cell>
          <cell r="C10">
            <v>3019965.4299999997</v>
          </cell>
          <cell r="D10">
            <v>28799116.23</v>
          </cell>
          <cell r="E10">
            <v>2193684.31</v>
          </cell>
        </row>
        <row r="11">
          <cell r="A11" t="str">
            <v>Países Bajos</v>
          </cell>
          <cell r="B11">
            <v>18519513.319999985</v>
          </cell>
          <cell r="C11">
            <v>2683680.8199999998</v>
          </cell>
          <cell r="D11">
            <v>25955949.809999973</v>
          </cell>
          <cell r="E11">
            <v>2310270.7000000007</v>
          </cell>
        </row>
        <row r="12">
          <cell r="A12" t="str">
            <v>Canadá</v>
          </cell>
          <cell r="B12">
            <v>26490992.78999998</v>
          </cell>
          <cell r="C12">
            <v>6009448.5600000005</v>
          </cell>
          <cell r="D12">
            <v>31564924.819999948</v>
          </cell>
          <cell r="E12">
            <v>2694813.5999999992</v>
          </cell>
        </row>
        <row r="13">
          <cell r="A13" t="str">
            <v>Argentina</v>
          </cell>
          <cell r="B13">
            <v>15635018.29999999</v>
          </cell>
          <cell r="C13">
            <v>1633597.6900000002</v>
          </cell>
          <cell r="D13">
            <v>20193748.779999979</v>
          </cell>
          <cell r="E13">
            <v>1311459.2100000002</v>
          </cell>
        </row>
        <row r="14">
          <cell r="A14" t="str">
            <v>Finlandia</v>
          </cell>
          <cell r="B14">
            <v>641113.75</v>
          </cell>
          <cell r="C14">
            <v>18403.400000000001</v>
          </cell>
          <cell r="D14">
            <v>4066936.8399999994</v>
          </cell>
          <cell r="E14">
            <v>101609.67</v>
          </cell>
        </row>
        <row r="15">
          <cell r="A15" t="str">
            <v>Suecia</v>
          </cell>
          <cell r="B15">
            <v>2289614.2200000007</v>
          </cell>
          <cell r="C15">
            <v>139122.29999999999</v>
          </cell>
          <cell r="D15">
            <v>5608178.2300000042</v>
          </cell>
          <cell r="E15">
            <v>650946.17000000004</v>
          </cell>
        </row>
        <row r="16">
          <cell r="A16" t="str">
            <v>Uruguay</v>
          </cell>
          <cell r="B16">
            <v>4238724.1500000004</v>
          </cell>
          <cell r="C16">
            <v>1404007.21</v>
          </cell>
          <cell r="D16">
            <v>7311875.879999999</v>
          </cell>
          <cell r="E16">
            <v>3707635.11</v>
          </cell>
        </row>
        <row r="17">
          <cell r="A17" t="str">
            <v>Eslovenia</v>
          </cell>
          <cell r="B17">
            <v>9578.2999999999993</v>
          </cell>
          <cell r="C17">
            <v>0</v>
          </cell>
          <cell r="D17">
            <v>2497831.87</v>
          </cell>
          <cell r="E17">
            <v>7766.1</v>
          </cell>
        </row>
        <row r="18">
          <cell r="A18" t="str">
            <v>Cuba</v>
          </cell>
          <cell r="B18">
            <v>7373754.1699999981</v>
          </cell>
          <cell r="C18">
            <v>818705.01</v>
          </cell>
          <cell r="D18">
            <v>9724487.0500000082</v>
          </cell>
          <cell r="E18">
            <v>1174346.2299999997</v>
          </cell>
        </row>
        <row r="19">
          <cell r="A19" t="str">
            <v>Chile</v>
          </cell>
          <cell r="B19">
            <v>63690915.390000023</v>
          </cell>
          <cell r="C19">
            <v>5224080.3000000035</v>
          </cell>
          <cell r="D19">
            <v>65882691.650000036</v>
          </cell>
          <cell r="E19">
            <v>6511623.0900000073</v>
          </cell>
        </row>
        <row r="20">
          <cell r="A20" t="str">
            <v>Paraguay</v>
          </cell>
          <cell r="B20">
            <v>1747809.4099999995</v>
          </cell>
          <cell r="C20">
            <v>194226.71</v>
          </cell>
          <cell r="D20">
            <v>3590790.8400000012</v>
          </cell>
          <cell r="E20">
            <v>474944.94</v>
          </cell>
        </row>
        <row r="21">
          <cell r="A21" t="str">
            <v>Grecia</v>
          </cell>
          <cell r="B21">
            <v>572354.53</v>
          </cell>
          <cell r="C21">
            <v>84153.39</v>
          </cell>
          <cell r="D21">
            <v>2122345.9999999995</v>
          </cell>
          <cell r="E21">
            <v>233256.68</v>
          </cell>
        </row>
        <row r="22">
          <cell r="A22" t="str">
            <v>República Dominicana</v>
          </cell>
          <cell r="B22">
            <v>34680150.620000079</v>
          </cell>
          <cell r="C22">
            <v>1987347.79</v>
          </cell>
          <cell r="D22">
            <v>36128802.719999902</v>
          </cell>
          <cell r="E22">
            <v>2882026.3000000003</v>
          </cell>
        </row>
        <row r="23">
          <cell r="A23" t="str">
            <v>México</v>
          </cell>
          <cell r="B23">
            <v>114226416.16000006</v>
          </cell>
          <cell r="C23">
            <v>8409167.6800000034</v>
          </cell>
          <cell r="D23">
            <v>115295494.41000012</v>
          </cell>
          <cell r="E23">
            <v>9449052.5099999942</v>
          </cell>
        </row>
        <row r="24">
          <cell r="A24" t="str">
            <v>Austria</v>
          </cell>
          <cell r="B24">
            <v>522849.96000000014</v>
          </cell>
          <cell r="C24">
            <v>39964.47</v>
          </cell>
          <cell r="D24">
            <v>849056.74999999965</v>
          </cell>
          <cell r="E24">
            <v>51668.6</v>
          </cell>
        </row>
        <row r="25">
          <cell r="A25" t="str">
            <v>Eslovaquia</v>
          </cell>
          <cell r="B25">
            <v>47537.71</v>
          </cell>
          <cell r="C25">
            <v>0</v>
          </cell>
          <cell r="D25">
            <v>317503.78999999986</v>
          </cell>
          <cell r="E25">
            <v>5371.33</v>
          </cell>
        </row>
        <row r="26">
          <cell r="A26" t="str">
            <v>República Checa</v>
          </cell>
          <cell r="B26">
            <v>236861.38999999998</v>
          </cell>
          <cell r="C26">
            <v>13690.7</v>
          </cell>
          <cell r="D26">
            <v>445157.34000000014</v>
          </cell>
          <cell r="E26">
            <v>56176.22</v>
          </cell>
        </row>
        <row r="27">
          <cell r="A27" t="str">
            <v>Irlanda</v>
          </cell>
          <cell r="B27">
            <v>98414.91</v>
          </cell>
          <cell r="C27">
            <v>0</v>
          </cell>
          <cell r="D27">
            <v>242828.83000000002</v>
          </cell>
          <cell r="E27">
            <v>127079.29</v>
          </cell>
        </row>
        <row r="28">
          <cell r="A28" t="str">
            <v>Lituania</v>
          </cell>
          <cell r="B28">
            <v>15825</v>
          </cell>
          <cell r="C28">
            <v>0</v>
          </cell>
          <cell r="D28">
            <v>43047</v>
          </cell>
          <cell r="E28">
            <v>21700</v>
          </cell>
        </row>
        <row r="29">
          <cell r="A29" t="str">
            <v>Polonia</v>
          </cell>
          <cell r="B29">
            <v>656496.42999999993</v>
          </cell>
          <cell r="C29">
            <v>13485.05</v>
          </cell>
          <cell r="D29">
            <v>681850.85000000009</v>
          </cell>
          <cell r="E29">
            <v>85408.81</v>
          </cell>
        </row>
        <row r="30">
          <cell r="A30" t="str">
            <v>Chipre</v>
          </cell>
          <cell r="B30">
            <v>15662.71</v>
          </cell>
          <cell r="C30">
            <v>0</v>
          </cell>
          <cell r="D30">
            <v>22043.8</v>
          </cell>
          <cell r="E30">
            <v>707.5</v>
          </cell>
        </row>
        <row r="31">
          <cell r="A31" t="str">
            <v>Los demás</v>
          </cell>
          <cell r="B31">
            <v>185681697.54000071</v>
          </cell>
          <cell r="C31">
            <v>17708821.20000001</v>
          </cell>
          <cell r="D31">
            <v>331480685.87999994</v>
          </cell>
          <cell r="E31">
            <v>21281488.48000006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destino"/>
    </sheetNames>
    <sheetDataSet>
      <sheetData sheetId="0" refreshError="1">
        <row r="7">
          <cell r="B7" t="str">
            <v>Bolivia</v>
          </cell>
        </row>
        <row r="8">
          <cell r="B8" t="str">
            <v>Ecuador</v>
          </cell>
        </row>
        <row r="9">
          <cell r="B9" t="str">
            <v xml:space="preserve">Perú </v>
          </cell>
        </row>
        <row r="22">
          <cell r="F22">
            <v>2010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destino"/>
    </sheetNames>
    <sheetDataSet>
      <sheetData sheetId="0">
        <row r="7">
          <cell r="C7">
            <v>24068661</v>
          </cell>
          <cell r="D7">
            <v>13552936</v>
          </cell>
          <cell r="E7">
            <v>1060857</v>
          </cell>
          <cell r="F7">
            <v>1113257</v>
          </cell>
        </row>
        <row r="8">
          <cell r="C8">
            <v>347479713</v>
          </cell>
          <cell r="D8">
            <v>458037583</v>
          </cell>
          <cell r="E8">
            <v>31940797</v>
          </cell>
          <cell r="F8">
            <v>38501288</v>
          </cell>
        </row>
        <row r="9">
          <cell r="C9">
            <v>157688688</v>
          </cell>
          <cell r="D9">
            <v>146218638</v>
          </cell>
          <cell r="E9">
            <v>17062716</v>
          </cell>
          <cell r="F9">
            <v>11282805</v>
          </cell>
        </row>
        <row r="23">
          <cell r="B23" t="str">
            <v>Argentina</v>
          </cell>
          <cell r="C23">
            <v>15635018</v>
          </cell>
          <cell r="D23">
            <v>20193749</v>
          </cell>
          <cell r="E23">
            <v>1633598</v>
          </cell>
          <cell r="F23">
            <v>1311459</v>
          </cell>
        </row>
        <row r="24">
          <cell r="B24" t="str">
            <v xml:space="preserve">Brasil </v>
          </cell>
          <cell r="C24">
            <v>43861656</v>
          </cell>
          <cell r="D24">
            <v>104188303</v>
          </cell>
          <cell r="E24">
            <v>9948290</v>
          </cell>
          <cell r="F24">
            <v>4697023</v>
          </cell>
        </row>
        <row r="25">
          <cell r="B25" t="str">
            <v xml:space="preserve">Cuba </v>
          </cell>
          <cell r="C25">
            <v>7373754</v>
          </cell>
          <cell r="D25">
            <v>9724487</v>
          </cell>
          <cell r="E25">
            <v>818705</v>
          </cell>
          <cell r="F25">
            <v>1174346</v>
          </cell>
        </row>
        <row r="26">
          <cell r="B26" t="str">
            <v xml:space="preserve">Chile </v>
          </cell>
          <cell r="C26">
            <v>63690915</v>
          </cell>
          <cell r="D26">
            <v>65882692</v>
          </cell>
          <cell r="E26">
            <v>5224080</v>
          </cell>
          <cell r="F26">
            <v>6511623</v>
          </cell>
        </row>
        <row r="27">
          <cell r="B27" t="str">
            <v xml:space="preserve">México </v>
          </cell>
          <cell r="C27">
            <v>114226416</v>
          </cell>
          <cell r="D27">
            <v>115295494</v>
          </cell>
          <cell r="E27">
            <v>8409168</v>
          </cell>
          <cell r="F27">
            <v>9449053</v>
          </cell>
        </row>
        <row r="28">
          <cell r="B28" t="str">
            <v xml:space="preserve">Paraguay </v>
          </cell>
          <cell r="C28">
            <v>1747809</v>
          </cell>
          <cell r="D28">
            <v>3590791</v>
          </cell>
          <cell r="E28">
            <v>194227</v>
          </cell>
          <cell r="F28">
            <v>474945</v>
          </cell>
        </row>
        <row r="29">
          <cell r="B29" t="str">
            <v xml:space="preserve">Uruguay </v>
          </cell>
          <cell r="C29">
            <v>4238724</v>
          </cell>
          <cell r="D29">
            <v>7311876</v>
          </cell>
          <cell r="E29">
            <v>1404007</v>
          </cell>
          <cell r="F29">
            <v>3707635</v>
          </cell>
        </row>
        <row r="30">
          <cell r="B30" t="str">
            <v>Venezuela</v>
          </cell>
          <cell r="C30">
            <v>821467119</v>
          </cell>
          <cell r="D30">
            <v>345380613</v>
          </cell>
          <cell r="E30">
            <v>37412286</v>
          </cell>
          <cell r="F30">
            <v>28757568</v>
          </cell>
        </row>
        <row r="44">
          <cell r="B44" t="str">
            <v xml:space="preserve">Canadá </v>
          </cell>
          <cell r="C44">
            <v>26490993</v>
          </cell>
          <cell r="D44">
            <v>31564925</v>
          </cell>
          <cell r="E44">
            <v>6009449</v>
          </cell>
          <cell r="F44">
            <v>2694814</v>
          </cell>
        </row>
        <row r="45">
          <cell r="B45" t="str">
            <v>Estados Unidos</v>
          </cell>
          <cell r="C45">
            <v>485344661</v>
          </cell>
          <cell r="D45">
            <v>713284830</v>
          </cell>
          <cell r="E45">
            <v>46674696</v>
          </cell>
          <cell r="F45">
            <v>96752867</v>
          </cell>
        </row>
        <row r="46">
          <cell r="B46" t="str">
            <v xml:space="preserve">Puerto Rico </v>
          </cell>
          <cell r="C46">
            <v>24189142</v>
          </cell>
          <cell r="D46">
            <v>21659170</v>
          </cell>
          <cell r="E46">
            <v>1791865</v>
          </cell>
          <cell r="F46">
            <v>1673275</v>
          </cell>
        </row>
        <row r="60">
          <cell r="B60" t="str">
            <v xml:space="preserve">Alemania </v>
          </cell>
          <cell r="C60">
            <v>25551285</v>
          </cell>
          <cell r="D60">
            <v>19974581</v>
          </cell>
          <cell r="E60">
            <v>1951923</v>
          </cell>
          <cell r="F60">
            <v>987430</v>
          </cell>
        </row>
        <row r="61">
          <cell r="B61" t="str">
            <v xml:space="preserve">Bélgica </v>
          </cell>
          <cell r="C61">
            <v>13578549</v>
          </cell>
          <cell r="D61">
            <v>26558865</v>
          </cell>
          <cell r="E61">
            <v>2806377</v>
          </cell>
          <cell r="F61">
            <v>4201766</v>
          </cell>
        </row>
        <row r="62">
          <cell r="B62" t="str">
            <v xml:space="preserve">España </v>
          </cell>
          <cell r="C62">
            <v>38711335</v>
          </cell>
          <cell r="D62">
            <v>38195224</v>
          </cell>
          <cell r="E62">
            <v>4476311</v>
          </cell>
          <cell r="F62">
            <v>3943142</v>
          </cell>
        </row>
        <row r="63">
          <cell r="B63" t="str">
            <v xml:space="preserve">Eslovenia </v>
          </cell>
          <cell r="C63">
            <v>9578</v>
          </cell>
          <cell r="D63">
            <v>2497832</v>
          </cell>
          <cell r="E63">
            <v>0</v>
          </cell>
          <cell r="F63">
            <v>7766</v>
          </cell>
        </row>
        <row r="64">
          <cell r="B64" t="str">
            <v xml:space="preserve">Finlandia </v>
          </cell>
          <cell r="C64">
            <v>641114</v>
          </cell>
          <cell r="D64">
            <v>4066937</v>
          </cell>
          <cell r="E64">
            <v>18403</v>
          </cell>
          <cell r="F64">
            <v>101610</v>
          </cell>
        </row>
        <row r="65">
          <cell r="B65" t="str">
            <v xml:space="preserve">Francia </v>
          </cell>
          <cell r="C65">
            <v>20249512</v>
          </cell>
          <cell r="D65">
            <v>29979296</v>
          </cell>
          <cell r="E65">
            <v>2626079</v>
          </cell>
          <cell r="F65">
            <v>2930548</v>
          </cell>
        </row>
        <row r="66">
          <cell r="B66" t="str">
            <v xml:space="preserve">Italia </v>
          </cell>
          <cell r="C66">
            <v>18340216</v>
          </cell>
          <cell r="D66">
            <v>74298381</v>
          </cell>
          <cell r="E66">
            <v>738315</v>
          </cell>
          <cell r="F66">
            <v>5502730</v>
          </cell>
        </row>
        <row r="67">
          <cell r="B67" t="str">
            <v xml:space="preserve">Países Bajos </v>
          </cell>
          <cell r="C67">
            <v>18519513</v>
          </cell>
          <cell r="D67">
            <v>25955950</v>
          </cell>
          <cell r="E67">
            <v>2683681</v>
          </cell>
          <cell r="F67">
            <v>2310271</v>
          </cell>
        </row>
        <row r="68">
          <cell r="B68" t="str">
            <v xml:space="preserve">Reino Unido </v>
          </cell>
          <cell r="C68">
            <v>16264762</v>
          </cell>
          <cell r="D68">
            <v>29158181</v>
          </cell>
          <cell r="E68">
            <v>2780549</v>
          </cell>
          <cell r="F68">
            <v>3942430</v>
          </cell>
        </row>
        <row r="69">
          <cell r="B69" t="str">
            <v xml:space="preserve">Suecia </v>
          </cell>
          <cell r="C69">
            <v>2289614</v>
          </cell>
          <cell r="D69">
            <v>5608178</v>
          </cell>
          <cell r="E69">
            <v>139122</v>
          </cell>
          <cell r="F69">
            <v>650946</v>
          </cell>
        </row>
        <row r="70">
          <cell r="B70" t="str">
            <v xml:space="preserve">Resto </v>
          </cell>
          <cell r="C70">
            <v>8716992</v>
          </cell>
          <cell r="D70">
            <v>7846140</v>
          </cell>
          <cell r="E70">
            <v>479556</v>
          </cell>
          <cell r="F70">
            <v>854045</v>
          </cell>
        </row>
        <row r="84">
          <cell r="B84" t="str">
            <v>Suiza</v>
          </cell>
          <cell r="C84">
            <v>125064527</v>
          </cell>
          <cell r="D84">
            <v>95235552</v>
          </cell>
          <cell r="E84">
            <v>16581731</v>
          </cell>
          <cell r="F84">
            <v>8023038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dest_prim"/>
    </sheetNames>
    <sheetDataSet>
      <sheetData sheetId="0">
        <row r="7">
          <cell r="B7" t="str">
            <v>Bolivia</v>
          </cell>
          <cell r="C7">
            <v>3069</v>
          </cell>
          <cell r="D7">
            <v>1980</v>
          </cell>
          <cell r="E7">
            <v>0</v>
          </cell>
          <cell r="F7">
            <v>0</v>
          </cell>
        </row>
        <row r="8">
          <cell r="B8" t="str">
            <v>Ecuador</v>
          </cell>
          <cell r="C8">
            <v>2209400</v>
          </cell>
          <cell r="D8">
            <v>4324749</v>
          </cell>
          <cell r="E8">
            <v>180422</v>
          </cell>
          <cell r="F8">
            <v>537784</v>
          </cell>
        </row>
        <row r="9">
          <cell r="B9" t="str">
            <v xml:space="preserve">Perú </v>
          </cell>
          <cell r="C9">
            <v>22778409</v>
          </cell>
          <cell r="D9">
            <v>9763448</v>
          </cell>
          <cell r="E9">
            <v>4779233</v>
          </cell>
          <cell r="F9">
            <v>300140</v>
          </cell>
        </row>
        <row r="23">
          <cell r="B23" t="str">
            <v>Argentina</v>
          </cell>
          <cell r="C23">
            <v>2072793</v>
          </cell>
          <cell r="D23">
            <v>2067867</v>
          </cell>
          <cell r="E23">
            <v>162118</v>
          </cell>
          <cell r="F23">
            <v>302101</v>
          </cell>
        </row>
        <row r="24">
          <cell r="B24" t="str">
            <v xml:space="preserve">Brasil </v>
          </cell>
          <cell r="C24">
            <v>6486428</v>
          </cell>
          <cell r="D24">
            <v>7796085</v>
          </cell>
          <cell r="E24">
            <v>478920</v>
          </cell>
          <cell r="F24">
            <v>701670</v>
          </cell>
        </row>
        <row r="25">
          <cell r="B25" t="str">
            <v xml:space="preserve">Cuba </v>
          </cell>
          <cell r="C25">
            <v>1037357</v>
          </cell>
          <cell r="D25">
            <v>161908</v>
          </cell>
          <cell r="E25">
            <v>61091</v>
          </cell>
          <cell r="F25">
            <v>29505</v>
          </cell>
        </row>
        <row r="26">
          <cell r="B26" t="str">
            <v xml:space="preserve">Chile </v>
          </cell>
          <cell r="C26">
            <v>12728143</v>
          </cell>
          <cell r="D26">
            <v>2486704</v>
          </cell>
          <cell r="E26">
            <v>44275</v>
          </cell>
          <cell r="F26">
            <v>162304</v>
          </cell>
        </row>
        <row r="27">
          <cell r="B27" t="str">
            <v xml:space="preserve">México </v>
          </cell>
          <cell r="C27">
            <v>1612508</v>
          </cell>
          <cell r="D27">
            <v>1505698</v>
          </cell>
          <cell r="E27">
            <v>137907</v>
          </cell>
          <cell r="F27">
            <v>236999</v>
          </cell>
        </row>
        <row r="28">
          <cell r="B28" t="str">
            <v xml:space="preserve">Uruguay </v>
          </cell>
          <cell r="C28">
            <v>0</v>
          </cell>
          <cell r="D28">
            <v>243713</v>
          </cell>
          <cell r="E28">
            <v>0</v>
          </cell>
          <cell r="F28">
            <v>0</v>
          </cell>
        </row>
        <row r="29">
          <cell r="B29" t="str">
            <v>Venezuela</v>
          </cell>
          <cell r="C29">
            <v>14270441</v>
          </cell>
          <cell r="D29">
            <v>3530487</v>
          </cell>
          <cell r="E29">
            <v>397962</v>
          </cell>
          <cell r="F29">
            <v>251720</v>
          </cell>
        </row>
        <row r="43">
          <cell r="B43" t="str">
            <v xml:space="preserve">Canadá </v>
          </cell>
          <cell r="C43">
            <v>14134405</v>
          </cell>
          <cell r="D43">
            <v>21103246</v>
          </cell>
          <cell r="E43">
            <v>1334398</v>
          </cell>
          <cell r="F43">
            <v>1661132</v>
          </cell>
        </row>
        <row r="44">
          <cell r="B44" t="str">
            <v>Estados Unidos</v>
          </cell>
          <cell r="C44">
            <v>177975047</v>
          </cell>
          <cell r="D44">
            <v>382369458</v>
          </cell>
          <cell r="E44">
            <v>21185670</v>
          </cell>
          <cell r="F44">
            <v>76310954</v>
          </cell>
        </row>
        <row r="45">
          <cell r="B45" t="str">
            <v xml:space="preserve">Puerto Rico </v>
          </cell>
          <cell r="C45">
            <v>1002769</v>
          </cell>
          <cell r="D45">
            <v>1309474</v>
          </cell>
          <cell r="E45">
            <v>49459</v>
          </cell>
          <cell r="F45">
            <v>102696</v>
          </cell>
        </row>
        <row r="59">
          <cell r="B59" t="str">
            <v xml:space="preserve">Alemania </v>
          </cell>
          <cell r="C59">
            <v>15178120</v>
          </cell>
          <cell r="D59">
            <v>8735367</v>
          </cell>
          <cell r="E59">
            <v>991474</v>
          </cell>
          <cell r="F59">
            <v>465759</v>
          </cell>
        </row>
        <row r="60">
          <cell r="B60" t="str">
            <v xml:space="preserve">Bélgica </v>
          </cell>
          <cell r="C60">
            <v>10959761</v>
          </cell>
          <cell r="D60">
            <v>23494581</v>
          </cell>
          <cell r="E60">
            <v>2660303</v>
          </cell>
          <cell r="F60">
            <v>3152580</v>
          </cell>
        </row>
        <row r="61">
          <cell r="B61" t="str">
            <v xml:space="preserve">España </v>
          </cell>
          <cell r="C61">
            <v>7887353</v>
          </cell>
          <cell r="D61">
            <v>19396859</v>
          </cell>
          <cell r="E61">
            <v>715392</v>
          </cell>
          <cell r="F61">
            <v>1832610</v>
          </cell>
        </row>
        <row r="62">
          <cell r="B62" t="str">
            <v xml:space="preserve">Eslovenia </v>
          </cell>
          <cell r="C62">
            <v>9578</v>
          </cell>
          <cell r="D62">
            <v>2363927</v>
          </cell>
          <cell r="E62">
            <v>0</v>
          </cell>
          <cell r="F62">
            <v>7766</v>
          </cell>
        </row>
        <row r="63">
          <cell r="B63" t="str">
            <v xml:space="preserve">Finlandia </v>
          </cell>
          <cell r="C63">
            <v>423206</v>
          </cell>
          <cell r="D63">
            <v>3983765</v>
          </cell>
          <cell r="E63">
            <v>15709</v>
          </cell>
          <cell r="F63">
            <v>75727</v>
          </cell>
        </row>
        <row r="64">
          <cell r="B64" t="str">
            <v xml:space="preserve">Francia </v>
          </cell>
          <cell r="C64">
            <v>5979197</v>
          </cell>
          <cell r="D64">
            <v>8844015</v>
          </cell>
          <cell r="E64">
            <v>399521</v>
          </cell>
          <cell r="F64">
            <v>585887</v>
          </cell>
        </row>
        <row r="65">
          <cell r="B65" t="str">
            <v xml:space="preserve">Italia </v>
          </cell>
          <cell r="C65">
            <v>8611505</v>
          </cell>
          <cell r="D65">
            <v>12127429</v>
          </cell>
          <cell r="E65">
            <v>391721</v>
          </cell>
          <cell r="F65">
            <v>1108272</v>
          </cell>
        </row>
        <row r="66">
          <cell r="B66" t="str">
            <v xml:space="preserve">Países Bajos </v>
          </cell>
          <cell r="C66">
            <v>8648296</v>
          </cell>
          <cell r="D66">
            <v>15886464</v>
          </cell>
          <cell r="E66">
            <v>783159</v>
          </cell>
          <cell r="F66">
            <v>1799386</v>
          </cell>
        </row>
        <row r="67">
          <cell r="B67" t="str">
            <v xml:space="preserve">Reino Unido </v>
          </cell>
          <cell r="C67">
            <v>8316091</v>
          </cell>
          <cell r="D67">
            <v>22324745</v>
          </cell>
          <cell r="E67">
            <v>2076992</v>
          </cell>
          <cell r="F67">
            <v>3490658</v>
          </cell>
        </row>
        <row r="68">
          <cell r="B68" t="str">
            <v xml:space="preserve">Suecia </v>
          </cell>
          <cell r="C68">
            <v>1873270</v>
          </cell>
          <cell r="D68">
            <v>3698446</v>
          </cell>
          <cell r="E68">
            <v>111652</v>
          </cell>
          <cell r="F68">
            <v>50541</v>
          </cell>
        </row>
        <row r="69">
          <cell r="B69" t="str">
            <v xml:space="preserve">Resto </v>
          </cell>
          <cell r="C69">
            <v>6175031</v>
          </cell>
          <cell r="D69">
            <v>3190640</v>
          </cell>
          <cell r="E69">
            <v>250183</v>
          </cell>
          <cell r="F69">
            <v>444486</v>
          </cell>
        </row>
        <row r="83">
          <cell r="B83" t="str">
            <v>Suiza</v>
          </cell>
          <cell r="C83">
            <v>796086</v>
          </cell>
          <cell r="D83">
            <v>2554503</v>
          </cell>
          <cell r="E83">
            <v>82491</v>
          </cell>
          <cell r="F83">
            <v>57664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manufacturas"/>
    </sheetNames>
    <sheetDataSet>
      <sheetData sheetId="0">
        <row r="7">
          <cell r="B7" t="str">
            <v>Bolivia</v>
          </cell>
          <cell r="C7">
            <v>23390332</v>
          </cell>
          <cell r="D7">
            <v>12883054</v>
          </cell>
          <cell r="E7">
            <v>1004751</v>
          </cell>
          <cell r="F7">
            <v>1093496</v>
          </cell>
        </row>
        <row r="8">
          <cell r="B8" t="str">
            <v>Ecuador</v>
          </cell>
          <cell r="C8">
            <v>337029827</v>
          </cell>
          <cell r="D8">
            <v>444739904</v>
          </cell>
          <cell r="E8">
            <v>30982047</v>
          </cell>
          <cell r="F8">
            <v>36955110</v>
          </cell>
        </row>
        <row r="9">
          <cell r="B9" t="str">
            <v xml:space="preserve">Perú </v>
          </cell>
          <cell r="C9">
            <v>129030481</v>
          </cell>
          <cell r="D9">
            <v>131954225</v>
          </cell>
          <cell r="E9">
            <v>11957101</v>
          </cell>
          <cell r="F9">
            <v>10605501</v>
          </cell>
        </row>
        <row r="23">
          <cell r="B23" t="str">
            <v>Argentina</v>
          </cell>
          <cell r="C23">
            <v>10340231</v>
          </cell>
          <cell r="D23">
            <v>15714073</v>
          </cell>
          <cell r="E23">
            <v>1223322</v>
          </cell>
          <cell r="F23">
            <v>882564</v>
          </cell>
        </row>
        <row r="24">
          <cell r="B24" t="str">
            <v xml:space="preserve">Brasil </v>
          </cell>
          <cell r="C24">
            <v>36375600</v>
          </cell>
          <cell r="D24">
            <v>93605407</v>
          </cell>
          <cell r="E24">
            <v>9313761</v>
          </cell>
          <cell r="F24">
            <v>3697528</v>
          </cell>
        </row>
        <row r="25">
          <cell r="B25" t="str">
            <v xml:space="preserve">Cuba </v>
          </cell>
          <cell r="C25">
            <v>5624711</v>
          </cell>
          <cell r="D25">
            <v>8423898</v>
          </cell>
          <cell r="E25">
            <v>719621</v>
          </cell>
          <cell r="F25">
            <v>1071353</v>
          </cell>
        </row>
        <row r="26">
          <cell r="B26" t="str">
            <v xml:space="preserve">Chile </v>
          </cell>
          <cell r="C26">
            <v>48304060</v>
          </cell>
          <cell r="D26">
            <v>61048551</v>
          </cell>
          <cell r="E26">
            <v>4951833</v>
          </cell>
          <cell r="F26">
            <v>6092229</v>
          </cell>
        </row>
        <row r="27">
          <cell r="B27" t="str">
            <v xml:space="preserve">México </v>
          </cell>
          <cell r="C27">
            <v>101943366</v>
          </cell>
          <cell r="D27">
            <v>101258122</v>
          </cell>
          <cell r="E27">
            <v>7476188</v>
          </cell>
          <cell r="F27">
            <v>8421425</v>
          </cell>
        </row>
        <row r="28">
          <cell r="B28" t="str">
            <v xml:space="preserve">Paraguay </v>
          </cell>
          <cell r="C28">
            <v>1613649</v>
          </cell>
          <cell r="D28">
            <v>3474939</v>
          </cell>
          <cell r="E28">
            <v>179060</v>
          </cell>
          <cell r="F28">
            <v>470269</v>
          </cell>
        </row>
        <row r="29">
          <cell r="B29" t="str">
            <v xml:space="preserve">Uruguay </v>
          </cell>
          <cell r="C29">
            <v>3280706</v>
          </cell>
          <cell r="D29">
            <v>6180199</v>
          </cell>
          <cell r="E29">
            <v>1346627</v>
          </cell>
          <cell r="F29">
            <v>3594991</v>
          </cell>
        </row>
        <row r="30">
          <cell r="B30" t="str">
            <v>Venezuela</v>
          </cell>
          <cell r="C30">
            <v>773049251</v>
          </cell>
          <cell r="D30">
            <v>325018249</v>
          </cell>
          <cell r="E30">
            <v>34816194</v>
          </cell>
          <cell r="F30">
            <v>27882996</v>
          </cell>
        </row>
        <row r="44">
          <cell r="B44" t="str">
            <v xml:space="preserve">Canadá </v>
          </cell>
          <cell r="C44">
            <v>12313154</v>
          </cell>
          <cell r="D44">
            <v>10443177</v>
          </cell>
          <cell r="E44">
            <v>4673405</v>
          </cell>
          <cell r="F44">
            <v>1033631</v>
          </cell>
        </row>
        <row r="45">
          <cell r="B45" t="str">
            <v>Estados Unidos</v>
          </cell>
          <cell r="C45">
            <v>282832382</v>
          </cell>
          <cell r="D45">
            <v>307089884</v>
          </cell>
          <cell r="E45">
            <v>23432811</v>
          </cell>
          <cell r="F45">
            <v>18789090</v>
          </cell>
        </row>
        <row r="46">
          <cell r="B46" t="str">
            <v xml:space="preserve">Puerto Rico </v>
          </cell>
          <cell r="C46">
            <v>18403060</v>
          </cell>
          <cell r="D46">
            <v>16396226</v>
          </cell>
          <cell r="E46">
            <v>1581275</v>
          </cell>
          <cell r="F46">
            <v>1507453</v>
          </cell>
        </row>
        <row r="60">
          <cell r="B60" t="str">
            <v xml:space="preserve">Alemania </v>
          </cell>
          <cell r="C60">
            <v>10320333</v>
          </cell>
          <cell r="D60">
            <v>11207668</v>
          </cell>
          <cell r="E60">
            <v>960449</v>
          </cell>
          <cell r="F60">
            <v>516522</v>
          </cell>
        </row>
        <row r="61">
          <cell r="B61" t="str">
            <v xml:space="preserve">Bélgica </v>
          </cell>
          <cell r="C61">
            <v>2618788</v>
          </cell>
          <cell r="D61">
            <v>3046569</v>
          </cell>
          <cell r="E61">
            <v>146073</v>
          </cell>
          <cell r="F61">
            <v>1049186</v>
          </cell>
        </row>
        <row r="62">
          <cell r="B62" t="str">
            <v xml:space="preserve">España </v>
          </cell>
          <cell r="C62">
            <v>29977303</v>
          </cell>
          <cell r="D62">
            <v>18103452</v>
          </cell>
          <cell r="E62">
            <v>3730470</v>
          </cell>
          <cell r="F62">
            <v>2060212</v>
          </cell>
        </row>
        <row r="63">
          <cell r="B63" t="str">
            <v xml:space="preserve">Francia </v>
          </cell>
          <cell r="C63">
            <v>14266266</v>
          </cell>
          <cell r="D63">
            <v>21115351</v>
          </cell>
          <cell r="E63">
            <v>2226558</v>
          </cell>
          <cell r="F63">
            <v>2339066</v>
          </cell>
        </row>
        <row r="64">
          <cell r="B64" t="str">
            <v xml:space="preserve">Grecia </v>
          </cell>
          <cell r="C64">
            <v>317205</v>
          </cell>
          <cell r="D64">
            <v>1950062</v>
          </cell>
          <cell r="E64">
            <v>5682</v>
          </cell>
          <cell r="F64">
            <v>233257</v>
          </cell>
        </row>
        <row r="65">
          <cell r="B65" t="str">
            <v xml:space="preserve">Italia </v>
          </cell>
          <cell r="C65">
            <v>7615140</v>
          </cell>
          <cell r="D65">
            <v>59672183</v>
          </cell>
          <cell r="E65">
            <v>346594</v>
          </cell>
          <cell r="F65">
            <v>4394401</v>
          </cell>
        </row>
        <row r="66">
          <cell r="B66" t="str">
            <v xml:space="preserve">Países Bajos </v>
          </cell>
          <cell r="C66">
            <v>9848280</v>
          </cell>
          <cell r="D66">
            <v>10025654</v>
          </cell>
          <cell r="E66">
            <v>1900148</v>
          </cell>
          <cell r="F66">
            <v>510885</v>
          </cell>
        </row>
        <row r="67">
          <cell r="B67" t="str">
            <v xml:space="preserve">Portugal </v>
          </cell>
          <cell r="C67">
            <v>421285</v>
          </cell>
          <cell r="D67">
            <v>1725722</v>
          </cell>
          <cell r="E67">
            <v>136508</v>
          </cell>
          <cell r="F67">
            <v>134475</v>
          </cell>
        </row>
        <row r="68">
          <cell r="B68" t="str">
            <v xml:space="preserve">Reino Unido </v>
          </cell>
          <cell r="C68">
            <v>7922083</v>
          </cell>
          <cell r="D68">
            <v>6761086</v>
          </cell>
          <cell r="E68">
            <v>703422</v>
          </cell>
          <cell r="F68">
            <v>451771</v>
          </cell>
        </row>
        <row r="69">
          <cell r="B69" t="str">
            <v xml:space="preserve">Suecia </v>
          </cell>
          <cell r="C69">
            <v>416345</v>
          </cell>
          <cell r="D69">
            <v>1909727</v>
          </cell>
          <cell r="E69">
            <v>27470</v>
          </cell>
          <cell r="F69">
            <v>600405</v>
          </cell>
        </row>
        <row r="84">
          <cell r="B84" t="str">
            <v>Suiza</v>
          </cell>
          <cell r="C84">
            <v>121481205</v>
          </cell>
          <cell r="D84">
            <v>90225887</v>
          </cell>
          <cell r="E84">
            <v>16494740</v>
          </cell>
          <cell r="F84">
            <v>7963767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rec_naturales"/>
    </sheetNames>
    <sheetDataSet>
      <sheetData sheetId="0">
        <row r="7">
          <cell r="B7" t="str">
            <v>Bolivia</v>
          </cell>
          <cell r="C7">
            <v>3594356</v>
          </cell>
          <cell r="D7">
            <v>3293456</v>
          </cell>
          <cell r="E7">
            <v>361967</v>
          </cell>
          <cell r="F7">
            <v>409847</v>
          </cell>
        </row>
        <row r="8">
          <cell r="B8" t="str">
            <v>Ecuador</v>
          </cell>
          <cell r="C8">
            <v>37397815</v>
          </cell>
          <cell r="D8">
            <v>44082259</v>
          </cell>
          <cell r="E8">
            <v>3035290</v>
          </cell>
          <cell r="F8">
            <v>3699366</v>
          </cell>
        </row>
        <row r="9">
          <cell r="B9" t="str">
            <v xml:space="preserve">Perú </v>
          </cell>
          <cell r="C9">
            <v>25556901</v>
          </cell>
          <cell r="D9">
            <v>27829691</v>
          </cell>
          <cell r="E9">
            <v>2175821</v>
          </cell>
          <cell r="F9">
            <v>2723863</v>
          </cell>
        </row>
        <row r="23">
          <cell r="B23" t="str">
            <v>Argentina</v>
          </cell>
          <cell r="C23">
            <v>1305711</v>
          </cell>
          <cell r="D23">
            <v>1149426</v>
          </cell>
          <cell r="E23">
            <v>122210</v>
          </cell>
          <cell r="F23">
            <v>159170</v>
          </cell>
        </row>
        <row r="24">
          <cell r="B24" t="str">
            <v xml:space="preserve">Brasil </v>
          </cell>
          <cell r="C24">
            <v>6518606</v>
          </cell>
          <cell r="D24">
            <v>6318216</v>
          </cell>
          <cell r="E24">
            <v>980860</v>
          </cell>
          <cell r="F24">
            <v>834926</v>
          </cell>
        </row>
        <row r="25">
          <cell r="B25" t="str">
            <v xml:space="preserve">Cuba </v>
          </cell>
          <cell r="C25">
            <v>536227</v>
          </cell>
          <cell r="D25">
            <v>1947928</v>
          </cell>
          <cell r="E25">
            <v>100780</v>
          </cell>
          <cell r="F25">
            <v>49083</v>
          </cell>
        </row>
        <row r="26">
          <cell r="B26" t="str">
            <v xml:space="preserve">Chile </v>
          </cell>
          <cell r="C26">
            <v>13308546</v>
          </cell>
          <cell r="D26">
            <v>18511669</v>
          </cell>
          <cell r="E26">
            <v>1010907</v>
          </cell>
          <cell r="F26">
            <v>2363179</v>
          </cell>
        </row>
        <row r="27">
          <cell r="B27" t="str">
            <v xml:space="preserve">México </v>
          </cell>
          <cell r="C27">
            <v>7132920</v>
          </cell>
          <cell r="D27">
            <v>13320886</v>
          </cell>
          <cell r="E27">
            <v>633035</v>
          </cell>
          <cell r="F27">
            <v>936736</v>
          </cell>
        </row>
        <row r="28">
          <cell r="B28" t="str">
            <v xml:space="preserve">Paraguay </v>
          </cell>
          <cell r="C28">
            <v>31999</v>
          </cell>
          <cell r="D28">
            <v>59850</v>
          </cell>
          <cell r="E28">
            <v>0</v>
          </cell>
          <cell r="F28">
            <v>16800</v>
          </cell>
        </row>
        <row r="29">
          <cell r="B29" t="str">
            <v xml:space="preserve">Uruguay </v>
          </cell>
          <cell r="C29">
            <v>134065</v>
          </cell>
          <cell r="D29">
            <v>89635</v>
          </cell>
          <cell r="E29">
            <v>0</v>
          </cell>
          <cell r="F29">
            <v>15623</v>
          </cell>
        </row>
        <row r="30">
          <cell r="B30" t="str">
            <v>Venezuela</v>
          </cell>
          <cell r="C30">
            <v>109932232</v>
          </cell>
          <cell r="D30">
            <v>44016694</v>
          </cell>
          <cell r="E30">
            <v>6088909</v>
          </cell>
          <cell r="F30">
            <v>2536096</v>
          </cell>
        </row>
        <row r="44">
          <cell r="B44" t="str">
            <v xml:space="preserve">Canadá </v>
          </cell>
          <cell r="C44">
            <v>3425998</v>
          </cell>
          <cell r="D44">
            <v>4630385</v>
          </cell>
          <cell r="E44">
            <v>425768</v>
          </cell>
          <cell r="F44">
            <v>620906</v>
          </cell>
        </row>
        <row r="45">
          <cell r="B45" t="str">
            <v>Estados Unidos</v>
          </cell>
          <cell r="C45">
            <v>41144587</v>
          </cell>
          <cell r="D45">
            <v>59765602</v>
          </cell>
          <cell r="E45">
            <v>4567258</v>
          </cell>
          <cell r="F45">
            <v>5160310</v>
          </cell>
        </row>
        <row r="46">
          <cell r="B46" t="str">
            <v xml:space="preserve">Puerto Rico </v>
          </cell>
          <cell r="C46">
            <v>3949304</v>
          </cell>
          <cell r="D46">
            <v>6680592</v>
          </cell>
          <cell r="E46">
            <v>534930</v>
          </cell>
          <cell r="F46">
            <v>599941</v>
          </cell>
        </row>
        <row r="60">
          <cell r="B60" t="str">
            <v xml:space="preserve">Alemania </v>
          </cell>
          <cell r="C60">
            <v>3745572</v>
          </cell>
          <cell r="D60">
            <v>3017000</v>
          </cell>
          <cell r="E60">
            <v>240476</v>
          </cell>
          <cell r="F60">
            <v>216538</v>
          </cell>
        </row>
        <row r="61">
          <cell r="B61" t="str">
            <v xml:space="preserve">Bélgica </v>
          </cell>
          <cell r="C61">
            <v>948028</v>
          </cell>
          <cell r="D61">
            <v>174746</v>
          </cell>
          <cell r="E61">
            <v>0</v>
          </cell>
          <cell r="F61">
            <v>114440</v>
          </cell>
        </row>
        <row r="62">
          <cell r="B62" t="str">
            <v xml:space="preserve">Dinamarca </v>
          </cell>
          <cell r="C62">
            <v>3861</v>
          </cell>
          <cell r="D62">
            <v>114929</v>
          </cell>
          <cell r="E62">
            <v>0</v>
          </cell>
          <cell r="F62">
            <v>0</v>
          </cell>
        </row>
        <row r="63">
          <cell r="B63" t="str">
            <v xml:space="preserve">España </v>
          </cell>
          <cell r="C63">
            <v>22556807</v>
          </cell>
          <cell r="D63">
            <v>7039327</v>
          </cell>
          <cell r="E63">
            <v>3122941</v>
          </cell>
          <cell r="F63">
            <v>1141518</v>
          </cell>
        </row>
        <row r="64">
          <cell r="B64" t="str">
            <v xml:space="preserve">Francia </v>
          </cell>
          <cell r="C64">
            <v>10843716</v>
          </cell>
          <cell r="D64">
            <v>18573304</v>
          </cell>
          <cell r="E64">
            <v>1395562</v>
          </cell>
          <cell r="F64">
            <v>2222840</v>
          </cell>
        </row>
        <row r="65">
          <cell r="B65" t="str">
            <v xml:space="preserve">Grecia </v>
          </cell>
          <cell r="C65">
            <v>91893</v>
          </cell>
          <cell r="D65">
            <v>1562281</v>
          </cell>
          <cell r="E65">
            <v>1704</v>
          </cell>
          <cell r="F65">
            <v>183140</v>
          </cell>
        </row>
        <row r="66">
          <cell r="B66" t="str">
            <v xml:space="preserve">Italia </v>
          </cell>
          <cell r="C66">
            <v>266260</v>
          </cell>
          <cell r="D66">
            <v>476160</v>
          </cell>
          <cell r="E66">
            <v>808</v>
          </cell>
          <cell r="F66">
            <v>110000</v>
          </cell>
        </row>
        <row r="67">
          <cell r="B67" t="str">
            <v xml:space="preserve">Países Bajos </v>
          </cell>
          <cell r="C67">
            <v>1124189</v>
          </cell>
          <cell r="D67">
            <v>1227091</v>
          </cell>
          <cell r="E67">
            <v>492690</v>
          </cell>
          <cell r="F67">
            <v>32971</v>
          </cell>
        </row>
        <row r="68">
          <cell r="B68" t="str">
            <v xml:space="preserve">Portugal </v>
          </cell>
          <cell r="C68">
            <v>62052</v>
          </cell>
          <cell r="D68">
            <v>1106847</v>
          </cell>
          <cell r="E68">
            <v>62052</v>
          </cell>
          <cell r="F68">
            <v>128943</v>
          </cell>
        </row>
        <row r="69">
          <cell r="B69" t="str">
            <v xml:space="preserve">Reino Unido </v>
          </cell>
          <cell r="C69">
            <v>944525</v>
          </cell>
          <cell r="D69">
            <v>1058545</v>
          </cell>
          <cell r="E69">
            <v>78733</v>
          </cell>
          <cell r="F69">
            <v>133035</v>
          </cell>
        </row>
        <row r="70">
          <cell r="B70" t="str">
            <v xml:space="preserve">Resto </v>
          </cell>
          <cell r="C70">
            <v>93512</v>
          </cell>
          <cell r="D70">
            <v>81447</v>
          </cell>
          <cell r="E70">
            <v>62748</v>
          </cell>
          <cell r="F70">
            <v>32255</v>
          </cell>
        </row>
        <row r="84">
          <cell r="B84" t="str">
            <v>Suiza</v>
          </cell>
          <cell r="C84">
            <v>16337</v>
          </cell>
          <cell r="D84">
            <v>351786</v>
          </cell>
          <cell r="E84">
            <v>900</v>
          </cell>
          <cell r="F84">
            <v>0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baja_tek"/>
    </sheetNames>
    <sheetDataSet>
      <sheetData sheetId="0">
        <row r="7">
          <cell r="B7" t="str">
            <v>Bolivia</v>
          </cell>
          <cell r="C7">
            <v>4079906</v>
          </cell>
          <cell r="D7">
            <v>4474216</v>
          </cell>
          <cell r="E7">
            <v>510916</v>
          </cell>
          <cell r="F7">
            <v>342357</v>
          </cell>
        </row>
        <row r="8">
          <cell r="B8" t="str">
            <v>Ecuador</v>
          </cell>
          <cell r="C8">
            <v>90526647</v>
          </cell>
          <cell r="D8">
            <v>124946089</v>
          </cell>
          <cell r="E8">
            <v>9608103</v>
          </cell>
          <cell r="F8">
            <v>12026448</v>
          </cell>
        </row>
        <row r="9">
          <cell r="B9" t="str">
            <v xml:space="preserve">Perú </v>
          </cell>
          <cell r="C9">
            <v>29167981</v>
          </cell>
          <cell r="D9">
            <v>45176149</v>
          </cell>
          <cell r="E9">
            <v>4062705</v>
          </cell>
          <cell r="F9">
            <v>2971395</v>
          </cell>
        </row>
        <row r="23">
          <cell r="B23" t="str">
            <v>Argentina</v>
          </cell>
          <cell r="C23">
            <v>3689723</v>
          </cell>
          <cell r="D23">
            <v>3431868</v>
          </cell>
          <cell r="E23">
            <v>231284</v>
          </cell>
          <cell r="F23">
            <v>193137</v>
          </cell>
        </row>
        <row r="24">
          <cell r="B24" t="str">
            <v xml:space="preserve">Brasil </v>
          </cell>
          <cell r="C24">
            <v>10933193</v>
          </cell>
          <cell r="D24">
            <v>14664388</v>
          </cell>
          <cell r="E24">
            <v>921642</v>
          </cell>
          <cell r="F24">
            <v>973118</v>
          </cell>
        </row>
        <row r="25">
          <cell r="B25" t="str">
            <v xml:space="preserve">Cuba </v>
          </cell>
          <cell r="C25">
            <v>4161631</v>
          </cell>
          <cell r="D25">
            <v>5180885</v>
          </cell>
          <cell r="E25">
            <v>570103</v>
          </cell>
          <cell r="F25">
            <v>804660</v>
          </cell>
        </row>
        <row r="26">
          <cell r="B26" t="str">
            <v xml:space="preserve">Chile </v>
          </cell>
          <cell r="C26">
            <v>11711660</v>
          </cell>
          <cell r="D26">
            <v>14859877</v>
          </cell>
          <cell r="E26">
            <v>1104356</v>
          </cell>
          <cell r="F26">
            <v>1653778</v>
          </cell>
        </row>
        <row r="27">
          <cell r="B27" t="str">
            <v xml:space="preserve">México </v>
          </cell>
          <cell r="C27">
            <v>50011908</v>
          </cell>
          <cell r="D27">
            <v>48044743</v>
          </cell>
          <cell r="E27">
            <v>4291528</v>
          </cell>
          <cell r="F27">
            <v>5571778</v>
          </cell>
        </row>
        <row r="28">
          <cell r="B28" t="str">
            <v xml:space="preserve">Paraguay </v>
          </cell>
          <cell r="C28">
            <v>315108</v>
          </cell>
          <cell r="D28">
            <v>514016</v>
          </cell>
          <cell r="E28">
            <v>102731</v>
          </cell>
          <cell r="F28">
            <v>98742</v>
          </cell>
        </row>
        <row r="29">
          <cell r="B29" t="str">
            <v xml:space="preserve">Uruguay </v>
          </cell>
          <cell r="C29">
            <v>1047146</v>
          </cell>
          <cell r="D29">
            <v>903522</v>
          </cell>
          <cell r="E29">
            <v>31806</v>
          </cell>
          <cell r="F29">
            <v>97188</v>
          </cell>
        </row>
        <row r="30">
          <cell r="B30" t="str">
            <v>Venezuela</v>
          </cell>
          <cell r="C30">
            <v>354543008</v>
          </cell>
          <cell r="D30">
            <v>161523660</v>
          </cell>
          <cell r="E30">
            <v>15456796</v>
          </cell>
          <cell r="F30">
            <v>18791055</v>
          </cell>
        </row>
        <row r="44">
          <cell r="B44" t="str">
            <v xml:space="preserve">Canadá </v>
          </cell>
          <cell r="C44">
            <v>2557646</v>
          </cell>
          <cell r="D44">
            <v>2752852</v>
          </cell>
          <cell r="E44">
            <v>109004</v>
          </cell>
          <cell r="F44">
            <v>247108</v>
          </cell>
        </row>
        <row r="45">
          <cell r="B45" t="str">
            <v>Estados Unidos</v>
          </cell>
          <cell r="C45">
            <v>83967877</v>
          </cell>
          <cell r="D45">
            <v>96147900</v>
          </cell>
          <cell r="E45">
            <v>8563782</v>
          </cell>
          <cell r="F45">
            <v>9120696</v>
          </cell>
        </row>
        <row r="46">
          <cell r="B46" t="str">
            <v xml:space="preserve">Puerto Rico </v>
          </cell>
          <cell r="C46">
            <v>8817303</v>
          </cell>
          <cell r="D46">
            <v>8877282</v>
          </cell>
          <cell r="E46">
            <v>973923</v>
          </cell>
          <cell r="F46">
            <v>854005</v>
          </cell>
        </row>
        <row r="60">
          <cell r="B60" t="str">
            <v xml:space="preserve">Alemania </v>
          </cell>
          <cell r="C60">
            <v>2026459</v>
          </cell>
          <cell r="D60">
            <v>2340754</v>
          </cell>
          <cell r="E60">
            <v>154287</v>
          </cell>
          <cell r="F60">
            <v>195973</v>
          </cell>
        </row>
        <row r="61">
          <cell r="B61" t="str">
            <v xml:space="preserve">Austria </v>
          </cell>
          <cell r="C61">
            <v>88685</v>
          </cell>
          <cell r="D61">
            <v>212972</v>
          </cell>
          <cell r="E61">
            <v>1840</v>
          </cell>
          <cell r="F61">
            <v>0</v>
          </cell>
        </row>
        <row r="62">
          <cell r="B62" t="str">
            <v xml:space="preserve">Bélgica </v>
          </cell>
          <cell r="C62">
            <v>1337334</v>
          </cell>
          <cell r="D62">
            <v>1297528</v>
          </cell>
          <cell r="E62">
            <v>50478</v>
          </cell>
          <cell r="F62">
            <v>46196</v>
          </cell>
        </row>
        <row r="63">
          <cell r="B63" t="str">
            <v xml:space="preserve">España </v>
          </cell>
          <cell r="C63">
            <v>2431683</v>
          </cell>
          <cell r="D63">
            <v>4061985</v>
          </cell>
          <cell r="E63">
            <v>388012</v>
          </cell>
          <cell r="F63">
            <v>246364</v>
          </cell>
        </row>
        <row r="64">
          <cell r="B64" t="str">
            <v xml:space="preserve">Francia </v>
          </cell>
          <cell r="C64">
            <v>1626447</v>
          </cell>
          <cell r="D64">
            <v>1562583</v>
          </cell>
          <cell r="E64">
            <v>306764</v>
          </cell>
          <cell r="F64">
            <v>42962</v>
          </cell>
        </row>
        <row r="65">
          <cell r="B65" t="str">
            <v xml:space="preserve">Italia </v>
          </cell>
          <cell r="C65">
            <v>6389460</v>
          </cell>
          <cell r="D65">
            <v>11162421</v>
          </cell>
          <cell r="E65">
            <v>315995</v>
          </cell>
          <cell r="F65">
            <v>564533</v>
          </cell>
        </row>
        <row r="66">
          <cell r="B66" t="str">
            <v xml:space="preserve">Países Bajos </v>
          </cell>
          <cell r="C66">
            <v>3605552</v>
          </cell>
          <cell r="D66">
            <v>1990719</v>
          </cell>
          <cell r="E66">
            <v>516416</v>
          </cell>
          <cell r="F66">
            <v>470825</v>
          </cell>
        </row>
        <row r="67">
          <cell r="B67" t="str">
            <v xml:space="preserve">Portugal </v>
          </cell>
          <cell r="C67">
            <v>259145</v>
          </cell>
          <cell r="D67">
            <v>394025</v>
          </cell>
          <cell r="E67">
            <v>29880</v>
          </cell>
          <cell r="F67">
            <v>4932</v>
          </cell>
        </row>
        <row r="68">
          <cell r="B68" t="str">
            <v xml:space="preserve">Reino Unido </v>
          </cell>
          <cell r="C68">
            <v>4345899</v>
          </cell>
          <cell r="D68">
            <v>3589348</v>
          </cell>
          <cell r="E68">
            <v>527035</v>
          </cell>
          <cell r="F68">
            <v>252499</v>
          </cell>
        </row>
        <row r="69">
          <cell r="B69" t="str">
            <v xml:space="preserve">Suecia </v>
          </cell>
          <cell r="C69">
            <v>187160</v>
          </cell>
          <cell r="D69">
            <v>256587</v>
          </cell>
          <cell r="E69">
            <v>0</v>
          </cell>
          <cell r="F69">
            <v>5600</v>
          </cell>
        </row>
        <row r="70">
          <cell r="B70" t="str">
            <v xml:space="preserve">Resto </v>
          </cell>
          <cell r="C70">
            <v>590385</v>
          </cell>
          <cell r="D70">
            <v>354359</v>
          </cell>
          <cell r="E70">
            <v>9655</v>
          </cell>
          <cell r="F70">
            <v>31885</v>
          </cell>
        </row>
        <row r="84">
          <cell r="B84" t="str">
            <v>Suiza</v>
          </cell>
          <cell r="C84">
            <v>176867</v>
          </cell>
          <cell r="D84">
            <v>1092793</v>
          </cell>
          <cell r="E84">
            <v>8343</v>
          </cell>
          <cell r="F84">
            <v>21484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media_tek"/>
    </sheetNames>
    <sheetDataSet>
      <sheetData sheetId="0">
        <row r="7">
          <cell r="B7" t="str">
            <v>Bolivia</v>
          </cell>
          <cell r="C7">
            <v>7534674</v>
          </cell>
          <cell r="D7">
            <v>2284771</v>
          </cell>
          <cell r="E7">
            <v>80992</v>
          </cell>
          <cell r="F7">
            <v>160630</v>
          </cell>
        </row>
        <row r="8">
          <cell r="B8" t="str">
            <v>Ecuador</v>
          </cell>
          <cell r="C8">
            <v>153920346</v>
          </cell>
          <cell r="D8">
            <v>214435055</v>
          </cell>
          <cell r="E8">
            <v>14338450</v>
          </cell>
          <cell r="F8">
            <v>17956003</v>
          </cell>
        </row>
        <row r="9">
          <cell r="B9" t="str">
            <v xml:space="preserve">Perú </v>
          </cell>
          <cell r="C9">
            <v>46675104</v>
          </cell>
          <cell r="D9">
            <v>40415990</v>
          </cell>
          <cell r="E9">
            <v>4029767</v>
          </cell>
          <cell r="F9">
            <v>3840505</v>
          </cell>
        </row>
        <row r="23">
          <cell r="B23" t="str">
            <v>Argentina</v>
          </cell>
          <cell r="C23">
            <v>4453297</v>
          </cell>
          <cell r="D23">
            <v>8498690</v>
          </cell>
          <cell r="E23">
            <v>702191</v>
          </cell>
          <cell r="F23">
            <v>379308</v>
          </cell>
        </row>
        <row r="24">
          <cell r="B24" t="str">
            <v xml:space="preserve">Brasil </v>
          </cell>
          <cell r="C24">
            <v>8029871</v>
          </cell>
          <cell r="D24">
            <v>9425680</v>
          </cell>
          <cell r="E24">
            <v>439422</v>
          </cell>
          <cell r="F24">
            <v>1465327</v>
          </cell>
        </row>
        <row r="25">
          <cell r="B25" t="str">
            <v xml:space="preserve">Cuba </v>
          </cell>
          <cell r="C25">
            <v>789472</v>
          </cell>
          <cell r="D25">
            <v>956489</v>
          </cell>
          <cell r="E25">
            <v>23966</v>
          </cell>
          <cell r="F25">
            <v>198677</v>
          </cell>
        </row>
        <row r="26">
          <cell r="B26" t="str">
            <v xml:space="preserve">Chile </v>
          </cell>
          <cell r="C26">
            <v>13655468</v>
          </cell>
          <cell r="D26">
            <v>16169533</v>
          </cell>
          <cell r="E26">
            <v>2254690</v>
          </cell>
          <cell r="F26">
            <v>1289688</v>
          </cell>
        </row>
        <row r="27">
          <cell r="B27" t="str">
            <v xml:space="preserve">México </v>
          </cell>
          <cell r="C27">
            <v>23074506</v>
          </cell>
          <cell r="D27">
            <v>20989761</v>
          </cell>
          <cell r="E27">
            <v>1931470</v>
          </cell>
          <cell r="F27">
            <v>845825</v>
          </cell>
        </row>
        <row r="28">
          <cell r="B28" t="str">
            <v xml:space="preserve">Paraguay </v>
          </cell>
          <cell r="C28">
            <v>1007238</v>
          </cell>
          <cell r="D28">
            <v>1616776</v>
          </cell>
          <cell r="E28">
            <v>69447</v>
          </cell>
          <cell r="F28">
            <v>0</v>
          </cell>
        </row>
        <row r="29">
          <cell r="B29" t="str">
            <v xml:space="preserve">Uruguay </v>
          </cell>
          <cell r="C29">
            <v>606301</v>
          </cell>
          <cell r="D29">
            <v>948318</v>
          </cell>
          <cell r="E29">
            <v>29381</v>
          </cell>
          <cell r="F29">
            <v>407145</v>
          </cell>
        </row>
        <row r="30">
          <cell r="B30" t="str">
            <v>Venezuela</v>
          </cell>
          <cell r="C30">
            <v>171503899</v>
          </cell>
          <cell r="D30">
            <v>83155348</v>
          </cell>
          <cell r="E30">
            <v>5880196</v>
          </cell>
          <cell r="F30">
            <v>5262203</v>
          </cell>
        </row>
        <row r="44">
          <cell r="B44" t="str">
            <v xml:space="preserve">Canadá </v>
          </cell>
          <cell r="C44">
            <v>1283718</v>
          </cell>
          <cell r="D44">
            <v>1234964</v>
          </cell>
          <cell r="E44">
            <v>8658</v>
          </cell>
          <cell r="F44">
            <v>27101</v>
          </cell>
        </row>
        <row r="45">
          <cell r="B45" t="str">
            <v>Estados Unidos</v>
          </cell>
          <cell r="C45">
            <v>39958213</v>
          </cell>
          <cell r="D45">
            <v>51200508</v>
          </cell>
          <cell r="E45">
            <v>4922614</v>
          </cell>
          <cell r="F45">
            <v>2018484</v>
          </cell>
        </row>
        <row r="46">
          <cell r="B46" t="str">
            <v xml:space="preserve">Puerto Rico </v>
          </cell>
          <cell r="C46">
            <v>928763</v>
          </cell>
          <cell r="D46">
            <v>781325</v>
          </cell>
          <cell r="E46">
            <v>66152</v>
          </cell>
          <cell r="F46">
            <v>44061</v>
          </cell>
        </row>
        <row r="60">
          <cell r="B60" t="str">
            <v xml:space="preserve">Alemania </v>
          </cell>
          <cell r="C60">
            <v>2635713</v>
          </cell>
          <cell r="D60">
            <v>4915602</v>
          </cell>
          <cell r="E60">
            <v>126241</v>
          </cell>
          <cell r="F60">
            <v>93306</v>
          </cell>
        </row>
        <row r="61">
          <cell r="B61" t="str">
            <v xml:space="preserve">Bélgica </v>
          </cell>
          <cell r="C61">
            <v>322148</v>
          </cell>
          <cell r="D61">
            <v>693275</v>
          </cell>
          <cell r="E61">
            <v>95596</v>
          </cell>
          <cell r="F61">
            <v>75617</v>
          </cell>
        </row>
        <row r="62">
          <cell r="B62" t="str">
            <v xml:space="preserve">España </v>
          </cell>
          <cell r="C62">
            <v>4759629</v>
          </cell>
          <cell r="D62">
            <v>6597788</v>
          </cell>
          <cell r="E62">
            <v>211769</v>
          </cell>
          <cell r="F62">
            <v>622418</v>
          </cell>
        </row>
        <row r="63">
          <cell r="B63" t="str">
            <v xml:space="preserve">Francia </v>
          </cell>
          <cell r="C63">
            <v>650160</v>
          </cell>
          <cell r="D63">
            <v>609586</v>
          </cell>
          <cell r="E63">
            <v>82917</v>
          </cell>
          <cell r="F63">
            <v>58741</v>
          </cell>
        </row>
        <row r="64">
          <cell r="B64" t="str">
            <v xml:space="preserve">Grecia </v>
          </cell>
          <cell r="C64">
            <v>42352</v>
          </cell>
          <cell r="D64">
            <v>188201</v>
          </cell>
          <cell r="E64">
            <v>0</v>
          </cell>
          <cell r="F64">
            <v>34613</v>
          </cell>
        </row>
        <row r="65">
          <cell r="B65" t="str">
            <v xml:space="preserve">Italia </v>
          </cell>
          <cell r="C65">
            <v>945415</v>
          </cell>
          <cell r="D65">
            <v>47853523</v>
          </cell>
          <cell r="E65">
            <v>29391</v>
          </cell>
          <cell r="F65">
            <v>3710957</v>
          </cell>
        </row>
        <row r="66">
          <cell r="B66" t="str">
            <v xml:space="preserve">Países Bajos </v>
          </cell>
          <cell r="C66">
            <v>405268</v>
          </cell>
          <cell r="D66">
            <v>263817</v>
          </cell>
          <cell r="E66">
            <v>163809</v>
          </cell>
          <cell r="F66">
            <v>7090</v>
          </cell>
        </row>
        <row r="67">
          <cell r="B67" t="str">
            <v xml:space="preserve">Polonia </v>
          </cell>
          <cell r="C67">
            <v>395279</v>
          </cell>
          <cell r="D67">
            <v>85805</v>
          </cell>
          <cell r="E67">
            <v>0</v>
          </cell>
          <cell r="F67">
            <v>0</v>
          </cell>
        </row>
        <row r="68">
          <cell r="B68" t="str">
            <v xml:space="preserve">Reino Unido </v>
          </cell>
          <cell r="C68">
            <v>1314016</v>
          </cell>
          <cell r="D68">
            <v>305575</v>
          </cell>
          <cell r="E68">
            <v>23021</v>
          </cell>
          <cell r="F68">
            <v>10440</v>
          </cell>
        </row>
        <row r="69">
          <cell r="B69" t="str">
            <v xml:space="preserve">Suecia </v>
          </cell>
          <cell r="C69">
            <v>109987</v>
          </cell>
          <cell r="D69">
            <v>1431465</v>
          </cell>
          <cell r="E69">
            <v>5000</v>
          </cell>
          <cell r="F69">
            <v>538930</v>
          </cell>
        </row>
        <row r="70">
          <cell r="B70" t="str">
            <v xml:space="preserve">Resto </v>
          </cell>
          <cell r="C70">
            <v>639308</v>
          </cell>
          <cell r="D70">
            <v>257094</v>
          </cell>
          <cell r="E70">
            <v>4194</v>
          </cell>
          <cell r="F70">
            <v>2174</v>
          </cell>
        </row>
        <row r="84">
          <cell r="B84" t="str">
            <v>Suiza</v>
          </cell>
          <cell r="C84">
            <v>121176751</v>
          </cell>
          <cell r="D84">
            <v>88289957</v>
          </cell>
          <cell r="E84">
            <v>16485497</v>
          </cell>
          <cell r="F84">
            <v>7941366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res_pais_dest_alta_tek"/>
    </sheetNames>
    <sheetDataSet>
      <sheetData sheetId="0">
        <row r="7">
          <cell r="B7" t="str">
            <v>Bolivia</v>
          </cell>
          <cell r="C7">
            <v>8181396</v>
          </cell>
          <cell r="D7">
            <v>2830611</v>
          </cell>
          <cell r="E7">
            <v>50877</v>
          </cell>
          <cell r="F7">
            <v>180661</v>
          </cell>
        </row>
        <row r="8">
          <cell r="B8" t="str">
            <v>Ecuador</v>
          </cell>
          <cell r="C8">
            <v>55185019</v>
          </cell>
          <cell r="D8">
            <v>61276502</v>
          </cell>
          <cell r="E8">
            <v>4000203</v>
          </cell>
          <cell r="F8">
            <v>3273293</v>
          </cell>
        </row>
        <row r="9">
          <cell r="B9" t="str">
            <v xml:space="preserve">Perú </v>
          </cell>
          <cell r="C9">
            <v>27630496</v>
          </cell>
          <cell r="D9">
            <v>18532395</v>
          </cell>
          <cell r="E9">
            <v>1688808</v>
          </cell>
          <cell r="F9">
            <v>1069739</v>
          </cell>
        </row>
        <row r="23">
          <cell r="B23" t="str">
            <v>Argentina</v>
          </cell>
          <cell r="C23">
            <v>891500</v>
          </cell>
          <cell r="D23">
            <v>2634088</v>
          </cell>
          <cell r="E23">
            <v>167636</v>
          </cell>
          <cell r="F23">
            <v>150949</v>
          </cell>
        </row>
        <row r="24">
          <cell r="B24" t="str">
            <v xml:space="preserve">Brasil </v>
          </cell>
          <cell r="C24">
            <v>10893930</v>
          </cell>
          <cell r="D24">
            <v>63197122</v>
          </cell>
          <cell r="E24">
            <v>6971836</v>
          </cell>
          <cell r="F24">
            <v>424157</v>
          </cell>
        </row>
        <row r="25">
          <cell r="B25" t="str">
            <v xml:space="preserve">Cuba </v>
          </cell>
          <cell r="C25">
            <v>137381</v>
          </cell>
          <cell r="D25">
            <v>338596</v>
          </cell>
          <cell r="E25">
            <v>24772</v>
          </cell>
          <cell r="F25">
            <v>18934</v>
          </cell>
        </row>
        <row r="26">
          <cell r="B26" t="str">
            <v xml:space="preserve">Chile </v>
          </cell>
          <cell r="C26">
            <v>9628385</v>
          </cell>
          <cell r="D26">
            <v>11507472</v>
          </cell>
          <cell r="E26">
            <v>581880</v>
          </cell>
          <cell r="F26">
            <v>785585</v>
          </cell>
        </row>
        <row r="27">
          <cell r="B27" t="str">
            <v xml:space="preserve">México </v>
          </cell>
          <cell r="C27">
            <v>21724032</v>
          </cell>
          <cell r="D27">
            <v>18902732</v>
          </cell>
          <cell r="E27">
            <v>620155</v>
          </cell>
          <cell r="F27">
            <v>1067086</v>
          </cell>
        </row>
        <row r="28">
          <cell r="B28" t="str">
            <v xml:space="preserve">Paraguay </v>
          </cell>
          <cell r="C28">
            <v>259303</v>
          </cell>
          <cell r="D28">
            <v>1284296</v>
          </cell>
          <cell r="E28">
            <v>6882</v>
          </cell>
          <cell r="F28">
            <v>354727</v>
          </cell>
        </row>
        <row r="29">
          <cell r="B29" t="str">
            <v xml:space="preserve">Uruguay </v>
          </cell>
          <cell r="C29">
            <v>1493195</v>
          </cell>
          <cell r="D29">
            <v>4238723</v>
          </cell>
          <cell r="E29">
            <v>1285440</v>
          </cell>
          <cell r="F29">
            <v>3075035</v>
          </cell>
        </row>
        <row r="30">
          <cell r="B30" t="str">
            <v>Venezuela</v>
          </cell>
          <cell r="C30">
            <v>137070113</v>
          </cell>
          <cell r="D30">
            <v>36322548</v>
          </cell>
          <cell r="E30">
            <v>7390294</v>
          </cell>
          <cell r="F30">
            <v>1293642</v>
          </cell>
        </row>
        <row r="44">
          <cell r="B44" t="str">
            <v xml:space="preserve">Canadá </v>
          </cell>
          <cell r="C44">
            <v>5045791</v>
          </cell>
          <cell r="D44">
            <v>1824975</v>
          </cell>
          <cell r="E44">
            <v>4129975</v>
          </cell>
          <cell r="F44">
            <v>138516</v>
          </cell>
        </row>
        <row r="45">
          <cell r="B45" t="str">
            <v>Estados Unidos</v>
          </cell>
          <cell r="C45">
            <v>117761705</v>
          </cell>
          <cell r="D45">
            <v>99975873</v>
          </cell>
          <cell r="E45">
            <v>5379157</v>
          </cell>
          <cell r="F45">
            <v>2489600</v>
          </cell>
        </row>
        <row r="46">
          <cell r="B46" t="str">
            <v xml:space="preserve">Puerto Rico </v>
          </cell>
          <cell r="C46">
            <v>4707691</v>
          </cell>
          <cell r="D46">
            <v>57026</v>
          </cell>
          <cell r="E46">
            <v>6270</v>
          </cell>
          <cell r="F46">
            <v>9446</v>
          </cell>
        </row>
        <row r="60">
          <cell r="B60" t="str">
            <v xml:space="preserve">Alemania </v>
          </cell>
          <cell r="C60">
            <v>1912589</v>
          </cell>
          <cell r="D60">
            <v>934313</v>
          </cell>
          <cell r="E60">
            <v>439444</v>
          </cell>
          <cell r="F60">
            <v>10706</v>
          </cell>
        </row>
        <row r="61">
          <cell r="B61" t="str">
            <v xml:space="preserve">Bélgica </v>
          </cell>
          <cell r="C61">
            <v>11278</v>
          </cell>
          <cell r="D61">
            <v>881021</v>
          </cell>
          <cell r="E61">
            <v>0</v>
          </cell>
          <cell r="F61">
            <v>812933</v>
          </cell>
        </row>
        <row r="62">
          <cell r="B62" t="str">
            <v xml:space="preserve">España </v>
          </cell>
          <cell r="C62">
            <v>229184</v>
          </cell>
          <cell r="D62">
            <v>404352</v>
          </cell>
          <cell r="E62">
            <v>7748</v>
          </cell>
          <cell r="F62">
            <v>49911</v>
          </cell>
        </row>
        <row r="63">
          <cell r="B63" t="str">
            <v xml:space="preserve">Francia </v>
          </cell>
          <cell r="C63">
            <v>1145943</v>
          </cell>
          <cell r="D63">
            <v>369878</v>
          </cell>
          <cell r="E63">
            <v>441315</v>
          </cell>
          <cell r="F63">
            <v>14524</v>
          </cell>
        </row>
        <row r="64">
          <cell r="B64" t="str">
            <v xml:space="preserve">Hungría </v>
          </cell>
          <cell r="C64">
            <v>141093</v>
          </cell>
          <cell r="D64">
            <v>78811</v>
          </cell>
          <cell r="E64">
            <v>0</v>
          </cell>
          <cell r="F64">
            <v>0</v>
          </cell>
        </row>
        <row r="65">
          <cell r="B65" t="str">
            <v xml:space="preserve">Italia </v>
          </cell>
          <cell r="C65">
            <v>14006</v>
          </cell>
          <cell r="D65">
            <v>180079</v>
          </cell>
          <cell r="E65">
            <v>400</v>
          </cell>
          <cell r="F65">
            <v>8911</v>
          </cell>
        </row>
        <row r="66">
          <cell r="B66" t="str">
            <v xml:space="preserve">Países Bajos </v>
          </cell>
          <cell r="C66">
            <v>4713271</v>
          </cell>
          <cell r="D66">
            <v>6544027</v>
          </cell>
          <cell r="E66">
            <v>727234</v>
          </cell>
          <cell r="F66">
            <v>0</v>
          </cell>
        </row>
        <row r="67">
          <cell r="B67" t="str">
            <v xml:space="preserve">Portugal </v>
          </cell>
          <cell r="C67">
            <v>86825</v>
          </cell>
          <cell r="D67">
            <v>172021</v>
          </cell>
          <cell r="E67">
            <v>43575</v>
          </cell>
          <cell r="F67">
            <v>0</v>
          </cell>
        </row>
        <row r="68">
          <cell r="B68" t="str">
            <v xml:space="preserve">Reino Unido </v>
          </cell>
          <cell r="C68">
            <v>1317643</v>
          </cell>
          <cell r="D68">
            <v>1807618</v>
          </cell>
          <cell r="E68">
            <v>74633</v>
          </cell>
          <cell r="F68">
            <v>55798</v>
          </cell>
        </row>
        <row r="69">
          <cell r="B69" t="str">
            <v xml:space="preserve">Suecia </v>
          </cell>
          <cell r="C69">
            <v>78940</v>
          </cell>
          <cell r="D69">
            <v>173482</v>
          </cell>
          <cell r="E69">
            <v>0</v>
          </cell>
          <cell r="F69">
            <v>55875</v>
          </cell>
        </row>
        <row r="70">
          <cell r="B70" t="str">
            <v xml:space="preserve">Resto </v>
          </cell>
          <cell r="C70">
            <v>297942</v>
          </cell>
          <cell r="D70">
            <v>297834</v>
          </cell>
          <cell r="E70">
            <v>38125</v>
          </cell>
          <cell r="F70">
            <v>17500</v>
          </cell>
        </row>
        <row r="84">
          <cell r="B84" t="str">
            <v>Suiza</v>
          </cell>
          <cell r="C84">
            <v>111249</v>
          </cell>
          <cell r="D84">
            <v>491351</v>
          </cell>
          <cell r="E84">
            <v>0</v>
          </cell>
          <cell r="F84">
            <v>917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cuadro1c"/>
    </sheetNames>
    <sheetDataSet>
      <sheetData sheetId="0">
        <row r="7">
          <cell r="A7" t="str">
            <v xml:space="preserve">Armenia </v>
          </cell>
          <cell r="B7">
            <v>0</v>
          </cell>
          <cell r="C7">
            <v>1109</v>
          </cell>
          <cell r="D7">
            <v>0</v>
          </cell>
          <cell r="E7">
            <v>0</v>
          </cell>
        </row>
        <row r="8">
          <cell r="A8" t="str">
            <v xml:space="preserve">Barranquilla </v>
          </cell>
          <cell r="B8">
            <v>50371250</v>
          </cell>
          <cell r="C8">
            <v>49273111</v>
          </cell>
          <cell r="D8">
            <v>6400897</v>
          </cell>
          <cell r="E8">
            <v>1603644</v>
          </cell>
        </row>
        <row r="9">
          <cell r="A9" t="str">
            <v xml:space="preserve">Bogotá </v>
          </cell>
          <cell r="B9">
            <v>946774411</v>
          </cell>
          <cell r="C9">
            <v>1404530714</v>
          </cell>
          <cell r="D9">
            <v>100363262</v>
          </cell>
          <cell r="E9">
            <v>151932040</v>
          </cell>
        </row>
        <row r="10">
          <cell r="A10" t="str">
            <v xml:space="preserve">Bucaramanga </v>
          </cell>
          <cell r="B10">
            <v>175505</v>
          </cell>
          <cell r="C10">
            <v>137145</v>
          </cell>
          <cell r="D10">
            <v>16667</v>
          </cell>
          <cell r="E10">
            <v>6771</v>
          </cell>
        </row>
        <row r="11">
          <cell r="A11" t="str">
            <v xml:space="preserve">Cali </v>
          </cell>
          <cell r="B11">
            <v>2825235</v>
          </cell>
          <cell r="C11">
            <v>2961465</v>
          </cell>
          <cell r="D11">
            <v>268248</v>
          </cell>
          <cell r="E11">
            <v>413969</v>
          </cell>
        </row>
        <row r="12">
          <cell r="A12" t="str">
            <v xml:space="preserve">Cartagena </v>
          </cell>
          <cell r="B12">
            <v>621530741</v>
          </cell>
          <cell r="C12">
            <v>617215836</v>
          </cell>
          <cell r="D12">
            <v>54932130</v>
          </cell>
          <cell r="E12">
            <v>50496497</v>
          </cell>
        </row>
        <row r="13">
          <cell r="A13" t="str">
            <v xml:space="preserve">Cúcuta </v>
          </cell>
          <cell r="B13">
            <v>606796531</v>
          </cell>
          <cell r="C13">
            <v>213288671</v>
          </cell>
          <cell r="D13">
            <v>20528511</v>
          </cell>
          <cell r="E13">
            <v>17075938</v>
          </cell>
        </row>
        <row r="14">
          <cell r="A14" t="str">
            <v xml:space="preserve">Manizales </v>
          </cell>
          <cell r="B14">
            <v>177157</v>
          </cell>
          <cell r="C14">
            <v>496</v>
          </cell>
          <cell r="D14">
            <v>0</v>
          </cell>
          <cell r="E14">
            <v>0</v>
          </cell>
        </row>
        <row r="15">
          <cell r="A15" t="str">
            <v xml:space="preserve">Medellín </v>
          </cell>
          <cell r="B15">
            <v>12882565</v>
          </cell>
          <cell r="C15">
            <v>8006959</v>
          </cell>
          <cell r="D15">
            <v>3030268</v>
          </cell>
          <cell r="E15">
            <v>854308</v>
          </cell>
        </row>
        <row r="16">
          <cell r="A16" t="str">
            <v xml:space="preserve">Pereira </v>
          </cell>
          <cell r="B16">
            <v>36</v>
          </cell>
          <cell r="C16">
            <v>122492</v>
          </cell>
          <cell r="D16">
            <v>0</v>
          </cell>
          <cell r="E16">
            <v>69029</v>
          </cell>
        </row>
        <row r="17">
          <cell r="A17" t="str">
            <v xml:space="preserve">Santa Marta </v>
          </cell>
          <cell r="B17">
            <v>28566309</v>
          </cell>
          <cell r="C17">
            <v>19779724</v>
          </cell>
          <cell r="D17">
            <v>21001</v>
          </cell>
          <cell r="E17">
            <v>393815</v>
          </cell>
        </row>
        <row r="18">
          <cell r="A18" t="str">
            <v xml:space="preserve">Riohacha </v>
          </cell>
          <cell r="B18">
            <v>33776599</v>
          </cell>
          <cell r="C18">
            <v>3293328</v>
          </cell>
          <cell r="D18">
            <v>0</v>
          </cell>
          <cell r="E18">
            <v>0</v>
          </cell>
        </row>
        <row r="19">
          <cell r="A19" t="str">
            <v xml:space="preserve">Buenaventura </v>
          </cell>
          <cell r="B19">
            <v>284492218</v>
          </cell>
          <cell r="C19">
            <v>295321807</v>
          </cell>
          <cell r="D19">
            <v>26470155</v>
          </cell>
          <cell r="E19">
            <v>31924512</v>
          </cell>
        </row>
        <row r="20">
          <cell r="A20" t="str">
            <v xml:space="preserve">Ipiales </v>
          </cell>
          <cell r="B20">
            <v>236595973</v>
          </cell>
          <cell r="C20">
            <v>301300760</v>
          </cell>
          <cell r="D20">
            <v>23102495</v>
          </cell>
          <cell r="E20">
            <v>24915311</v>
          </cell>
        </row>
        <row r="21">
          <cell r="A21" t="str">
            <v xml:space="preserve">Leticia </v>
          </cell>
          <cell r="B21">
            <v>165</v>
          </cell>
          <cell r="C21">
            <v>60300</v>
          </cell>
          <cell r="D21">
            <v>0</v>
          </cell>
          <cell r="E21">
            <v>0</v>
          </cell>
        </row>
        <row r="22">
          <cell r="A22" t="str">
            <v xml:space="preserve">Maicao </v>
          </cell>
          <cell r="B22">
            <v>43291862</v>
          </cell>
          <cell r="C22">
            <v>26147987</v>
          </cell>
          <cell r="D22">
            <v>5055481</v>
          </cell>
          <cell r="E22">
            <v>1413289</v>
          </cell>
        </row>
        <row r="23">
          <cell r="A23" t="str">
            <v xml:space="preserve">Turbo </v>
          </cell>
          <cell r="B23">
            <v>17092617</v>
          </cell>
          <cell r="C23">
            <v>3615222</v>
          </cell>
          <cell r="D23">
            <v>2972919</v>
          </cell>
          <cell r="E23">
            <v>0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C2">
            <v>58706654.390000015</v>
          </cell>
          <cell r="D2">
            <v>7225970.620000001</v>
          </cell>
          <cell r="F2">
            <v>158822041.89000028</v>
          </cell>
          <cell r="G2">
            <v>22327328.790000003</v>
          </cell>
          <cell r="K2" t="str">
            <v>Rosas frescas</v>
          </cell>
        </row>
        <row r="3">
          <cell r="C3">
            <v>6668021.5</v>
          </cell>
          <cell r="D3">
            <v>6668021.5</v>
          </cell>
          <cell r="F3">
            <v>146562018.49000001</v>
          </cell>
          <cell r="G3">
            <v>0</v>
          </cell>
          <cell r="K3" t="str">
            <v>Aviones y aeronaves</v>
          </cell>
        </row>
        <row r="4">
          <cell r="C4">
            <v>120944032.55</v>
          </cell>
          <cell r="D4">
            <v>16316726.01</v>
          </cell>
          <cell r="F4">
            <v>138518951.19999996</v>
          </cell>
          <cell r="G4">
            <v>11614420.250000002</v>
          </cell>
          <cell r="K4" t="str">
            <v>Pigmentos para pinturas</v>
          </cell>
        </row>
        <row r="5">
          <cell r="C5">
            <v>118129634.00000022</v>
          </cell>
          <cell r="D5">
            <v>10203406.160000006</v>
          </cell>
          <cell r="F5">
            <v>132848352.28000015</v>
          </cell>
          <cell r="G5">
            <v>14755170.130000003</v>
          </cell>
          <cell r="K5" t="str">
            <v>Cafés sin tostar</v>
          </cell>
        </row>
        <row r="6">
          <cell r="C6">
            <v>32080140.479999978</v>
          </cell>
          <cell r="D6">
            <v>7024133.1999999983</v>
          </cell>
          <cell r="F6">
            <v>121207341.42000031</v>
          </cell>
          <cell r="G6">
            <v>32901941.829999961</v>
          </cell>
          <cell r="K6" t="str">
            <v>Capullos frescos</v>
          </cell>
        </row>
        <row r="7">
          <cell r="C7">
            <v>108460830.93000016</v>
          </cell>
          <cell r="D7">
            <v>5517584.0000000019</v>
          </cell>
          <cell r="F7">
            <v>90697895.989999965</v>
          </cell>
          <cell r="G7">
            <v>5394483.6099999957</v>
          </cell>
          <cell r="K7" t="str">
            <v>Medicamentos</v>
          </cell>
        </row>
        <row r="8">
          <cell r="C8">
            <v>65150013.190000035</v>
          </cell>
          <cell r="D8">
            <v>5455234.4399999985</v>
          </cell>
          <cell r="F8">
            <v>68106730.430000082</v>
          </cell>
          <cell r="G8">
            <v>4647810.3300000019</v>
          </cell>
          <cell r="K8" t="str">
            <v>Libros</v>
          </cell>
        </row>
        <row r="9">
          <cell r="C9">
            <v>59089570.080000028</v>
          </cell>
          <cell r="D9">
            <v>6962136.8599999985</v>
          </cell>
          <cell r="F9">
            <v>67303309.25</v>
          </cell>
          <cell r="G9">
            <v>6913544.8000000017</v>
          </cell>
          <cell r="K9" t="str">
            <v>Carburoreactores</v>
          </cell>
        </row>
        <row r="10">
          <cell r="C10">
            <v>24346188.649999961</v>
          </cell>
          <cell r="D10">
            <v>2270997.4900000016</v>
          </cell>
          <cell r="F10">
            <v>53824130.090000026</v>
          </cell>
          <cell r="G10">
            <v>7790512.5099999988</v>
          </cell>
          <cell r="K10" t="str">
            <v>Claveles</v>
          </cell>
        </row>
        <row r="11">
          <cell r="C11">
            <v>48092428.450000018</v>
          </cell>
          <cell r="D11">
            <v>2998653.53</v>
          </cell>
          <cell r="F11">
            <v>43436090.25</v>
          </cell>
          <cell r="G11">
            <v>3644</v>
          </cell>
          <cell r="K11" t="str">
            <v>Partes de aviones</v>
          </cell>
        </row>
        <row r="12">
          <cell r="C12">
            <v>62792215.43</v>
          </cell>
          <cell r="D12">
            <v>3077355.59</v>
          </cell>
          <cell r="F12">
            <v>41074022.530000024</v>
          </cell>
          <cell r="G12">
            <v>3637870.2599999993</v>
          </cell>
          <cell r="K12" t="str">
            <v>Tejido de punto</v>
          </cell>
        </row>
        <row r="13">
          <cell r="C13">
            <v>12594935.93</v>
          </cell>
          <cell r="D13">
            <v>2367508</v>
          </cell>
          <cell r="F13">
            <v>33093778.779999997</v>
          </cell>
          <cell r="G13">
            <v>6638897.5</v>
          </cell>
          <cell r="K13" t="str">
            <v>hullas</v>
          </cell>
        </row>
        <row r="14">
          <cell r="C14">
            <v>25675585.599999983</v>
          </cell>
          <cell r="D14">
            <v>3453314.9899999988</v>
          </cell>
          <cell r="F14">
            <v>31304762.900000006</v>
          </cell>
          <cell r="G14">
            <v>3850944.9300000016</v>
          </cell>
          <cell r="K14" t="str">
            <v>Manufacturas de cuero</v>
          </cell>
        </row>
        <row r="15">
          <cell r="C15">
            <v>30716233.259999972</v>
          </cell>
          <cell r="D15">
            <v>1751215.3100000003</v>
          </cell>
          <cell r="F15">
            <v>28703468.769999906</v>
          </cell>
          <cell r="G15">
            <v>1800115.9300000009</v>
          </cell>
          <cell r="K15" t="str">
            <v>Recipientes</v>
          </cell>
        </row>
        <row r="16">
          <cell r="C16">
            <v>34000482.959999964</v>
          </cell>
          <cell r="D16">
            <v>1960722.4800000002</v>
          </cell>
          <cell r="F16">
            <v>27967153.710000016</v>
          </cell>
          <cell r="G16">
            <v>2747167</v>
          </cell>
          <cell r="K16" t="str">
            <v>Preparaciones capilares</v>
          </cell>
        </row>
        <row r="17">
          <cell r="C17">
            <v>19958385</v>
          </cell>
          <cell r="D17">
            <v>3753390</v>
          </cell>
          <cell r="F17">
            <v>27613854</v>
          </cell>
          <cell r="G17">
            <v>0</v>
          </cell>
          <cell r="K17" t="str">
            <v>Vehículos</v>
          </cell>
        </row>
        <row r="18">
          <cell r="C18">
            <v>7656448.3999999966</v>
          </cell>
          <cell r="D18">
            <v>750739.64999999979</v>
          </cell>
          <cell r="F18">
            <v>25808222.310000036</v>
          </cell>
          <cell r="G18">
            <v>3555986.95</v>
          </cell>
          <cell r="K18" t="str">
            <v>Claveles miniatura</v>
          </cell>
        </row>
        <row r="19">
          <cell r="C19">
            <v>9984861.6200000029</v>
          </cell>
          <cell r="D19">
            <v>1318656.46</v>
          </cell>
          <cell r="F19">
            <v>25195640.010000005</v>
          </cell>
          <cell r="G19">
            <v>1463302.82</v>
          </cell>
          <cell r="K19" t="str">
            <v>Cueros y pieles</v>
          </cell>
        </row>
        <row r="20">
          <cell r="C20">
            <v>14689752.099999996</v>
          </cell>
          <cell r="D20">
            <v>1015467.8700000001</v>
          </cell>
          <cell r="F20">
            <v>23461761.129999988</v>
          </cell>
          <cell r="G20">
            <v>1276555.8899999999</v>
          </cell>
          <cell r="K20" t="str">
            <v>Láminas de polímeros</v>
          </cell>
        </row>
        <row r="21">
          <cell r="C21">
            <v>3525321.8200000012</v>
          </cell>
          <cell r="D21">
            <v>557295.27000000037</v>
          </cell>
          <cell r="F21">
            <v>22223269.060000032</v>
          </cell>
          <cell r="G21">
            <v>3869129.8399999971</v>
          </cell>
          <cell r="K21" t="str">
            <v>Alstroemerias frescas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cuadro_historico1"/>
    </sheetNames>
    <sheetDataSet>
      <sheetData sheetId="0">
        <row r="7">
          <cell r="B7">
            <v>88486303</v>
          </cell>
          <cell r="C7">
            <v>123708270</v>
          </cell>
          <cell r="D7">
            <v>159712660</v>
          </cell>
          <cell r="E7">
            <v>210207232</v>
          </cell>
          <cell r="F7">
            <v>242000932</v>
          </cell>
          <cell r="G7">
            <v>170796660</v>
          </cell>
        </row>
        <row r="8">
          <cell r="B8">
            <v>107007921</v>
          </cell>
          <cell r="C8">
            <v>184905398</v>
          </cell>
          <cell r="D8">
            <v>191146528</v>
          </cell>
          <cell r="E8">
            <v>262105858</v>
          </cell>
          <cell r="F8">
            <v>251969663</v>
          </cell>
          <cell r="G8">
            <v>206519181</v>
          </cell>
        </row>
        <row r="9">
          <cell r="B9">
            <v>124676575</v>
          </cell>
          <cell r="C9">
            <v>204153887</v>
          </cell>
          <cell r="D9">
            <v>226966008</v>
          </cell>
          <cell r="E9">
            <v>266178078</v>
          </cell>
          <cell r="F9">
            <v>272318949</v>
          </cell>
          <cell r="G9">
            <v>296777746</v>
          </cell>
        </row>
        <row r="10">
          <cell r="B10">
            <v>161994292</v>
          </cell>
          <cell r="C10">
            <v>171687072</v>
          </cell>
          <cell r="D10">
            <v>207776261</v>
          </cell>
          <cell r="E10">
            <v>342130961</v>
          </cell>
          <cell r="F10">
            <v>223717728</v>
          </cell>
          <cell r="G10">
            <v>226573573</v>
          </cell>
        </row>
        <row r="11">
          <cell r="B11">
            <v>160367854</v>
          </cell>
          <cell r="C11">
            <v>191349487</v>
          </cell>
          <cell r="D11">
            <v>263395720</v>
          </cell>
          <cell r="E11">
            <v>303018873</v>
          </cell>
          <cell r="F11">
            <v>268072677</v>
          </cell>
          <cell r="G11">
            <v>355304436</v>
          </cell>
        </row>
        <row r="12">
          <cell r="B12">
            <v>156454878</v>
          </cell>
          <cell r="C12">
            <v>200761830</v>
          </cell>
          <cell r="D12">
            <v>223767927</v>
          </cell>
          <cell r="E12">
            <v>292881032</v>
          </cell>
          <cell r="F12">
            <v>253337159</v>
          </cell>
          <cell r="G12">
            <v>234363568</v>
          </cell>
        </row>
        <row r="13">
          <cell r="B13">
            <v>157715194</v>
          </cell>
          <cell r="C13">
            <v>192048289</v>
          </cell>
          <cell r="D13">
            <v>246519312</v>
          </cell>
          <cell r="E13">
            <v>338851907</v>
          </cell>
          <cell r="F13">
            <v>226842041</v>
          </cell>
          <cell r="G13">
            <v>195535889</v>
          </cell>
        </row>
        <row r="14">
          <cell r="B14">
            <v>154727516</v>
          </cell>
          <cell r="C14">
            <v>203382114</v>
          </cell>
          <cell r="D14">
            <v>259872799</v>
          </cell>
          <cell r="E14">
            <v>289915170</v>
          </cell>
          <cell r="F14">
            <v>207370312</v>
          </cell>
          <cell r="G14">
            <v>221914589</v>
          </cell>
        </row>
        <row r="15">
          <cell r="B15">
            <v>159896163</v>
          </cell>
          <cell r="C15">
            <v>224253485</v>
          </cell>
          <cell r="D15">
            <v>299485658</v>
          </cell>
          <cell r="E15">
            <v>267998377</v>
          </cell>
          <cell r="F15">
            <v>250362204</v>
          </cell>
          <cell r="G15">
            <v>268699624</v>
          </cell>
        </row>
        <row r="16">
          <cell r="B16">
            <v>146242505</v>
          </cell>
          <cell r="C16">
            <v>233288384</v>
          </cell>
          <cell r="D16">
            <v>296062908</v>
          </cell>
          <cell r="E16">
            <v>408946659</v>
          </cell>
          <cell r="F16">
            <v>219217428</v>
          </cell>
          <cell r="G16">
            <v>251290467</v>
          </cell>
        </row>
        <row r="17">
          <cell r="B17">
            <v>169071921</v>
          </cell>
          <cell r="C17">
            <v>225601116</v>
          </cell>
          <cell r="D17">
            <v>325961505</v>
          </cell>
          <cell r="E17">
            <v>284981226</v>
          </cell>
          <cell r="F17">
            <v>226978048</v>
          </cell>
          <cell r="G17">
            <v>236182270</v>
          </cell>
        </row>
        <row r="18">
          <cell r="B18">
            <v>155592707</v>
          </cell>
          <cell r="C18">
            <v>187727890</v>
          </cell>
          <cell r="D18">
            <v>302722796</v>
          </cell>
          <cell r="E18">
            <v>318612227</v>
          </cell>
          <cell r="F18">
            <v>243162033</v>
          </cell>
          <cell r="G18">
            <v>281099122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3">
          <cell r="E13">
            <v>38687</v>
          </cell>
          <cell r="F13">
            <v>145.18615240166665</v>
          </cell>
        </row>
        <row r="14">
          <cell r="E14">
            <v>38718</v>
          </cell>
          <cell r="F14">
            <v>148.1213163233333</v>
          </cell>
        </row>
        <row r="15">
          <cell r="E15">
            <v>38749</v>
          </cell>
          <cell r="F15">
            <v>154.61277273333909</v>
          </cell>
        </row>
        <row r="16">
          <cell r="E16">
            <v>38777</v>
          </cell>
          <cell r="F16">
            <v>161.23588204833916</v>
          </cell>
        </row>
        <row r="17">
          <cell r="E17">
            <v>38808</v>
          </cell>
          <cell r="F17">
            <v>162.04361373500581</v>
          </cell>
        </row>
        <row r="18">
          <cell r="E18">
            <v>38838</v>
          </cell>
          <cell r="F18">
            <v>164.62541647667243</v>
          </cell>
        </row>
        <row r="19">
          <cell r="E19">
            <v>38869</v>
          </cell>
          <cell r="F19">
            <v>168.31766247083905</v>
          </cell>
        </row>
        <row r="20">
          <cell r="E20">
            <v>38899</v>
          </cell>
          <cell r="F20">
            <v>171.17875376917243</v>
          </cell>
        </row>
        <row r="21">
          <cell r="E21">
            <v>38930</v>
          </cell>
          <cell r="F21">
            <v>175.233303550839</v>
          </cell>
        </row>
        <row r="22">
          <cell r="E22">
            <v>38961</v>
          </cell>
          <cell r="F22">
            <v>180.59641369250565</v>
          </cell>
        </row>
        <row r="23">
          <cell r="E23">
            <v>38991</v>
          </cell>
          <cell r="F23">
            <v>187.85023690250569</v>
          </cell>
        </row>
        <row r="24">
          <cell r="E24">
            <v>39022</v>
          </cell>
          <cell r="F24">
            <v>192.5610031558391</v>
          </cell>
        </row>
        <row r="25">
          <cell r="E25">
            <v>39052</v>
          </cell>
          <cell r="F25">
            <v>195.23893508083918</v>
          </cell>
        </row>
        <row r="26">
          <cell r="E26">
            <v>39083</v>
          </cell>
          <cell r="F26">
            <v>198.23930095250589</v>
          </cell>
        </row>
        <row r="27">
          <cell r="E27">
            <v>39114</v>
          </cell>
          <cell r="F27">
            <v>198.75939509833344</v>
          </cell>
        </row>
        <row r="28">
          <cell r="E28">
            <v>39142</v>
          </cell>
          <cell r="F28">
            <v>200.66040521000014</v>
          </cell>
        </row>
        <row r="29">
          <cell r="E29">
            <v>39173</v>
          </cell>
          <cell r="F29">
            <v>203.66783766166677</v>
          </cell>
        </row>
        <row r="30">
          <cell r="E30">
            <v>39203</v>
          </cell>
          <cell r="F30">
            <v>209.67169042916672</v>
          </cell>
        </row>
        <row r="31">
          <cell r="E31">
            <v>39234</v>
          </cell>
          <cell r="F31">
            <v>211.58886523000004</v>
          </cell>
        </row>
        <row r="32">
          <cell r="E32">
            <v>39264</v>
          </cell>
          <cell r="F32">
            <v>216.12811712666675</v>
          </cell>
        </row>
        <row r="33">
          <cell r="E33">
            <v>39295</v>
          </cell>
          <cell r="F33">
            <v>220.83567423083343</v>
          </cell>
        </row>
        <row r="34">
          <cell r="E34">
            <v>39326</v>
          </cell>
          <cell r="F34">
            <v>227.10502192666658</v>
          </cell>
        </row>
        <row r="35">
          <cell r="E35">
            <v>39356</v>
          </cell>
          <cell r="F35">
            <v>232.33623227916667</v>
          </cell>
        </row>
        <row r="36">
          <cell r="E36">
            <v>39387</v>
          </cell>
          <cell r="F36">
            <v>240.69959805583312</v>
          </cell>
        </row>
        <row r="37">
          <cell r="E37">
            <v>39417</v>
          </cell>
          <cell r="F37">
            <v>250.28250686666641</v>
          </cell>
        </row>
        <row r="38">
          <cell r="E38">
            <v>39448</v>
          </cell>
          <cell r="F38">
            <v>254.49038784916638</v>
          </cell>
        </row>
        <row r="39">
          <cell r="E39">
            <v>39479</v>
          </cell>
          <cell r="F39">
            <v>260.40366530249975</v>
          </cell>
        </row>
        <row r="40">
          <cell r="E40">
            <v>39508</v>
          </cell>
          <cell r="F40">
            <v>263.67133781083294</v>
          </cell>
        </row>
        <row r="41">
          <cell r="E41">
            <v>39539</v>
          </cell>
          <cell r="F41">
            <v>274.86756282333289</v>
          </cell>
        </row>
        <row r="42">
          <cell r="E42">
            <v>39569</v>
          </cell>
          <cell r="F42">
            <v>278.16949228249968</v>
          </cell>
        </row>
        <row r="43">
          <cell r="E43">
            <v>39600</v>
          </cell>
          <cell r="F43">
            <v>283.92891768499982</v>
          </cell>
        </row>
        <row r="44">
          <cell r="E44">
            <v>39630</v>
          </cell>
          <cell r="F44">
            <v>291.62330057166633</v>
          </cell>
        </row>
        <row r="45">
          <cell r="E45">
            <v>39661</v>
          </cell>
          <cell r="F45">
            <v>294.12683148583301</v>
          </cell>
        </row>
        <row r="46">
          <cell r="E46">
            <v>39692</v>
          </cell>
          <cell r="F46">
            <v>291.5028914541665</v>
          </cell>
        </row>
        <row r="47">
          <cell r="E47">
            <v>39722</v>
          </cell>
          <cell r="F47">
            <v>300.90987068999982</v>
          </cell>
        </row>
        <row r="48">
          <cell r="E48">
            <v>39753</v>
          </cell>
          <cell r="F48">
            <v>297.49484743583326</v>
          </cell>
        </row>
        <row r="49">
          <cell r="E49">
            <v>39783</v>
          </cell>
          <cell r="F49">
            <v>298.81896670666669</v>
          </cell>
        </row>
        <row r="50">
          <cell r="E50">
            <v>39814</v>
          </cell>
          <cell r="F50">
            <v>301.4684417383333</v>
          </cell>
        </row>
        <row r="51">
          <cell r="E51">
            <v>39845</v>
          </cell>
          <cell r="F51">
            <v>300.62375882250006</v>
          </cell>
        </row>
        <row r="52">
          <cell r="E52">
            <v>39873</v>
          </cell>
          <cell r="F52">
            <v>301.13549808416678</v>
          </cell>
        </row>
        <row r="53">
          <cell r="E53">
            <v>39904</v>
          </cell>
          <cell r="F53">
            <v>291.26772864083352</v>
          </cell>
        </row>
        <row r="54">
          <cell r="E54">
            <v>39934</v>
          </cell>
          <cell r="F54">
            <v>288.35554566166689</v>
          </cell>
        </row>
        <row r="55">
          <cell r="E55">
            <v>39965</v>
          </cell>
          <cell r="F55">
            <v>285.06022290333351</v>
          </cell>
        </row>
        <row r="56">
          <cell r="E56">
            <v>39995</v>
          </cell>
          <cell r="F56">
            <v>275.72606742500028</v>
          </cell>
        </row>
        <row r="57">
          <cell r="E57">
            <v>40026</v>
          </cell>
          <cell r="F57">
            <v>268.84732931250034</v>
          </cell>
        </row>
        <row r="58">
          <cell r="E58">
            <v>40057</v>
          </cell>
          <cell r="F58">
            <v>267.37764819250032</v>
          </cell>
        </row>
        <row r="59">
          <cell r="E59">
            <v>40087</v>
          </cell>
          <cell r="F59">
            <v>251.5668789250002</v>
          </cell>
        </row>
        <row r="60">
          <cell r="E60">
            <v>40118</v>
          </cell>
          <cell r="F60">
            <v>246.73328074416693</v>
          </cell>
        </row>
        <row r="61">
          <cell r="E61">
            <v>40148</v>
          </cell>
          <cell r="F61">
            <v>240.4457645683336</v>
          </cell>
        </row>
        <row r="62">
          <cell r="E62">
            <v>40179</v>
          </cell>
          <cell r="F62">
            <v>234.51207521916692</v>
          </cell>
        </row>
        <row r="63">
          <cell r="E63">
            <v>40210</v>
          </cell>
          <cell r="F63">
            <v>230.72453512500022</v>
          </cell>
        </row>
        <row r="64">
          <cell r="E64">
            <v>40238</v>
          </cell>
          <cell r="F64">
            <v>232.76276823166685</v>
          </cell>
        </row>
        <row r="65">
          <cell r="E65">
            <v>40269</v>
          </cell>
          <cell r="F65">
            <v>233.00075532583355</v>
          </cell>
        </row>
        <row r="66">
          <cell r="E66">
            <v>40299</v>
          </cell>
          <cell r="F66">
            <v>240.27006854583348</v>
          </cell>
        </row>
        <row r="67">
          <cell r="E67">
            <v>40330</v>
          </cell>
          <cell r="F67">
            <v>238.68893599583339</v>
          </cell>
        </row>
        <row r="68">
          <cell r="E68">
            <v>40360</v>
          </cell>
          <cell r="F68">
            <v>236.08008996250007</v>
          </cell>
        </row>
        <row r="69">
          <cell r="E69">
            <v>40391</v>
          </cell>
          <cell r="F69">
            <v>237.29211303166676</v>
          </cell>
        </row>
        <row r="70">
          <cell r="E70">
            <v>40422</v>
          </cell>
          <cell r="F70">
            <v>238.82023136916675</v>
          </cell>
        </row>
        <row r="71">
          <cell r="E71">
            <v>40452</v>
          </cell>
          <cell r="F71">
            <v>241.49298463916668</v>
          </cell>
        </row>
        <row r="72">
          <cell r="E72">
            <v>40483</v>
          </cell>
          <cell r="F72">
            <v>242.26000311416678</v>
          </cell>
        </row>
        <row r="73">
          <cell r="E73">
            <v>40513</v>
          </cell>
          <cell r="F73">
            <v>245.42142715000014</v>
          </cell>
        </row>
      </sheetData>
      <sheetData sheetId="1">
        <row r="13">
          <cell r="E13">
            <v>38687</v>
          </cell>
          <cell r="F13">
            <v>7.457379426666666</v>
          </cell>
        </row>
        <row r="14">
          <cell r="E14">
            <v>38718</v>
          </cell>
          <cell r="F14">
            <v>7.8803500749999991</v>
          </cell>
        </row>
        <row r="15">
          <cell r="E15">
            <v>38749</v>
          </cell>
          <cell r="F15">
            <v>8.8582524300000003</v>
          </cell>
        </row>
        <row r="16">
          <cell r="E16">
            <v>38777</v>
          </cell>
          <cell r="F16">
            <v>9.7940308783333325</v>
          </cell>
        </row>
        <row r="17">
          <cell r="E17">
            <v>38808</v>
          </cell>
          <cell r="F17">
            <v>9.8566215908333312</v>
          </cell>
        </row>
        <row r="18">
          <cell r="E18">
            <v>38838</v>
          </cell>
          <cell r="F18">
            <v>9.3825139433333309</v>
          </cell>
        </row>
        <row r="19">
          <cell r="E19">
            <v>38869</v>
          </cell>
          <cell r="F19">
            <v>8.9524913391666647</v>
          </cell>
        </row>
        <row r="20">
          <cell r="E20">
            <v>38899</v>
          </cell>
          <cell r="F20">
            <v>8.6243022191666636</v>
          </cell>
        </row>
        <row r="21">
          <cell r="E21">
            <v>38930</v>
          </cell>
          <cell r="F21">
            <v>8.8233721433333301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9.2078630541666655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8.1546267100000005</v>
          </cell>
        </row>
        <row r="27">
          <cell r="E27">
            <v>39114</v>
          </cell>
          <cell r="F27">
            <v>7.4352068749999995</v>
          </cell>
        </row>
        <row r="28">
          <cell r="E28">
            <v>39142</v>
          </cell>
          <cell r="F28">
            <v>6.6144002491666685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6.0578656250000016</v>
          </cell>
        </row>
        <row r="34">
          <cell r="E34">
            <v>39326</v>
          </cell>
          <cell r="F34">
            <v>5.846763014166668</v>
          </cell>
        </row>
        <row r="35">
          <cell r="E35">
            <v>39356</v>
          </cell>
          <cell r="F35">
            <v>5.3245639608333342</v>
          </cell>
        </row>
        <row r="36">
          <cell r="E36">
            <v>39387</v>
          </cell>
          <cell r="F36">
            <v>5.3279031691666683</v>
          </cell>
        </row>
        <row r="37">
          <cell r="E37">
            <v>39417</v>
          </cell>
          <cell r="F37">
            <v>5.4464369966666686</v>
          </cell>
        </row>
        <row r="38">
          <cell r="E38">
            <v>39448</v>
          </cell>
          <cell r="F38">
            <v>5.6992171641666687</v>
          </cell>
        </row>
        <row r="39">
          <cell r="E39">
            <v>39479</v>
          </cell>
          <cell r="F39">
            <v>6.3194982116666685</v>
          </cell>
        </row>
        <row r="40">
          <cell r="E40">
            <v>39508</v>
          </cell>
          <cell r="F40">
            <v>7.2247330875000015</v>
          </cell>
        </row>
        <row r="41">
          <cell r="E41">
            <v>39539</v>
          </cell>
          <cell r="F41">
            <v>8.7289226708333363</v>
          </cell>
        </row>
        <row r="42">
          <cell r="E42">
            <v>39569</v>
          </cell>
          <cell r="F42">
            <v>10.98301014166667</v>
          </cell>
        </row>
        <row r="43">
          <cell r="E43">
            <v>39600</v>
          </cell>
          <cell r="F43">
            <v>13.124958411666668</v>
          </cell>
        </row>
        <row r="44">
          <cell r="E44">
            <v>39630</v>
          </cell>
          <cell r="F44">
            <v>14.80977956916667</v>
          </cell>
        </row>
        <row r="45">
          <cell r="E45">
            <v>39661</v>
          </cell>
          <cell r="F45">
            <v>15.793069655000004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20.480742499999998</v>
          </cell>
        </row>
        <row r="48">
          <cell r="E48">
            <v>39753</v>
          </cell>
          <cell r="F48">
            <v>21.82341006916667</v>
          </cell>
        </row>
        <row r="49">
          <cell r="E49">
            <v>39783</v>
          </cell>
          <cell r="F49">
            <v>23.958335424166666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28.645052216666667</v>
          </cell>
        </row>
        <row r="52">
          <cell r="E52">
            <v>39873</v>
          </cell>
          <cell r="F52">
            <v>30.099628431666662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28.822006095000003</v>
          </cell>
        </row>
        <row r="56">
          <cell r="E56">
            <v>39995</v>
          </cell>
          <cell r="F56">
            <v>27.642549730833334</v>
          </cell>
        </row>
        <row r="57">
          <cell r="E57">
            <v>40026</v>
          </cell>
          <cell r="F57">
            <v>27.374908371666663</v>
          </cell>
        </row>
        <row r="58">
          <cell r="E58">
            <v>40057</v>
          </cell>
          <cell r="F58">
            <v>26.442601859999996</v>
          </cell>
        </row>
        <row r="59">
          <cell r="E59">
            <v>40087</v>
          </cell>
          <cell r="F59">
            <v>24.348121965833332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23.073302143333333</v>
          </cell>
        </row>
        <row r="62">
          <cell r="E62">
            <v>40179</v>
          </cell>
          <cell r="F62">
            <v>21.118794651666665</v>
          </cell>
        </row>
        <row r="63">
          <cell r="E63">
            <v>40210</v>
          </cell>
          <cell r="F63">
            <v>19.516162208333334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22.311676767499993</v>
          </cell>
        </row>
      </sheetData>
      <sheetData sheetId="2">
        <row r="13">
          <cell r="E13">
            <v>38687</v>
          </cell>
          <cell r="F13">
            <v>137.72877297500008</v>
          </cell>
        </row>
        <row r="14">
          <cell r="E14">
            <v>38718</v>
          </cell>
          <cell r="F14">
            <v>140.24096624833342</v>
          </cell>
        </row>
        <row r="15">
          <cell r="E15">
            <v>38749</v>
          </cell>
          <cell r="F15">
            <v>145.75452030333298</v>
          </cell>
        </row>
        <row r="16">
          <cell r="E16">
            <v>38777</v>
          </cell>
          <cell r="F16">
            <v>151.44185116999969</v>
          </cell>
        </row>
        <row r="17">
          <cell r="E17">
            <v>38808</v>
          </cell>
          <cell r="F17">
            <v>152.18699214416637</v>
          </cell>
        </row>
        <row r="18">
          <cell r="E18">
            <v>38838</v>
          </cell>
          <cell r="F18">
            <v>155.24290253333297</v>
          </cell>
        </row>
        <row r="19">
          <cell r="E19">
            <v>38869</v>
          </cell>
          <cell r="F19">
            <v>159.36517113166616</v>
          </cell>
        </row>
        <row r="20">
          <cell r="E20">
            <v>38899</v>
          </cell>
          <cell r="F20">
            <v>162.55445154999953</v>
          </cell>
        </row>
        <row r="21">
          <cell r="E21">
            <v>38930</v>
          </cell>
          <cell r="F21">
            <v>166.40993140749944</v>
          </cell>
        </row>
        <row r="22">
          <cell r="E22">
            <v>38961</v>
          </cell>
          <cell r="F22">
            <v>171.57788760833273</v>
          </cell>
        </row>
        <row r="23">
          <cell r="E23">
            <v>38991</v>
          </cell>
          <cell r="F23">
            <v>178.42194067916606</v>
          </cell>
        </row>
        <row r="24">
          <cell r="E24">
            <v>39022</v>
          </cell>
          <cell r="F24">
            <v>183.35314010166607</v>
          </cell>
        </row>
        <row r="25">
          <cell r="E25">
            <v>39052</v>
          </cell>
          <cell r="F25">
            <v>186.51129101333285</v>
          </cell>
        </row>
        <row r="26">
          <cell r="E26">
            <v>39083</v>
          </cell>
          <cell r="F26">
            <v>190.08467424249955</v>
          </cell>
        </row>
        <row r="27">
          <cell r="E27">
            <v>39114</v>
          </cell>
          <cell r="F27">
            <v>191.32418822333341</v>
          </cell>
        </row>
        <row r="28">
          <cell r="E28">
            <v>39142</v>
          </cell>
          <cell r="F28">
            <v>194.04600496083344</v>
          </cell>
        </row>
        <row r="29">
          <cell r="E29">
            <v>39173</v>
          </cell>
          <cell r="F29">
            <v>197.21427218166673</v>
          </cell>
        </row>
        <row r="30">
          <cell r="E30">
            <v>39203</v>
          </cell>
          <cell r="F30">
            <v>203.56956638333335</v>
          </cell>
        </row>
        <row r="31">
          <cell r="E31">
            <v>39234</v>
          </cell>
          <cell r="F31">
            <v>205.35101448166674</v>
          </cell>
        </row>
        <row r="32">
          <cell r="E32">
            <v>39264</v>
          </cell>
          <cell r="F32">
            <v>209.81893448416676</v>
          </cell>
        </row>
        <row r="33">
          <cell r="E33">
            <v>39295</v>
          </cell>
          <cell r="F33">
            <v>214.77780860583343</v>
          </cell>
        </row>
        <row r="34">
          <cell r="E34">
            <v>39326</v>
          </cell>
          <cell r="F34">
            <v>221.25825891249997</v>
          </cell>
        </row>
        <row r="35">
          <cell r="E35">
            <v>39356</v>
          </cell>
          <cell r="F35">
            <v>227.01166831833339</v>
          </cell>
        </row>
        <row r="36">
          <cell r="E36">
            <v>39387</v>
          </cell>
          <cell r="F36">
            <v>235.37169488666669</v>
          </cell>
        </row>
        <row r="37">
          <cell r="E37">
            <v>39417</v>
          </cell>
          <cell r="F37">
            <v>244.83606986999993</v>
          </cell>
        </row>
        <row r="38">
          <cell r="E38">
            <v>39448</v>
          </cell>
          <cell r="F38">
            <v>248.79117068499988</v>
          </cell>
        </row>
        <row r="39">
          <cell r="E39">
            <v>39479</v>
          </cell>
          <cell r="F39">
            <v>254.08416709083306</v>
          </cell>
        </row>
        <row r="40">
          <cell r="E40">
            <v>39508</v>
          </cell>
          <cell r="F40">
            <v>256.44660472333294</v>
          </cell>
        </row>
        <row r="41">
          <cell r="E41">
            <v>39539</v>
          </cell>
          <cell r="F41">
            <v>266.13864015249953</v>
          </cell>
        </row>
        <row r="42">
          <cell r="E42">
            <v>39569</v>
          </cell>
          <cell r="F42">
            <v>267.18648214083282</v>
          </cell>
        </row>
        <row r="43">
          <cell r="E43">
            <v>39600</v>
          </cell>
          <cell r="F43">
            <v>270.80395927333296</v>
          </cell>
        </row>
        <row r="44">
          <cell r="E44">
            <v>39630</v>
          </cell>
          <cell r="F44">
            <v>276.8135210024995</v>
          </cell>
        </row>
        <row r="45">
          <cell r="E45">
            <v>39661</v>
          </cell>
          <cell r="F45">
            <v>278.33376183083283</v>
          </cell>
        </row>
        <row r="46">
          <cell r="E46">
            <v>39692</v>
          </cell>
          <cell r="F46">
            <v>273.7548981558329</v>
          </cell>
        </row>
        <row r="47">
          <cell r="E47">
            <v>39722</v>
          </cell>
          <cell r="F47">
            <v>280.42912818999963</v>
          </cell>
        </row>
        <row r="48">
          <cell r="E48">
            <v>39753</v>
          </cell>
          <cell r="F48">
            <v>275.67143736666628</v>
          </cell>
        </row>
        <row r="49">
          <cell r="E49">
            <v>39783</v>
          </cell>
          <cell r="F49">
            <v>274.86063128249981</v>
          </cell>
        </row>
        <row r="50">
          <cell r="E50">
            <v>39814</v>
          </cell>
          <cell r="F50">
            <v>274.64382542666647</v>
          </cell>
        </row>
        <row r="51">
          <cell r="E51">
            <v>39845</v>
          </cell>
          <cell r="F51">
            <v>271.97870660583317</v>
          </cell>
        </row>
        <row r="52">
          <cell r="E52">
            <v>39873</v>
          </cell>
          <cell r="F52">
            <v>271.03586965249991</v>
          </cell>
        </row>
        <row r="53">
          <cell r="E53">
            <v>39904</v>
          </cell>
          <cell r="F53">
            <v>260.71820977499993</v>
          </cell>
        </row>
        <row r="54">
          <cell r="E54">
            <v>39934</v>
          </cell>
          <cell r="F54">
            <v>259.05271944500004</v>
          </cell>
        </row>
        <row r="55">
          <cell r="E55">
            <v>39965</v>
          </cell>
          <cell r="F55">
            <v>256.23821680833339</v>
          </cell>
        </row>
        <row r="56">
          <cell r="E56">
            <v>39995</v>
          </cell>
          <cell r="F56">
            <v>248.08351769416674</v>
          </cell>
        </row>
        <row r="57">
          <cell r="E57">
            <v>40026</v>
          </cell>
          <cell r="F57">
            <v>241.47242094083353</v>
          </cell>
        </row>
        <row r="58">
          <cell r="E58">
            <v>40057</v>
          </cell>
          <cell r="F58">
            <v>240.93504633250018</v>
          </cell>
        </row>
        <row r="59">
          <cell r="E59">
            <v>40087</v>
          </cell>
          <cell r="F59">
            <v>227.21875695916674</v>
          </cell>
        </row>
        <row r="60">
          <cell r="E60">
            <v>40118</v>
          </cell>
          <cell r="F60">
            <v>222.95921764333357</v>
          </cell>
        </row>
        <row r="61">
          <cell r="E61">
            <v>40148</v>
          </cell>
          <cell r="F61">
            <v>217.37246242500012</v>
          </cell>
        </row>
        <row r="62">
          <cell r="E62">
            <v>40179</v>
          </cell>
          <cell r="F62">
            <v>213.39328056750017</v>
          </cell>
        </row>
        <row r="63">
          <cell r="E63">
            <v>40210</v>
          </cell>
          <cell r="F63">
            <v>211.20837291666689</v>
          </cell>
        </row>
        <row r="64">
          <cell r="E64">
            <v>40238</v>
          </cell>
          <cell r="F64">
            <v>214.06609279250014</v>
          </cell>
        </row>
        <row r="65">
          <cell r="E65">
            <v>40269</v>
          </cell>
          <cell r="F65">
            <v>215.60394350916695</v>
          </cell>
        </row>
        <row r="66">
          <cell r="E66">
            <v>40299</v>
          </cell>
          <cell r="F66">
            <v>222.05830011750027</v>
          </cell>
        </row>
        <row r="67">
          <cell r="E67">
            <v>40330</v>
          </cell>
          <cell r="F67">
            <v>220.09948033916694</v>
          </cell>
        </row>
        <row r="68">
          <cell r="E68">
            <v>40360</v>
          </cell>
          <cell r="F68">
            <v>217.43507813583369</v>
          </cell>
        </row>
        <row r="69">
          <cell r="E69">
            <v>40391</v>
          </cell>
          <cell r="F69">
            <v>218.12376405416705</v>
          </cell>
        </row>
        <row r="70">
          <cell r="E70">
            <v>40422</v>
          </cell>
          <cell r="F70">
            <v>219.47504657166701</v>
          </cell>
        </row>
        <row r="71">
          <cell r="E71">
            <v>40452</v>
          </cell>
          <cell r="F71">
            <v>221.20359484250022</v>
          </cell>
        </row>
        <row r="72">
          <cell r="E72">
            <v>40483</v>
          </cell>
          <cell r="F72">
            <v>220.51916236916688</v>
          </cell>
        </row>
        <row r="73">
          <cell r="E73">
            <v>40513</v>
          </cell>
          <cell r="F73">
            <v>223.10975038250021</v>
          </cell>
        </row>
      </sheetData>
      <sheetData sheetId="3">
        <row r="13">
          <cell r="E13">
            <v>38687</v>
          </cell>
          <cell r="F13">
            <v>15.373753365833336</v>
          </cell>
        </row>
        <row r="14">
          <cell r="E14">
            <v>38718</v>
          </cell>
          <cell r="F14">
            <v>15.640701159999999</v>
          </cell>
        </row>
        <row r="15">
          <cell r="E15">
            <v>38749</v>
          </cell>
          <cell r="F15">
            <v>17.051117664166664</v>
          </cell>
        </row>
        <row r="16">
          <cell r="E16">
            <v>38777</v>
          </cell>
          <cell r="F16">
            <v>17.965466081666658</v>
          </cell>
        </row>
        <row r="17">
          <cell r="E17">
            <v>38808</v>
          </cell>
          <cell r="F17">
            <v>17.213485064999997</v>
          </cell>
        </row>
        <row r="18">
          <cell r="E18">
            <v>38838</v>
          </cell>
          <cell r="F18">
            <v>15.99437709083333</v>
          </cell>
        </row>
        <row r="19">
          <cell r="E19">
            <v>38869</v>
          </cell>
          <cell r="F19">
            <v>15.887339987499997</v>
          </cell>
        </row>
        <row r="20">
          <cell r="E20">
            <v>38899</v>
          </cell>
          <cell r="F20">
            <v>16.309608149999995</v>
          </cell>
        </row>
        <row r="21">
          <cell r="E21">
            <v>38930</v>
          </cell>
          <cell r="F21">
            <v>16.79537130833333</v>
          </cell>
        </row>
        <row r="22">
          <cell r="E22">
            <v>38961</v>
          </cell>
          <cell r="F22">
            <v>17.085609669999997</v>
          </cell>
        </row>
        <row r="23">
          <cell r="E23">
            <v>38991</v>
          </cell>
          <cell r="F23">
            <v>18.026546135833325</v>
          </cell>
        </row>
        <row r="24">
          <cell r="E24">
            <v>39022</v>
          </cell>
          <cell r="F24">
            <v>17.813487891666661</v>
          </cell>
        </row>
        <row r="25">
          <cell r="E25">
            <v>39052</v>
          </cell>
          <cell r="F25">
            <v>17.552106358333329</v>
          </cell>
        </row>
        <row r="26">
          <cell r="E26">
            <v>39083</v>
          </cell>
          <cell r="F26">
            <v>17.557105319166663</v>
          </cell>
        </row>
        <row r="27">
          <cell r="E27">
            <v>39114</v>
          </cell>
          <cell r="F27">
            <v>16.849217827499999</v>
          </cell>
        </row>
        <row r="28">
          <cell r="E28">
            <v>39142</v>
          </cell>
          <cell r="F28">
            <v>16.915585845000006</v>
          </cell>
        </row>
        <row r="29">
          <cell r="E29">
            <v>39173</v>
          </cell>
          <cell r="F29">
            <v>17.356148865833337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17.560147553333337</v>
          </cell>
        </row>
        <row r="32">
          <cell r="E32">
            <v>39264</v>
          </cell>
          <cell r="F32">
            <v>17.462818867500001</v>
          </cell>
        </row>
        <row r="33">
          <cell r="E33">
            <v>39295</v>
          </cell>
          <cell r="F33">
            <v>17.456806292499998</v>
          </cell>
        </row>
        <row r="34">
          <cell r="E34">
            <v>39326</v>
          </cell>
          <cell r="F34">
            <v>17.565922472499995</v>
          </cell>
        </row>
        <row r="35">
          <cell r="E35">
            <v>39356</v>
          </cell>
          <cell r="F35">
            <v>16.500001221666665</v>
          </cell>
        </row>
        <row r="36">
          <cell r="E36">
            <v>39387</v>
          </cell>
          <cell r="F36">
            <v>16.770831306666661</v>
          </cell>
        </row>
        <row r="37">
          <cell r="E37">
            <v>39417</v>
          </cell>
          <cell r="F37">
            <v>16.972767309999991</v>
          </cell>
        </row>
        <row r="38">
          <cell r="E38">
            <v>39448</v>
          </cell>
          <cell r="F38">
            <v>16.876307919999995</v>
          </cell>
        </row>
        <row r="39">
          <cell r="E39">
            <v>39479</v>
          </cell>
          <cell r="F39">
            <v>18.037202824999991</v>
          </cell>
        </row>
        <row r="40">
          <cell r="E40">
            <v>39508</v>
          </cell>
          <cell r="F40">
            <v>18.359920473333322</v>
          </cell>
        </row>
        <row r="41">
          <cell r="E41">
            <v>39539</v>
          </cell>
          <cell r="F41">
            <v>18.755245348333325</v>
          </cell>
        </row>
        <row r="42">
          <cell r="E42">
            <v>39569</v>
          </cell>
          <cell r="F42">
            <v>20.196086045833322</v>
          </cell>
        </row>
        <row r="43">
          <cell r="E43">
            <v>39600</v>
          </cell>
          <cell r="F43">
            <v>20.358148179166658</v>
          </cell>
        </row>
        <row r="44">
          <cell r="E44">
            <v>39630</v>
          </cell>
          <cell r="F44">
            <v>20.81298122916666</v>
          </cell>
        </row>
        <row r="45">
          <cell r="E45">
            <v>39661</v>
          </cell>
          <cell r="F45">
            <v>20.827143374999995</v>
          </cell>
        </row>
        <row r="46">
          <cell r="E46">
            <v>39692</v>
          </cell>
          <cell r="F46">
            <v>20.45788833666666</v>
          </cell>
        </row>
        <row r="47">
          <cell r="E47">
            <v>39722</v>
          </cell>
          <cell r="F47">
            <v>21.65553521666666</v>
          </cell>
        </row>
        <row r="48">
          <cell r="E48">
            <v>39753</v>
          </cell>
          <cell r="F48">
            <v>21.882899053333329</v>
          </cell>
        </row>
        <row r="49">
          <cell r="E49">
            <v>39783</v>
          </cell>
          <cell r="F49">
            <v>22.831253435833329</v>
          </cell>
        </row>
        <row r="50">
          <cell r="E50">
            <v>39814</v>
          </cell>
          <cell r="F50">
            <v>25.062438296666656</v>
          </cell>
        </row>
        <row r="51">
          <cell r="E51">
            <v>39845</v>
          </cell>
          <cell r="F51">
            <v>25.612430038333319</v>
          </cell>
        </row>
        <row r="52">
          <cell r="E52">
            <v>39873</v>
          </cell>
          <cell r="F52">
            <v>26.499302243333322</v>
          </cell>
        </row>
        <row r="53">
          <cell r="E53">
            <v>39904</v>
          </cell>
          <cell r="F53">
            <v>27.869542529166655</v>
          </cell>
        </row>
        <row r="54">
          <cell r="E54">
            <v>39934</v>
          </cell>
          <cell r="F54">
            <v>27.898130181666662</v>
          </cell>
        </row>
        <row r="55">
          <cell r="E55">
            <v>39965</v>
          </cell>
          <cell r="F55">
            <v>29.386149737499988</v>
          </cell>
        </row>
        <row r="56">
          <cell r="E56">
            <v>39995</v>
          </cell>
          <cell r="F56">
            <v>29.567181574166664</v>
          </cell>
        </row>
        <row r="57">
          <cell r="E57">
            <v>40026</v>
          </cell>
          <cell r="F57">
            <v>30.176486676666666</v>
          </cell>
        </row>
        <row r="58">
          <cell r="E58">
            <v>40057</v>
          </cell>
          <cell r="F58">
            <v>31.927254866666658</v>
          </cell>
        </row>
        <row r="59">
          <cell r="E59">
            <v>40087</v>
          </cell>
          <cell r="F59">
            <v>32.142074760833331</v>
          </cell>
        </row>
        <row r="60">
          <cell r="E60">
            <v>40118</v>
          </cell>
          <cell r="F60">
            <v>34.873955625000001</v>
          </cell>
        </row>
        <row r="61">
          <cell r="E61">
            <v>40148</v>
          </cell>
          <cell r="F61">
            <v>36.543608190833339</v>
          </cell>
        </row>
        <row r="62">
          <cell r="E62">
            <v>40179</v>
          </cell>
          <cell r="F62">
            <v>36.323219085000012</v>
          </cell>
        </row>
        <row r="63">
          <cell r="E63">
            <v>40210</v>
          </cell>
          <cell r="F63">
            <v>36.623110281666669</v>
          </cell>
        </row>
        <row r="64">
          <cell r="E64">
            <v>40238</v>
          </cell>
          <cell r="F64">
            <v>38.425524970833344</v>
          </cell>
        </row>
        <row r="65">
          <cell r="E65">
            <v>40269</v>
          </cell>
          <cell r="F65">
            <v>38.062163390000002</v>
          </cell>
        </row>
        <row r="66">
          <cell r="E66">
            <v>40299</v>
          </cell>
          <cell r="F66">
            <v>43.191294315000022</v>
          </cell>
        </row>
        <row r="67">
          <cell r="E67">
            <v>40330</v>
          </cell>
          <cell r="F67">
            <v>43.811088802500024</v>
          </cell>
        </row>
        <row r="68">
          <cell r="E68">
            <v>40360</v>
          </cell>
          <cell r="F68">
            <v>43.73064871916668</v>
          </cell>
        </row>
        <row r="69">
          <cell r="E69">
            <v>40391</v>
          </cell>
          <cell r="F69">
            <v>45.832272841666679</v>
          </cell>
        </row>
        <row r="70">
          <cell r="E70">
            <v>40422</v>
          </cell>
          <cell r="F70">
            <v>47.036690715000013</v>
          </cell>
        </row>
        <row r="71">
          <cell r="E71">
            <v>40452</v>
          </cell>
          <cell r="F71">
            <v>48.134203050833349</v>
          </cell>
        </row>
        <row r="72">
          <cell r="E72">
            <v>40483</v>
          </cell>
          <cell r="F72">
            <v>50.220716183333366</v>
          </cell>
        </row>
        <row r="73">
          <cell r="E73">
            <v>40513</v>
          </cell>
          <cell r="F73">
            <v>55.348163553333343</v>
          </cell>
        </row>
      </sheetData>
      <sheetData sheetId="4">
        <row r="13">
          <cell r="E13">
            <v>38687</v>
          </cell>
          <cell r="F13">
            <v>119.39162392416661</v>
          </cell>
        </row>
        <row r="14">
          <cell r="E14">
            <v>38718</v>
          </cell>
          <cell r="F14">
            <v>121.51817556833329</v>
          </cell>
        </row>
        <row r="15">
          <cell r="E15">
            <v>38749</v>
          </cell>
          <cell r="F15">
            <v>126.50747962499956</v>
          </cell>
        </row>
        <row r="16">
          <cell r="E16">
            <v>38777</v>
          </cell>
          <cell r="F16">
            <v>132.17012931833293</v>
          </cell>
        </row>
        <row r="17">
          <cell r="E17">
            <v>38808</v>
          </cell>
          <cell r="F17">
            <v>133.49982060749957</v>
          </cell>
        </row>
        <row r="18">
          <cell r="E18">
            <v>38838</v>
          </cell>
          <cell r="F18">
            <v>137.01579453333292</v>
          </cell>
        </row>
        <row r="19">
          <cell r="E19">
            <v>38869</v>
          </cell>
          <cell r="F19">
            <v>140.5376191699996</v>
          </cell>
        </row>
        <row r="20">
          <cell r="E20">
            <v>38899</v>
          </cell>
          <cell r="F20">
            <v>142.5876528274996</v>
          </cell>
        </row>
        <row r="21">
          <cell r="E21">
            <v>38930</v>
          </cell>
          <cell r="F21">
            <v>145.87426885333295</v>
          </cell>
        </row>
        <row r="22">
          <cell r="E22">
            <v>38961</v>
          </cell>
          <cell r="F22">
            <v>150.90926940666631</v>
          </cell>
        </row>
        <row r="23">
          <cell r="E23">
            <v>38991</v>
          </cell>
          <cell r="F23">
            <v>157.1438251116663</v>
          </cell>
        </row>
        <row r="24">
          <cell r="E24">
            <v>39022</v>
          </cell>
          <cell r="F24">
            <v>162.03997809083299</v>
          </cell>
        </row>
        <row r="25">
          <cell r="E25">
            <v>39052</v>
          </cell>
          <cell r="F25">
            <v>165.26040471083297</v>
          </cell>
        </row>
        <row r="26">
          <cell r="E26">
            <v>39083</v>
          </cell>
          <cell r="F26">
            <v>168.57076087583297</v>
          </cell>
        </row>
        <row r="27">
          <cell r="E27">
            <v>39114</v>
          </cell>
          <cell r="F27">
            <v>169.62466413083339</v>
          </cell>
        </row>
        <row r="28">
          <cell r="E28">
            <v>39142</v>
          </cell>
          <cell r="F28">
            <v>171.48190182916673</v>
          </cell>
        </row>
        <row r="29">
          <cell r="E29">
            <v>39173</v>
          </cell>
          <cell r="F29">
            <v>174.38089590500007</v>
          </cell>
        </row>
        <row r="30">
          <cell r="E30">
            <v>39203</v>
          </cell>
          <cell r="F30">
            <v>180.54105327166675</v>
          </cell>
        </row>
        <row r="31">
          <cell r="E31">
            <v>39234</v>
          </cell>
          <cell r="F31">
            <v>182.37588276083343</v>
          </cell>
        </row>
        <row r="32">
          <cell r="E32">
            <v>39264</v>
          </cell>
          <cell r="F32">
            <v>187.21326755333345</v>
          </cell>
        </row>
        <row r="33">
          <cell r="E33">
            <v>39295</v>
          </cell>
          <cell r="F33">
            <v>191.92119044666677</v>
          </cell>
        </row>
        <row r="34">
          <cell r="E34">
            <v>39326</v>
          </cell>
          <cell r="F34">
            <v>197.66723078333348</v>
          </cell>
        </row>
        <row r="35">
          <cell r="E35">
            <v>39356</v>
          </cell>
          <cell r="F35">
            <v>203.52552906250014</v>
          </cell>
        </row>
        <row r="36">
          <cell r="E36">
            <v>39387</v>
          </cell>
          <cell r="F36">
            <v>211.46416985916676</v>
          </cell>
        </row>
        <row r="37">
          <cell r="E37">
            <v>39417</v>
          </cell>
          <cell r="F37">
            <v>220.6835401758334</v>
          </cell>
        </row>
        <row r="38">
          <cell r="E38">
            <v>39448</v>
          </cell>
          <cell r="F38">
            <v>224.68430008750008</v>
          </cell>
        </row>
        <row r="39">
          <cell r="E39">
            <v>39479</v>
          </cell>
          <cell r="F39">
            <v>229.65788871666669</v>
          </cell>
        </row>
        <row r="40">
          <cell r="E40">
            <v>39508</v>
          </cell>
          <cell r="F40">
            <v>232.66777849166672</v>
          </cell>
        </row>
        <row r="41">
          <cell r="E41">
            <v>39539</v>
          </cell>
          <cell r="F41">
            <v>243.47802938000007</v>
          </cell>
        </row>
        <row r="42">
          <cell r="E42">
            <v>39569</v>
          </cell>
          <cell r="F42">
            <v>245.42579337083339</v>
          </cell>
        </row>
        <row r="43">
          <cell r="E43">
            <v>39600</v>
          </cell>
          <cell r="F43">
            <v>251.34882165250011</v>
          </cell>
        </row>
        <row r="44">
          <cell r="E44">
            <v>39630</v>
          </cell>
          <cell r="F44">
            <v>258.60672881583343</v>
          </cell>
        </row>
        <row r="45">
          <cell r="E45">
            <v>39661</v>
          </cell>
          <cell r="F45">
            <v>261.56183402750008</v>
          </cell>
        </row>
        <row r="46">
          <cell r="E46">
            <v>39692</v>
          </cell>
          <cell r="F46">
            <v>260.1854802466666</v>
          </cell>
        </row>
        <row r="47">
          <cell r="E47">
            <v>39722</v>
          </cell>
          <cell r="F47">
            <v>268.45738048666658</v>
          </cell>
        </row>
        <row r="48">
          <cell r="E48">
            <v>39753</v>
          </cell>
          <cell r="F48">
            <v>265.06647575250003</v>
          </cell>
        </row>
        <row r="49">
          <cell r="E49">
            <v>39783</v>
          </cell>
          <cell r="F49">
            <v>265.28024581583338</v>
          </cell>
        </row>
        <row r="50">
          <cell r="E50">
            <v>39814</v>
          </cell>
          <cell r="F50">
            <v>265.54093262500004</v>
          </cell>
        </row>
        <row r="51">
          <cell r="E51">
            <v>39845</v>
          </cell>
          <cell r="F51">
            <v>263.98160637166666</v>
          </cell>
        </row>
        <row r="52">
          <cell r="E52">
            <v>39873</v>
          </cell>
          <cell r="F52">
            <v>263.48436376916669</v>
          </cell>
        </row>
        <row r="53">
          <cell r="E53">
            <v>39904</v>
          </cell>
          <cell r="F53">
            <v>252.29434992666668</v>
          </cell>
        </row>
        <row r="54">
          <cell r="E54">
            <v>39934</v>
          </cell>
          <cell r="F54">
            <v>249.32425443333338</v>
          </cell>
        </row>
        <row r="55">
          <cell r="E55">
            <v>39965</v>
          </cell>
          <cell r="F55">
            <v>244.36245869333334</v>
          </cell>
        </row>
        <row r="56">
          <cell r="E56">
            <v>39995</v>
          </cell>
          <cell r="F56">
            <v>234.94029896583334</v>
          </cell>
        </row>
        <row r="57">
          <cell r="E57">
            <v>40026</v>
          </cell>
          <cell r="F57">
            <v>227.52845209250003</v>
          </cell>
        </row>
        <row r="58">
          <cell r="E58">
            <v>40057</v>
          </cell>
          <cell r="F58">
            <v>223.89393137500005</v>
          </cell>
        </row>
        <row r="59">
          <cell r="E59">
            <v>40087</v>
          </cell>
          <cell r="F59">
            <v>208.42709734250002</v>
          </cell>
        </row>
        <row r="60">
          <cell r="E60">
            <v>40118</v>
          </cell>
          <cell r="F60">
            <v>201.33535638416666</v>
          </cell>
        </row>
        <row r="61">
          <cell r="E61">
            <v>40148</v>
          </cell>
          <cell r="F61">
            <v>193.75055594166668</v>
          </cell>
        </row>
        <row r="62">
          <cell r="E62">
            <v>40179</v>
          </cell>
          <cell r="F62">
            <v>188.68770572583335</v>
          </cell>
        </row>
        <row r="63">
          <cell r="E63">
            <v>40210</v>
          </cell>
          <cell r="F63">
            <v>184.96743440833339</v>
          </cell>
        </row>
        <row r="64">
          <cell r="E64">
            <v>40238</v>
          </cell>
          <cell r="F64">
            <v>185.13351199833338</v>
          </cell>
        </row>
        <row r="65">
          <cell r="E65">
            <v>40269</v>
          </cell>
          <cell r="F65">
            <v>185.70853392500007</v>
          </cell>
        </row>
        <row r="66">
          <cell r="E66">
            <v>40299</v>
          </cell>
          <cell r="F66">
            <v>187.73505264583335</v>
          </cell>
        </row>
        <row r="67">
          <cell r="E67">
            <v>40330</v>
          </cell>
          <cell r="F67">
            <v>185.79268507166671</v>
          </cell>
        </row>
        <row r="68">
          <cell r="E68">
            <v>40360</v>
          </cell>
          <cell r="F68">
            <v>183.22221657250006</v>
          </cell>
        </row>
        <row r="69">
          <cell r="E69">
            <v>40391</v>
          </cell>
          <cell r="F69">
            <v>182.39710718916672</v>
          </cell>
        </row>
        <row r="70">
          <cell r="E70">
            <v>40422</v>
          </cell>
          <cell r="F70">
            <v>182.97314803666669</v>
          </cell>
        </row>
        <row r="71">
          <cell r="E71">
            <v>40452</v>
          </cell>
          <cell r="F71">
            <v>184.61035797666662</v>
          </cell>
        </row>
        <row r="72">
          <cell r="E72">
            <v>40483</v>
          </cell>
          <cell r="F72">
            <v>183.17239651166665</v>
          </cell>
        </row>
        <row r="73">
          <cell r="E73">
            <v>40513</v>
          </cell>
          <cell r="F73">
            <v>181.40477142249995</v>
          </cell>
        </row>
      </sheetData>
      <sheetData sheetId="5">
        <row r="13">
          <cell r="E13">
            <v>38687</v>
          </cell>
          <cell r="F13">
            <v>11.193558288333335</v>
          </cell>
        </row>
        <row r="14">
          <cell r="E14">
            <v>38718</v>
          </cell>
          <cell r="F14">
            <v>11.418908100000003</v>
          </cell>
        </row>
        <row r="15">
          <cell r="E15">
            <v>38749</v>
          </cell>
          <cell r="F15">
            <v>11.689785220833336</v>
          </cell>
        </row>
        <row r="16">
          <cell r="E16">
            <v>38777</v>
          </cell>
          <cell r="F16">
            <v>12.069160623333337</v>
          </cell>
        </row>
        <row r="17">
          <cell r="E17">
            <v>38808</v>
          </cell>
          <cell r="F17">
            <v>12.290543005833335</v>
          </cell>
        </row>
        <row r="18">
          <cell r="E18">
            <v>38838</v>
          </cell>
          <cell r="F18">
            <v>12.664977514999999</v>
          </cell>
        </row>
        <row r="19">
          <cell r="E19">
            <v>38869</v>
          </cell>
          <cell r="F19">
            <v>12.990984576666667</v>
          </cell>
        </row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14.008587219166666</v>
          </cell>
        </row>
        <row r="22">
          <cell r="E22">
            <v>38961</v>
          </cell>
          <cell r="F22">
            <v>14.452865195000001</v>
          </cell>
        </row>
        <row r="23">
          <cell r="E23">
            <v>38991</v>
          </cell>
          <cell r="F23">
            <v>15.113750779166667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16.424083400000001</v>
          </cell>
        </row>
        <row r="27">
          <cell r="E27">
            <v>39114</v>
          </cell>
          <cell r="F27">
            <v>17.123131022500001</v>
          </cell>
        </row>
        <row r="28">
          <cell r="E28">
            <v>39142</v>
          </cell>
          <cell r="F28">
            <v>17.537194833333331</v>
          </cell>
        </row>
        <row r="29">
          <cell r="E29">
            <v>39173</v>
          </cell>
          <cell r="F29">
            <v>17.815841004166668</v>
          </cell>
        </row>
        <row r="30">
          <cell r="E30">
            <v>39203</v>
          </cell>
          <cell r="F30">
            <v>18.120428225000001</v>
          </cell>
        </row>
        <row r="31">
          <cell r="E31">
            <v>39234</v>
          </cell>
          <cell r="F31">
            <v>18.357603638333337</v>
          </cell>
        </row>
        <row r="32">
          <cell r="E32">
            <v>39264</v>
          </cell>
          <cell r="F32">
            <v>18.882908245000003</v>
          </cell>
        </row>
        <row r="33">
          <cell r="E33">
            <v>39295</v>
          </cell>
          <cell r="F33">
            <v>19.489532899166665</v>
          </cell>
        </row>
        <row r="34">
          <cell r="E34">
            <v>39326</v>
          </cell>
          <cell r="F34">
            <v>20.182844158333328</v>
          </cell>
        </row>
        <row r="35">
          <cell r="E35">
            <v>39356</v>
          </cell>
          <cell r="F35">
            <v>21.134604149166666</v>
          </cell>
        </row>
        <row r="36">
          <cell r="E36">
            <v>39387</v>
          </cell>
          <cell r="F36">
            <v>22.310534362500004</v>
          </cell>
        </row>
        <row r="37">
          <cell r="E37">
            <v>39417</v>
          </cell>
          <cell r="F37">
            <v>23.314104929166671</v>
          </cell>
        </row>
        <row r="38">
          <cell r="E38">
            <v>39448</v>
          </cell>
          <cell r="F38">
            <v>23.615144305833336</v>
          </cell>
        </row>
        <row r="39">
          <cell r="E39">
            <v>39479</v>
          </cell>
          <cell r="F39">
            <v>24.909622907499998</v>
          </cell>
        </row>
        <row r="40">
          <cell r="E40">
            <v>39508</v>
          </cell>
          <cell r="F40">
            <v>26.406737721666673</v>
          </cell>
        </row>
        <row r="41">
          <cell r="E41">
            <v>39539</v>
          </cell>
          <cell r="F41">
            <v>30.559241170833349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37.407304457500011</v>
          </cell>
        </row>
        <row r="44">
          <cell r="E44">
            <v>39630</v>
          </cell>
          <cell r="F44">
            <v>40.61867453833333</v>
          </cell>
        </row>
        <row r="45">
          <cell r="E45">
            <v>39661</v>
          </cell>
          <cell r="F45">
            <v>43.348452266666662</v>
          </cell>
        </row>
        <row r="46">
          <cell r="E46">
            <v>39692</v>
          </cell>
          <cell r="F46">
            <v>44.671207293333332</v>
          </cell>
        </row>
        <row r="47">
          <cell r="E47">
            <v>39722</v>
          </cell>
          <cell r="F47">
            <v>47.148044924166662</v>
          </cell>
        </row>
        <row r="48">
          <cell r="E48">
            <v>39753</v>
          </cell>
          <cell r="F48">
            <v>47.726906500833316</v>
          </cell>
        </row>
        <row r="49">
          <cell r="E49">
            <v>39783</v>
          </cell>
          <cell r="F49">
            <v>49.216036655833328</v>
          </cell>
        </row>
        <row r="50">
          <cell r="E50">
            <v>39814</v>
          </cell>
          <cell r="F50">
            <v>50.365613157499986</v>
          </cell>
        </row>
        <row r="51">
          <cell r="E51">
            <v>39845</v>
          </cell>
          <cell r="F51">
            <v>50.419242119166661</v>
          </cell>
        </row>
        <row r="52">
          <cell r="E52">
            <v>39873</v>
          </cell>
          <cell r="F52">
            <v>50.164517884999988</v>
          </cell>
        </row>
        <row r="53">
          <cell r="E53">
            <v>39904</v>
          </cell>
          <cell r="F53">
            <v>46.450355819999977</v>
          </cell>
        </row>
        <row r="54">
          <cell r="E54">
            <v>39934</v>
          </cell>
          <cell r="F54">
            <v>44.463773714166649</v>
          </cell>
        </row>
        <row r="55">
          <cell r="E55">
            <v>39965</v>
          </cell>
          <cell r="F55">
            <v>40.337414261666645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34.824286493333339</v>
          </cell>
        </row>
        <row r="59">
          <cell r="E59">
            <v>40087</v>
          </cell>
          <cell r="F59">
            <v>32.243557485000004</v>
          </cell>
        </row>
        <row r="60">
          <cell r="E60">
            <v>40118</v>
          </cell>
          <cell r="F60">
            <v>31.53546718583334</v>
          </cell>
        </row>
        <row r="61">
          <cell r="E61">
            <v>40148</v>
          </cell>
          <cell r="F61">
            <v>30.296471960000002</v>
          </cell>
        </row>
        <row r="62">
          <cell r="E62">
            <v>40179</v>
          </cell>
          <cell r="F62">
            <v>29.148520721666667</v>
          </cell>
        </row>
        <row r="63">
          <cell r="E63">
            <v>40210</v>
          </cell>
          <cell r="F63">
            <v>28.26169859916666</v>
          </cell>
        </row>
        <row r="64">
          <cell r="E64">
            <v>40238</v>
          </cell>
          <cell r="F64">
            <v>27.870889724999987</v>
          </cell>
        </row>
        <row r="65">
          <cell r="E65">
            <v>40269</v>
          </cell>
          <cell r="F65">
            <v>28.270781442499985</v>
          </cell>
        </row>
        <row r="66">
          <cell r="E66">
            <v>40299</v>
          </cell>
          <cell r="F66">
            <v>28.646178166666648</v>
          </cell>
        </row>
        <row r="67">
          <cell r="E67">
            <v>40330</v>
          </cell>
          <cell r="F67">
            <v>29.329239820833322</v>
          </cell>
        </row>
        <row r="68">
          <cell r="E68">
            <v>40360</v>
          </cell>
          <cell r="F68">
            <v>29.200958909166662</v>
          </cell>
        </row>
        <row r="69">
          <cell r="E69">
            <v>40391</v>
          </cell>
          <cell r="F69">
            <v>28.765127154999991</v>
          </cell>
        </row>
        <row r="70">
          <cell r="E70">
            <v>40422</v>
          </cell>
          <cell r="F70">
            <v>28.302313819999995</v>
          </cell>
        </row>
        <row r="71">
          <cell r="E71">
            <v>40452</v>
          </cell>
          <cell r="F71">
            <v>28.680457450833327</v>
          </cell>
        </row>
        <row r="72">
          <cell r="E72">
            <v>40483</v>
          </cell>
          <cell r="F72">
            <v>28.484014909999999</v>
          </cell>
        </row>
        <row r="73">
          <cell r="E73">
            <v>40513</v>
          </cell>
          <cell r="F73">
            <v>28.341893816666659</v>
          </cell>
        </row>
      </sheetData>
      <sheetData sheetId="6">
        <row r="13">
          <cell r="E13">
            <v>38687</v>
          </cell>
          <cell r="F13">
            <v>35.585882102499973</v>
          </cell>
        </row>
        <row r="14">
          <cell r="E14">
            <v>38718</v>
          </cell>
          <cell r="F14">
            <v>36.446987610833297</v>
          </cell>
        </row>
        <row r="15">
          <cell r="E15">
            <v>38749</v>
          </cell>
          <cell r="F15">
            <v>39.187068725833306</v>
          </cell>
        </row>
        <row r="16">
          <cell r="E16">
            <v>38777</v>
          </cell>
          <cell r="F16">
            <v>41.454138977499973</v>
          </cell>
        </row>
        <row r="17">
          <cell r="E17">
            <v>38808</v>
          </cell>
          <cell r="F17">
            <v>42.363647585833299</v>
          </cell>
        </row>
        <row r="18">
          <cell r="E18">
            <v>38838</v>
          </cell>
          <cell r="F18">
            <v>44.174097581666643</v>
          </cell>
        </row>
        <row r="19">
          <cell r="E19">
            <v>38869</v>
          </cell>
          <cell r="F19">
            <v>46.71129101249997</v>
          </cell>
        </row>
        <row r="20">
          <cell r="E20">
            <v>38899</v>
          </cell>
          <cell r="F20">
            <v>48.419305581666656</v>
          </cell>
        </row>
        <row r="21">
          <cell r="E21">
            <v>38930</v>
          </cell>
          <cell r="F21">
            <v>49.190533234999982</v>
          </cell>
        </row>
        <row r="22">
          <cell r="E22">
            <v>38961</v>
          </cell>
          <cell r="F22">
            <v>51.643029092500001</v>
          </cell>
        </row>
        <row r="23">
          <cell r="E23">
            <v>38991</v>
          </cell>
          <cell r="F23">
            <v>53.722636015000013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57.042430254166653</v>
          </cell>
        </row>
        <row r="26">
          <cell r="E26">
            <v>39083</v>
          </cell>
          <cell r="F26">
            <v>58.727860609999972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58.702445998333332</v>
          </cell>
        </row>
        <row r="29">
          <cell r="E29">
            <v>39173</v>
          </cell>
          <cell r="F29">
            <v>59.935338445833359</v>
          </cell>
        </row>
        <row r="30">
          <cell r="E30">
            <v>39203</v>
          </cell>
          <cell r="F30">
            <v>62.4378850016667</v>
          </cell>
        </row>
        <row r="31">
          <cell r="E31">
            <v>39234</v>
          </cell>
          <cell r="F31">
            <v>62.74187820583338</v>
          </cell>
        </row>
        <row r="32">
          <cell r="E32">
            <v>39264</v>
          </cell>
          <cell r="F32">
            <v>64.540471105000037</v>
          </cell>
        </row>
        <row r="33">
          <cell r="E33">
            <v>39295</v>
          </cell>
          <cell r="F33">
            <v>67.448921563333371</v>
          </cell>
        </row>
        <row r="34">
          <cell r="E34">
            <v>39326</v>
          </cell>
          <cell r="F34">
            <v>68.929279852500031</v>
          </cell>
        </row>
        <row r="35">
          <cell r="E35">
            <v>39356</v>
          </cell>
          <cell r="F35">
            <v>72.789193770833378</v>
          </cell>
        </row>
        <row r="36">
          <cell r="E36">
            <v>39387</v>
          </cell>
          <cell r="F36">
            <v>75.682634314166719</v>
          </cell>
        </row>
        <row r="37">
          <cell r="E37">
            <v>39417</v>
          </cell>
          <cell r="F37">
            <v>79.775829423333377</v>
          </cell>
        </row>
        <row r="38">
          <cell r="E38">
            <v>39448</v>
          </cell>
          <cell r="F38">
            <v>82.94947707166672</v>
          </cell>
        </row>
        <row r="39">
          <cell r="E39">
            <v>39479</v>
          </cell>
          <cell r="F39">
            <v>85.330242484166732</v>
          </cell>
        </row>
        <row r="40">
          <cell r="E40">
            <v>39508</v>
          </cell>
          <cell r="F40">
            <v>86.823083560000086</v>
          </cell>
        </row>
        <row r="41">
          <cell r="E41">
            <v>39539</v>
          </cell>
          <cell r="F41">
            <v>91.403811512500099</v>
          </cell>
        </row>
        <row r="42">
          <cell r="E42">
            <v>39569</v>
          </cell>
          <cell r="F42">
            <v>93.451720867500114</v>
          </cell>
        </row>
        <row r="43">
          <cell r="E43">
            <v>39600</v>
          </cell>
          <cell r="F43">
            <v>95.370164285833468</v>
          </cell>
        </row>
        <row r="44">
          <cell r="E44">
            <v>39630</v>
          </cell>
          <cell r="F44">
            <v>97.261539675833475</v>
          </cell>
        </row>
        <row r="45">
          <cell r="E45">
            <v>39661</v>
          </cell>
          <cell r="F45">
            <v>98.450073212500115</v>
          </cell>
        </row>
        <row r="46">
          <cell r="E46">
            <v>39692</v>
          </cell>
          <cell r="F46">
            <v>98.440852792500095</v>
          </cell>
        </row>
        <row r="47">
          <cell r="E47">
            <v>39722</v>
          </cell>
          <cell r="F47">
            <v>101.07369430166678</v>
          </cell>
        </row>
        <row r="48">
          <cell r="E48">
            <v>39753</v>
          </cell>
          <cell r="F48">
            <v>101.2023654591668</v>
          </cell>
        </row>
        <row r="49">
          <cell r="E49">
            <v>39783</v>
          </cell>
          <cell r="F49">
            <v>100.87487962000012</v>
          </cell>
        </row>
        <row r="50">
          <cell r="E50">
            <v>39814</v>
          </cell>
          <cell r="F50">
            <v>98.91854651750009</v>
          </cell>
        </row>
        <row r="51">
          <cell r="E51">
            <v>39845</v>
          </cell>
          <cell r="F51">
            <v>97.792314792500051</v>
          </cell>
        </row>
        <row r="52">
          <cell r="E52">
            <v>39873</v>
          </cell>
          <cell r="F52">
            <v>97.422448058333373</v>
          </cell>
        </row>
        <row r="53">
          <cell r="E53">
            <v>39904</v>
          </cell>
          <cell r="F53">
            <v>92.146955588333356</v>
          </cell>
        </row>
        <row r="54">
          <cell r="E54">
            <v>39934</v>
          </cell>
          <cell r="F54">
            <v>90.624846922499998</v>
          </cell>
        </row>
        <row r="55">
          <cell r="E55">
            <v>39965</v>
          </cell>
          <cell r="F55">
            <v>90.374622213333325</v>
          </cell>
        </row>
        <row r="56">
          <cell r="E56">
            <v>39995</v>
          </cell>
          <cell r="F56">
            <v>86.949143736666642</v>
          </cell>
        </row>
        <row r="57">
          <cell r="E57">
            <v>40026</v>
          </cell>
          <cell r="F57">
            <v>83.246924872500003</v>
          </cell>
        </row>
        <row r="58">
          <cell r="E58">
            <v>40057</v>
          </cell>
          <cell r="F58">
            <v>81.048125819166685</v>
          </cell>
        </row>
        <row r="59">
          <cell r="E59">
            <v>40087</v>
          </cell>
          <cell r="F59">
            <v>73.772586253333316</v>
          </cell>
        </row>
        <row r="60">
          <cell r="E60">
            <v>40118</v>
          </cell>
          <cell r="F60">
            <v>69.050535155833316</v>
          </cell>
        </row>
        <row r="61">
          <cell r="E61">
            <v>40148</v>
          </cell>
          <cell r="F61">
            <v>65.091113123333329</v>
          </cell>
        </row>
        <row r="62">
          <cell r="E62">
            <v>40179</v>
          </cell>
          <cell r="F62">
            <v>62.865421027500012</v>
          </cell>
        </row>
        <row r="63">
          <cell r="E63">
            <v>40210</v>
          </cell>
          <cell r="F63">
            <v>61.401459950000032</v>
          </cell>
        </row>
        <row r="64">
          <cell r="E64">
            <v>40238</v>
          </cell>
          <cell r="F64">
            <v>60.304090415000019</v>
          </cell>
        </row>
        <row r="65">
          <cell r="E65">
            <v>40269</v>
          </cell>
          <cell r="F65">
            <v>60.569731233333336</v>
          </cell>
        </row>
        <row r="66">
          <cell r="E66">
            <v>40299</v>
          </cell>
          <cell r="F66">
            <v>57.603122200833347</v>
          </cell>
        </row>
        <row r="67">
          <cell r="E67">
            <v>40330</v>
          </cell>
          <cell r="F67">
            <v>55.611733357500015</v>
          </cell>
        </row>
        <row r="68">
          <cell r="E68">
            <v>40360</v>
          </cell>
          <cell r="F68">
            <v>55.57320593416668</v>
          </cell>
        </row>
        <row r="69">
          <cell r="E69">
            <v>40391</v>
          </cell>
          <cell r="F69">
            <v>55.568924799166673</v>
          </cell>
        </row>
        <row r="70">
          <cell r="E70">
            <v>40422</v>
          </cell>
          <cell r="F70">
            <v>56.035706435000002</v>
          </cell>
        </row>
        <row r="71">
          <cell r="E71">
            <v>40452</v>
          </cell>
          <cell r="F71">
            <v>56.516533379166653</v>
          </cell>
        </row>
        <row r="72">
          <cell r="E72">
            <v>40483</v>
          </cell>
          <cell r="F72">
            <v>56.513751024166631</v>
          </cell>
        </row>
        <row r="73">
          <cell r="E73">
            <v>40513</v>
          </cell>
          <cell r="F73">
            <v>56.901175642499972</v>
          </cell>
        </row>
      </sheetData>
      <sheetData sheetId="7">
        <row r="13">
          <cell r="E13">
            <v>38687</v>
          </cell>
          <cell r="F13">
            <v>54.644490908333324</v>
          </cell>
        </row>
        <row r="14">
          <cell r="E14">
            <v>38718</v>
          </cell>
          <cell r="F14">
            <v>55.370031819166663</v>
          </cell>
        </row>
        <row r="15">
          <cell r="E15">
            <v>38749</v>
          </cell>
          <cell r="F15">
            <v>56.707637613333333</v>
          </cell>
        </row>
        <row r="16">
          <cell r="E16">
            <v>38777</v>
          </cell>
          <cell r="F16">
            <v>59.073593317500006</v>
          </cell>
        </row>
        <row r="17">
          <cell r="E17">
            <v>38808</v>
          </cell>
          <cell r="F17">
            <v>59.307183003333336</v>
          </cell>
        </row>
        <row r="18">
          <cell r="E18">
            <v>38838</v>
          </cell>
          <cell r="F18">
            <v>60.00920983999999</v>
          </cell>
        </row>
        <row r="19">
          <cell r="E19">
            <v>38869</v>
          </cell>
          <cell r="F19">
            <v>60.152033029166631</v>
          </cell>
        </row>
        <row r="20">
          <cell r="E20">
            <v>38899</v>
          </cell>
          <cell r="F20">
            <v>60.04107670333331</v>
          </cell>
        </row>
        <row r="21">
          <cell r="E21">
            <v>38930</v>
          </cell>
          <cell r="F21">
            <v>61.290569452499994</v>
          </cell>
        </row>
        <row r="22">
          <cell r="E22">
            <v>38961</v>
          </cell>
          <cell r="F22">
            <v>62.312635920833344</v>
          </cell>
        </row>
        <row r="23">
          <cell r="E23">
            <v>38991</v>
          </cell>
          <cell r="F23">
            <v>64.387199306666687</v>
          </cell>
        </row>
        <row r="24">
          <cell r="E24">
            <v>39022</v>
          </cell>
          <cell r="F24">
            <v>66.40372779333336</v>
          </cell>
        </row>
        <row r="25">
          <cell r="E25">
            <v>39052</v>
          </cell>
          <cell r="F25">
            <v>67.743332990833366</v>
          </cell>
        </row>
        <row r="26">
          <cell r="E26">
            <v>39083</v>
          </cell>
          <cell r="F26">
            <v>68.220281725833374</v>
          </cell>
        </row>
        <row r="27">
          <cell r="E27">
            <v>39114</v>
          </cell>
          <cell r="F27">
            <v>69.631284555833389</v>
          </cell>
        </row>
        <row r="28">
          <cell r="E28">
            <v>39142</v>
          </cell>
          <cell r="F28">
            <v>70.74780775083336</v>
          </cell>
        </row>
        <row r="29">
          <cell r="E29">
            <v>39173</v>
          </cell>
          <cell r="F29">
            <v>72.055076325833369</v>
          </cell>
        </row>
        <row r="30">
          <cell r="E30">
            <v>39203</v>
          </cell>
          <cell r="F30">
            <v>73.849412423333362</v>
          </cell>
        </row>
        <row r="31">
          <cell r="E31">
            <v>39234</v>
          </cell>
          <cell r="F31">
            <v>74.780877047500027</v>
          </cell>
        </row>
        <row r="32">
          <cell r="E32">
            <v>39264</v>
          </cell>
          <cell r="F32">
            <v>76.822176493333373</v>
          </cell>
        </row>
        <row r="33">
          <cell r="E33">
            <v>39295</v>
          </cell>
          <cell r="F33">
            <v>77.789456715833381</v>
          </cell>
        </row>
        <row r="34">
          <cell r="E34">
            <v>39326</v>
          </cell>
          <cell r="F34">
            <v>79.176192065000066</v>
          </cell>
        </row>
        <row r="35">
          <cell r="E35">
            <v>39356</v>
          </cell>
          <cell r="F35">
            <v>80.837084192500058</v>
          </cell>
        </row>
        <row r="36">
          <cell r="E36">
            <v>39387</v>
          </cell>
          <cell r="F36">
            <v>84.775997206666688</v>
          </cell>
        </row>
        <row r="37">
          <cell r="E37">
            <v>39417</v>
          </cell>
          <cell r="F37">
            <v>87.419590819166686</v>
          </cell>
        </row>
        <row r="38">
          <cell r="E38">
            <v>39448</v>
          </cell>
          <cell r="F38">
            <v>87.1991283025</v>
          </cell>
        </row>
        <row r="39">
          <cell r="E39">
            <v>39479</v>
          </cell>
          <cell r="F39">
            <v>87.193867822499996</v>
          </cell>
        </row>
        <row r="40">
          <cell r="E40">
            <v>39508</v>
          </cell>
          <cell r="F40">
            <v>86.317768901666625</v>
          </cell>
        </row>
        <row r="41">
          <cell r="E41">
            <v>39539</v>
          </cell>
          <cell r="F41">
            <v>86.454637533333269</v>
          </cell>
        </row>
        <row r="42">
          <cell r="E42">
            <v>39569</v>
          </cell>
          <cell r="F42">
            <v>84.564517916666631</v>
          </cell>
        </row>
        <row r="43">
          <cell r="E43">
            <v>39600</v>
          </cell>
          <cell r="F43">
            <v>83.292570230833292</v>
          </cell>
        </row>
        <row r="44">
          <cell r="E44">
            <v>39630</v>
          </cell>
          <cell r="F44">
            <v>83.202638154166621</v>
          </cell>
        </row>
        <row r="45">
          <cell r="E45">
            <v>39661</v>
          </cell>
          <cell r="F45">
            <v>81.494795779999933</v>
          </cell>
        </row>
        <row r="46">
          <cell r="E46">
            <v>39692</v>
          </cell>
          <cell r="F46">
            <v>80.61389837499992</v>
          </cell>
        </row>
        <row r="47">
          <cell r="E47">
            <v>39722</v>
          </cell>
          <cell r="F47">
            <v>80.45486290333325</v>
          </cell>
        </row>
        <row r="48">
          <cell r="E48">
            <v>39753</v>
          </cell>
          <cell r="F48">
            <v>76.088502374999948</v>
          </cell>
        </row>
        <row r="49">
          <cell r="E49">
            <v>39783</v>
          </cell>
          <cell r="F49">
            <v>74.960188679999945</v>
          </cell>
        </row>
        <row r="50">
          <cell r="E50">
            <v>39814</v>
          </cell>
          <cell r="F50">
            <v>76.017319903333288</v>
          </cell>
        </row>
        <row r="51">
          <cell r="E51">
            <v>39845</v>
          </cell>
          <cell r="F51">
            <v>75.383761719999953</v>
          </cell>
        </row>
        <row r="52">
          <cell r="E52">
            <v>39873</v>
          </cell>
          <cell r="F52">
            <v>74.558625490833322</v>
          </cell>
        </row>
        <row r="53">
          <cell r="E53">
            <v>39904</v>
          </cell>
          <cell r="F53">
            <v>72.513500809166658</v>
          </cell>
        </row>
        <row r="54">
          <cell r="E54">
            <v>39934</v>
          </cell>
          <cell r="F54">
            <v>72.137858926666681</v>
          </cell>
        </row>
        <row r="55">
          <cell r="E55">
            <v>39965</v>
          </cell>
          <cell r="F55">
            <v>71.558988507500004</v>
          </cell>
        </row>
        <row r="56">
          <cell r="E56">
            <v>39995</v>
          </cell>
          <cell r="F56">
            <v>69.097015790833339</v>
          </cell>
        </row>
        <row r="57">
          <cell r="E57">
            <v>40026</v>
          </cell>
          <cell r="F57">
            <v>66.816982742500016</v>
          </cell>
        </row>
        <row r="58">
          <cell r="E58">
            <v>40057</v>
          </cell>
          <cell r="F58">
            <v>64.787451432500021</v>
          </cell>
        </row>
        <row r="59">
          <cell r="E59">
            <v>40087</v>
          </cell>
          <cell r="F59">
            <v>61.420171358333356</v>
          </cell>
        </row>
        <row r="60">
          <cell r="E60">
            <v>40118</v>
          </cell>
          <cell r="F60">
            <v>59.543027407500027</v>
          </cell>
        </row>
        <row r="61">
          <cell r="E61">
            <v>40148</v>
          </cell>
          <cell r="F61">
            <v>56.799118305000043</v>
          </cell>
        </row>
        <row r="62">
          <cell r="E62">
            <v>40179</v>
          </cell>
          <cell r="F62">
            <v>54.828820198333375</v>
          </cell>
        </row>
        <row r="63">
          <cell r="E63">
            <v>40210</v>
          </cell>
          <cell r="F63">
            <v>53.9117025516667</v>
          </cell>
        </row>
        <row r="64">
          <cell r="E64">
            <v>40238</v>
          </cell>
          <cell r="F64">
            <v>53.93356376000002</v>
          </cell>
        </row>
        <row r="65">
          <cell r="E65">
            <v>40269</v>
          </cell>
          <cell r="F65">
            <v>55.091976175000021</v>
          </cell>
        </row>
        <row r="66">
          <cell r="E66">
            <v>40299</v>
          </cell>
          <cell r="F66">
            <v>55.728512212500014</v>
          </cell>
        </row>
        <row r="67">
          <cell r="E67">
            <v>40330</v>
          </cell>
          <cell r="F67">
            <v>56.574037875000016</v>
          </cell>
        </row>
        <row r="68">
          <cell r="E68">
            <v>40360</v>
          </cell>
          <cell r="F68">
            <v>55.797077015833345</v>
          </cell>
        </row>
        <row r="69">
          <cell r="E69">
            <v>40391</v>
          </cell>
          <cell r="F69">
            <v>56.550682009166671</v>
          </cell>
        </row>
        <row r="70">
          <cell r="E70">
            <v>40422</v>
          </cell>
          <cell r="F70">
            <v>56.751669389166665</v>
          </cell>
        </row>
        <row r="71">
          <cell r="E71">
            <v>40452</v>
          </cell>
          <cell r="F71">
            <v>57.131144101666671</v>
          </cell>
        </row>
        <row r="72">
          <cell r="E72">
            <v>40483</v>
          </cell>
          <cell r="F72">
            <v>56.79687313583333</v>
          </cell>
        </row>
        <row r="73">
          <cell r="E73">
            <v>40513</v>
          </cell>
          <cell r="F73">
            <v>56.323790820833324</v>
          </cell>
        </row>
      </sheetData>
      <sheetData sheetId="8">
        <row r="13">
          <cell r="E13">
            <v>38687</v>
          </cell>
          <cell r="F13">
            <v>17.967692624999998</v>
          </cell>
        </row>
        <row r="14">
          <cell r="E14">
            <v>38718</v>
          </cell>
          <cell r="F14">
            <v>18.282248038333332</v>
          </cell>
        </row>
        <row r="15">
          <cell r="E15">
            <v>38749</v>
          </cell>
          <cell r="F15">
            <v>18.922988064999611</v>
          </cell>
        </row>
        <row r="16">
          <cell r="E16">
            <v>38777</v>
          </cell>
          <cell r="F16">
            <v>19.573236399999615</v>
          </cell>
        </row>
        <row r="17">
          <cell r="E17">
            <v>38808</v>
          </cell>
          <cell r="F17">
            <v>19.538447012499613</v>
          </cell>
        </row>
        <row r="18">
          <cell r="E18">
            <v>38838</v>
          </cell>
          <cell r="F18">
            <v>20.167509596666282</v>
          </cell>
        </row>
        <row r="19">
          <cell r="E19">
            <v>38869</v>
          </cell>
          <cell r="F19">
            <v>20.683310551666285</v>
          </cell>
        </row>
        <row r="20">
          <cell r="E20">
            <v>38899</v>
          </cell>
          <cell r="F20">
            <v>20.52978952249962</v>
          </cell>
        </row>
        <row r="21">
          <cell r="E21">
            <v>38930</v>
          </cell>
          <cell r="F21">
            <v>21.384578946666284</v>
          </cell>
        </row>
        <row r="22">
          <cell r="E22">
            <v>38961</v>
          </cell>
          <cell r="F22">
            <v>22.500739198332955</v>
          </cell>
        </row>
        <row r="23">
          <cell r="E23">
            <v>38991</v>
          </cell>
          <cell r="F23">
            <v>23.920239010832955</v>
          </cell>
        </row>
        <row r="24">
          <cell r="E24">
            <v>39022</v>
          </cell>
          <cell r="F24">
            <v>24.693837402499621</v>
          </cell>
        </row>
        <row r="25">
          <cell r="E25">
            <v>39052</v>
          </cell>
          <cell r="F25">
            <v>24.613278657499624</v>
          </cell>
        </row>
        <row r="26">
          <cell r="E26">
            <v>39083</v>
          </cell>
          <cell r="F26">
            <v>25.198535139999631</v>
          </cell>
        </row>
        <row r="27">
          <cell r="E27">
            <v>39114</v>
          </cell>
          <cell r="F27">
            <v>24.431538500833341</v>
          </cell>
        </row>
        <row r="28">
          <cell r="E28">
            <v>39142</v>
          </cell>
          <cell r="F28">
            <v>24.494453246666666</v>
          </cell>
        </row>
        <row r="29">
          <cell r="E29">
            <v>39173</v>
          </cell>
          <cell r="F29">
            <v>24.574640129166667</v>
          </cell>
        </row>
        <row r="30">
          <cell r="E30">
            <v>39203</v>
          </cell>
          <cell r="F30">
            <v>26.133327621666684</v>
          </cell>
        </row>
        <row r="31">
          <cell r="E31">
            <v>39234</v>
          </cell>
          <cell r="F31">
            <v>26.495523869166679</v>
          </cell>
        </row>
        <row r="32">
          <cell r="E32">
            <v>39264</v>
          </cell>
          <cell r="F32">
            <v>26.967711710000003</v>
          </cell>
        </row>
        <row r="33">
          <cell r="E33">
            <v>39295</v>
          </cell>
          <cell r="F33">
            <v>27.193279268333338</v>
          </cell>
        </row>
        <row r="34">
          <cell r="E34">
            <v>39326</v>
          </cell>
          <cell r="F34">
            <v>29.378914707500027</v>
          </cell>
        </row>
        <row r="35">
          <cell r="E35">
            <v>39356</v>
          </cell>
          <cell r="F35">
            <v>28.764646950000024</v>
          </cell>
        </row>
        <row r="36">
          <cell r="E36">
            <v>39387</v>
          </cell>
          <cell r="F36">
            <v>28.695003975833348</v>
          </cell>
        </row>
        <row r="37">
          <cell r="E37">
            <v>39417</v>
          </cell>
          <cell r="F37">
            <v>30.174015004166687</v>
          </cell>
        </row>
        <row r="38">
          <cell r="E38">
            <v>39448</v>
          </cell>
          <cell r="F38">
            <v>30.920550407500016</v>
          </cell>
        </row>
        <row r="39">
          <cell r="E39">
            <v>39479</v>
          </cell>
          <cell r="F39">
            <v>32.224155502500018</v>
          </cell>
        </row>
        <row r="40">
          <cell r="E40">
            <v>39508</v>
          </cell>
          <cell r="F40">
            <v>33.120188308333347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34.484591700833342</v>
          </cell>
        </row>
        <row r="43">
          <cell r="E43">
            <v>39600</v>
          </cell>
          <cell r="F43">
            <v>35.278782678333343</v>
          </cell>
        </row>
        <row r="44">
          <cell r="E44">
            <v>39630</v>
          </cell>
          <cell r="F44">
            <v>37.523876447500015</v>
          </cell>
        </row>
        <row r="45">
          <cell r="E45">
            <v>39661</v>
          </cell>
          <cell r="F45">
            <v>38.268512768333345</v>
          </cell>
        </row>
        <row r="46">
          <cell r="E46">
            <v>39692</v>
          </cell>
          <cell r="F46">
            <v>36.459521785833324</v>
          </cell>
        </row>
        <row r="47">
          <cell r="E47">
            <v>39722</v>
          </cell>
          <cell r="F47">
            <v>39.78077835749999</v>
          </cell>
        </row>
        <row r="48">
          <cell r="E48">
            <v>39753</v>
          </cell>
          <cell r="F48">
            <v>40.048701417499991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40.239453046666661</v>
          </cell>
        </row>
        <row r="51">
          <cell r="E51">
            <v>39845</v>
          </cell>
          <cell r="F51">
            <v>40.386287739999993</v>
          </cell>
        </row>
        <row r="52">
          <cell r="E52">
            <v>39873</v>
          </cell>
          <cell r="F52">
            <v>41.338772335000009</v>
          </cell>
        </row>
        <row r="53">
          <cell r="E53">
            <v>39904</v>
          </cell>
          <cell r="F53">
            <v>41.183537709166664</v>
          </cell>
        </row>
        <row r="54">
          <cell r="E54">
            <v>39934</v>
          </cell>
          <cell r="F54">
            <v>42.097774870000009</v>
          </cell>
        </row>
        <row r="55">
          <cell r="E55">
            <v>39965</v>
          </cell>
          <cell r="F55">
            <v>42.091433710833343</v>
          </cell>
        </row>
        <row r="56">
          <cell r="E56">
            <v>39995</v>
          </cell>
          <cell r="F56">
            <v>41.438326634166671</v>
          </cell>
        </row>
        <row r="57">
          <cell r="E57">
            <v>40026</v>
          </cell>
          <cell r="F57">
            <v>42.164841144166672</v>
          </cell>
        </row>
        <row r="58">
          <cell r="E58">
            <v>40057</v>
          </cell>
          <cell r="F58">
            <v>43.23406763000002</v>
          </cell>
        </row>
        <row r="59">
          <cell r="E59">
            <v>40087</v>
          </cell>
          <cell r="F59">
            <v>40.990782245833344</v>
          </cell>
        </row>
        <row r="60">
          <cell r="E60">
            <v>40118</v>
          </cell>
          <cell r="F60">
            <v>41.206326635000011</v>
          </cell>
        </row>
        <row r="61">
          <cell r="E61">
            <v>40148</v>
          </cell>
          <cell r="F61">
            <v>41.563852553333355</v>
          </cell>
        </row>
        <row r="62">
          <cell r="E62">
            <v>40179</v>
          </cell>
          <cell r="F62">
            <v>41.844943778333345</v>
          </cell>
        </row>
        <row r="63">
          <cell r="E63">
            <v>40210</v>
          </cell>
          <cell r="F63">
            <v>41.392573307500022</v>
          </cell>
        </row>
        <row r="64">
          <cell r="E64">
            <v>40238</v>
          </cell>
          <cell r="F64">
            <v>43.024968098333353</v>
          </cell>
        </row>
        <row r="65">
          <cell r="E65">
            <v>40269</v>
          </cell>
          <cell r="F65">
            <v>41.776045074166696</v>
          </cell>
        </row>
        <row r="66">
          <cell r="E66">
            <v>40299</v>
          </cell>
          <cell r="F66">
            <v>45.757240065833365</v>
          </cell>
        </row>
        <row r="67">
          <cell r="E67">
            <v>40330</v>
          </cell>
          <cell r="F67">
            <v>44.277674018333364</v>
          </cell>
        </row>
        <row r="68">
          <cell r="E68">
            <v>40360</v>
          </cell>
          <cell r="F68">
            <v>42.650974713333362</v>
          </cell>
        </row>
        <row r="69">
          <cell r="E69">
            <v>40391</v>
          </cell>
          <cell r="F69">
            <v>41.51237322583335</v>
          </cell>
        </row>
        <row r="70">
          <cell r="E70">
            <v>40422</v>
          </cell>
          <cell r="F70">
            <v>41.883458392500017</v>
          </cell>
        </row>
        <row r="71">
          <cell r="E71">
            <v>40452</v>
          </cell>
          <cell r="F71">
            <v>42.282223045000016</v>
          </cell>
        </row>
        <row r="72">
          <cell r="E72">
            <v>40483</v>
          </cell>
          <cell r="F72">
            <v>41.377757441666688</v>
          </cell>
        </row>
        <row r="73">
          <cell r="E73">
            <v>40513</v>
          </cell>
          <cell r="F73">
            <v>39.837911142500019</v>
          </cell>
        </row>
      </sheetData>
      <sheetData sheetId="9">
        <row r="13">
          <cell r="E13">
            <v>38687</v>
          </cell>
          <cell r="F13">
            <v>10.42077511166667</v>
          </cell>
        </row>
        <row r="14">
          <cell r="E14">
            <v>38718</v>
          </cell>
          <cell r="F14">
            <v>10.962439595000001</v>
          </cell>
        </row>
        <row r="15">
          <cell r="E15">
            <v>38749</v>
          </cell>
          <cell r="F15">
            <v>11.054175444166667</v>
          </cell>
        </row>
        <row r="16">
          <cell r="E16">
            <v>38777</v>
          </cell>
          <cell r="F16">
            <v>11.100286648333336</v>
          </cell>
        </row>
        <row r="17">
          <cell r="E17">
            <v>38808</v>
          </cell>
          <cell r="F17">
            <v>11.330308062500002</v>
          </cell>
        </row>
        <row r="18">
          <cell r="E18">
            <v>38838</v>
          </cell>
          <cell r="F18">
            <v>11.6152448525</v>
          </cell>
        </row>
        <row r="19">
          <cell r="E19">
            <v>38869</v>
          </cell>
          <cell r="F19">
            <v>11.892703313333335</v>
          </cell>
        </row>
        <row r="20">
          <cell r="E20">
            <v>38899</v>
          </cell>
          <cell r="F20">
            <v>12.281492791666667</v>
          </cell>
        </row>
        <row r="21">
          <cell r="E21">
            <v>38930</v>
          </cell>
          <cell r="F21">
            <v>12.56366338916667</v>
          </cell>
        </row>
        <row r="22">
          <cell r="E22">
            <v>38961</v>
          </cell>
          <cell r="F22">
            <v>12.601534615833335</v>
          </cell>
        </row>
        <row r="23">
          <cell r="E23">
            <v>38991</v>
          </cell>
          <cell r="F23">
            <v>12.679865655</v>
          </cell>
        </row>
        <row r="24">
          <cell r="E24">
            <v>39022</v>
          </cell>
          <cell r="F24">
            <v>12.707537173333334</v>
          </cell>
        </row>
        <row r="25">
          <cell r="E25">
            <v>39052</v>
          </cell>
          <cell r="F25">
            <v>12.426424011666667</v>
          </cell>
        </row>
        <row r="26">
          <cell r="E26">
            <v>39083</v>
          </cell>
          <cell r="F26">
            <v>12.111434757500001</v>
          </cell>
        </row>
        <row r="27">
          <cell r="E27">
            <v>39114</v>
          </cell>
          <cell r="F27">
            <v>12.285513140000001</v>
          </cell>
        </row>
        <row r="28">
          <cell r="E28">
            <v>39142</v>
          </cell>
          <cell r="F28">
            <v>12.262917535833333</v>
          </cell>
        </row>
        <row r="29">
          <cell r="E29">
            <v>39173</v>
          </cell>
          <cell r="F29">
            <v>11.930792890833336</v>
          </cell>
        </row>
        <row r="30">
          <cell r="E30">
            <v>39203</v>
          </cell>
          <cell r="F30">
            <v>11.740752260000001</v>
          </cell>
        </row>
        <row r="31">
          <cell r="E31">
            <v>39234</v>
          </cell>
          <cell r="F31">
            <v>11.652834915833333</v>
          </cell>
        </row>
        <row r="32">
          <cell r="E32">
            <v>39264</v>
          </cell>
          <cell r="F32">
            <v>11.452030705833335</v>
          </cell>
        </row>
        <row r="33">
          <cell r="E33">
            <v>39295</v>
          </cell>
          <cell r="F33">
            <v>11.457677491666667</v>
          </cell>
        </row>
        <row r="34">
          <cell r="E34">
            <v>39326</v>
          </cell>
          <cell r="F34">
            <v>11.871868670833335</v>
          </cell>
        </row>
        <row r="35">
          <cell r="E35">
            <v>39356</v>
          </cell>
          <cell r="F35">
            <v>12.310701995000001</v>
          </cell>
        </row>
        <row r="36">
          <cell r="E36">
            <v>39387</v>
          </cell>
          <cell r="F36">
            <v>12.464596890000001</v>
          </cell>
        </row>
        <row r="37">
          <cell r="E37">
            <v>39417</v>
          </cell>
          <cell r="F37">
            <v>12.626199380833334</v>
          </cell>
        </row>
        <row r="38">
          <cell r="E38">
            <v>39448</v>
          </cell>
          <cell r="F38">
            <v>12.929779841666667</v>
          </cell>
        </row>
        <row r="39">
          <cell r="E39">
            <v>39479</v>
          </cell>
          <cell r="F39">
            <v>12.708573760833332</v>
          </cell>
        </row>
        <row r="40">
          <cell r="E40">
            <v>39508</v>
          </cell>
          <cell r="F40">
            <v>12.643638845833335</v>
          </cell>
        </row>
        <row r="41">
          <cell r="E41">
            <v>39539</v>
          </cell>
          <cell r="F41">
            <v>12.634288095</v>
          </cell>
        </row>
        <row r="42">
          <cell r="E42">
            <v>39569</v>
          </cell>
          <cell r="F42">
            <v>12.547612865833335</v>
          </cell>
        </row>
        <row r="43">
          <cell r="E43">
            <v>39600</v>
          </cell>
          <cell r="F43">
            <v>12.221947853333333</v>
          </cell>
        </row>
        <row r="44">
          <cell r="E44">
            <v>39630</v>
          </cell>
          <cell r="F44">
            <v>12.203590526666666</v>
          </cell>
        </row>
        <row r="45">
          <cell r="E45">
            <v>39661</v>
          </cell>
          <cell r="F45">
            <v>11.737854083333332</v>
          </cell>
        </row>
        <row r="46">
          <cell r="E46">
            <v>39692</v>
          </cell>
          <cell r="F46">
            <v>10.859522870833333</v>
          </cell>
        </row>
        <row r="47">
          <cell r="E47">
            <v>39722</v>
          </cell>
          <cell r="F47">
            <v>10.796954986666668</v>
          </cell>
        </row>
        <row r="48">
          <cell r="E48">
            <v>39753</v>
          </cell>
          <cell r="F48">
            <v>10.545472630000001</v>
          </cell>
        </row>
        <row r="49">
          <cell r="E49">
            <v>39783</v>
          </cell>
          <cell r="F49">
            <v>10.707467455</v>
          </cell>
        </row>
        <row r="50">
          <cell r="E50">
            <v>39814</v>
          </cell>
          <cell r="F50">
            <v>10.865070816666666</v>
          </cell>
        </row>
        <row r="51">
          <cell r="E51">
            <v>39845</v>
          </cell>
          <cell r="F51">
            <v>11.029722412499998</v>
          </cell>
        </row>
        <row r="52">
          <cell r="E52">
            <v>39873</v>
          </cell>
          <cell r="F52">
            <v>11.151832071666666</v>
          </cell>
        </row>
        <row r="53">
          <cell r="E53">
            <v>39904</v>
          </cell>
          <cell r="F53">
            <v>11.103836184999999</v>
          </cell>
        </row>
        <row r="54">
          <cell r="E54">
            <v>39934</v>
          </cell>
          <cell r="F54">
            <v>11.133161046666663</v>
          </cell>
        </row>
        <row r="55">
          <cell r="E55">
            <v>39965</v>
          </cell>
          <cell r="F55">
            <v>11.311614472499997</v>
          </cell>
        </row>
        <row r="56">
          <cell r="E56">
            <v>39995</v>
          </cell>
          <cell r="F56">
            <v>11.218586885000001</v>
          </cell>
        </row>
        <row r="57">
          <cell r="E57">
            <v>40026</v>
          </cell>
          <cell r="F57">
            <v>11.142390543333333</v>
          </cell>
        </row>
        <row r="58">
          <cell r="E58">
            <v>40057</v>
          </cell>
          <cell r="F58">
            <v>11.556461950833331</v>
          </cell>
        </row>
        <row r="59">
          <cell r="E59">
            <v>40087</v>
          </cell>
          <cell r="F59">
            <v>10.997706821666666</v>
          </cell>
        </row>
        <row r="60">
          <cell r="E60">
            <v>40118</v>
          </cell>
          <cell r="F60">
            <v>10.523968734999997</v>
          </cell>
        </row>
        <row r="61">
          <cell r="E61">
            <v>40148</v>
          </cell>
          <cell r="F61">
            <v>10.15160043583333</v>
          </cell>
        </row>
        <row r="62">
          <cell r="E62">
            <v>40179</v>
          </cell>
          <cell r="F62">
            <v>9.5011504083333307</v>
          </cell>
        </row>
        <row r="63">
          <cell r="E63">
            <v>40210</v>
          </cell>
          <cell r="F63">
            <v>9.1339904349999976</v>
          </cell>
        </row>
        <row r="64">
          <cell r="E64">
            <v>40238</v>
          </cell>
          <cell r="F64">
            <v>9.2037312624999945</v>
          </cell>
        </row>
        <row r="65">
          <cell r="E65">
            <v>40269</v>
          </cell>
          <cell r="F65">
            <v>9.2300580108333321</v>
          </cell>
        </row>
        <row r="66">
          <cell r="E66">
            <v>40299</v>
          </cell>
          <cell r="F66">
            <v>9.3437215849999991</v>
          </cell>
        </row>
        <row r="67">
          <cell r="E67">
            <v>40330</v>
          </cell>
          <cell r="F67">
            <v>9.0851621216666647</v>
          </cell>
        </row>
        <row r="68">
          <cell r="E68">
            <v>40360</v>
          </cell>
          <cell r="F68">
            <v>9.1272246708333302</v>
          </cell>
        </row>
        <row r="69">
          <cell r="E69">
            <v>40391</v>
          </cell>
          <cell r="F69">
            <v>9.0627330008333296</v>
          </cell>
        </row>
        <row r="70">
          <cell r="E70">
            <v>40422</v>
          </cell>
          <cell r="F70">
            <v>8.8103926174999962</v>
          </cell>
        </row>
        <row r="71">
          <cell r="E71">
            <v>40452</v>
          </cell>
          <cell r="F71">
            <v>8.7484236116666647</v>
          </cell>
        </row>
        <row r="72">
          <cell r="E72">
            <v>40483</v>
          </cell>
          <cell r="F72">
            <v>8.8668904191666638</v>
          </cell>
        </row>
        <row r="73">
          <cell r="E73">
            <v>40513</v>
          </cell>
          <cell r="F73">
            <v>8.6684921741666638</v>
          </cell>
        </row>
      </sheetData>
      <sheetData sheetId="10">
        <row r="13">
          <cell r="E13">
            <v>38687</v>
          </cell>
          <cell r="F13">
            <v>26.241566922500002</v>
          </cell>
        </row>
        <row r="14">
          <cell r="E14">
            <v>38718</v>
          </cell>
          <cell r="F14">
            <v>25.985575968333336</v>
          </cell>
        </row>
        <row r="15">
          <cell r="E15">
            <v>38749</v>
          </cell>
          <cell r="F15">
            <v>27.533498912500004</v>
          </cell>
        </row>
        <row r="16">
          <cell r="E16">
            <v>38777</v>
          </cell>
          <cell r="F16">
            <v>29.356959082500016</v>
          </cell>
        </row>
        <row r="17">
          <cell r="E17">
            <v>38808</v>
          </cell>
          <cell r="F17">
            <v>29.423875738333351</v>
          </cell>
        </row>
        <row r="18">
          <cell r="E18">
            <v>38838</v>
          </cell>
          <cell r="F18">
            <v>29.177739769166678</v>
          </cell>
        </row>
        <row r="19">
          <cell r="E19">
            <v>38869</v>
          </cell>
          <cell r="F19">
            <v>30.535247271666673</v>
          </cell>
        </row>
        <row r="20">
          <cell r="E20">
            <v>38899</v>
          </cell>
          <cell r="F20">
            <v>31.589348639166673</v>
          </cell>
        </row>
        <row r="21">
          <cell r="E21">
            <v>38930</v>
          </cell>
          <cell r="F21">
            <v>32.402210094166669</v>
          </cell>
        </row>
        <row r="22">
          <cell r="E22">
            <v>38961</v>
          </cell>
          <cell r="F22">
            <v>34.318411199166682</v>
          </cell>
        </row>
        <row r="23">
          <cell r="E23">
            <v>38991</v>
          </cell>
          <cell r="F23">
            <v>35.644624635833345</v>
          </cell>
        </row>
        <row r="24">
          <cell r="E24">
            <v>39022</v>
          </cell>
          <cell r="F24">
            <v>36.556042935000015</v>
          </cell>
        </row>
        <row r="25">
          <cell r="E25">
            <v>39052</v>
          </cell>
          <cell r="F25">
            <v>36.74633543333335</v>
          </cell>
        </row>
        <row r="26">
          <cell r="E26">
            <v>39083</v>
          </cell>
          <cell r="F26">
            <v>38.154845013333343</v>
          </cell>
        </row>
        <row r="27">
          <cell r="E27">
            <v>39114</v>
          </cell>
          <cell r="F27">
            <v>36.831615604166679</v>
          </cell>
        </row>
        <row r="28">
          <cell r="E28">
            <v>39142</v>
          </cell>
          <cell r="F28">
            <v>36.73825679083334</v>
          </cell>
        </row>
        <row r="29">
          <cell r="E29">
            <v>39173</v>
          </cell>
          <cell r="F29">
            <v>36.890864604166673</v>
          </cell>
        </row>
        <row r="30">
          <cell r="E30">
            <v>39203</v>
          </cell>
          <cell r="F30">
            <v>39.049075805000008</v>
          </cell>
        </row>
        <row r="31">
          <cell r="E31">
            <v>39234</v>
          </cell>
          <cell r="F31">
            <v>38.510078590833352</v>
          </cell>
        </row>
        <row r="32">
          <cell r="E32">
            <v>39264</v>
          </cell>
          <cell r="F32">
            <v>37.885136230833346</v>
          </cell>
        </row>
        <row r="33">
          <cell r="E33">
            <v>39295</v>
          </cell>
          <cell r="F33">
            <v>37.703778706666682</v>
          </cell>
        </row>
        <row r="34">
          <cell r="E34">
            <v>39326</v>
          </cell>
          <cell r="F34">
            <v>39.766987396666671</v>
          </cell>
        </row>
        <row r="35">
          <cell r="E35">
            <v>39356</v>
          </cell>
          <cell r="F35">
            <v>39.87578942916668</v>
          </cell>
        </row>
        <row r="36">
          <cell r="E36">
            <v>39387</v>
          </cell>
          <cell r="F36">
            <v>41.013851820000006</v>
          </cell>
        </row>
        <row r="37">
          <cell r="E37">
            <v>39417</v>
          </cell>
          <cell r="F37">
            <v>42.379105284166663</v>
          </cell>
        </row>
        <row r="38">
          <cell r="E38">
            <v>39448</v>
          </cell>
          <cell r="F38">
            <v>42.241212465833335</v>
          </cell>
        </row>
        <row r="39">
          <cell r="E39">
            <v>39479</v>
          </cell>
          <cell r="F39">
            <v>43.267878931666672</v>
          </cell>
        </row>
        <row r="40">
          <cell r="E40">
            <v>39508</v>
          </cell>
          <cell r="F40">
            <v>43.757041170000008</v>
          </cell>
        </row>
        <row r="41">
          <cell r="E41">
            <v>39539</v>
          </cell>
          <cell r="F41">
            <v>45.227690745000018</v>
          </cell>
        </row>
        <row r="42">
          <cell r="E42">
            <v>39569</v>
          </cell>
          <cell r="F42">
            <v>44.062511095000012</v>
          </cell>
        </row>
        <row r="43">
          <cell r="E43">
            <v>39600</v>
          </cell>
          <cell r="F43">
            <v>45.414058421666681</v>
          </cell>
        </row>
        <row r="44">
          <cell r="E44">
            <v>39630</v>
          </cell>
          <cell r="F44">
            <v>47.66394402000001</v>
          </cell>
        </row>
        <row r="45">
          <cell r="E45">
            <v>39661</v>
          </cell>
          <cell r="F45">
            <v>49.721532648333344</v>
          </cell>
        </row>
        <row r="46">
          <cell r="E46">
            <v>39692</v>
          </cell>
          <cell r="F46">
            <v>48.588188541666675</v>
          </cell>
        </row>
        <row r="47">
          <cell r="E47">
            <v>39722</v>
          </cell>
          <cell r="F47">
            <v>49.870391517500003</v>
          </cell>
        </row>
        <row r="48">
          <cell r="E48">
            <v>39753</v>
          </cell>
          <cell r="F48">
            <v>48.23798441666667</v>
          </cell>
        </row>
        <row r="49">
          <cell r="E49">
            <v>39783</v>
          </cell>
          <cell r="F49">
            <v>49.947331129166677</v>
          </cell>
        </row>
        <row r="50">
          <cell r="E50">
            <v>39814</v>
          </cell>
          <cell r="F50">
            <v>50.322309588333354</v>
          </cell>
        </row>
        <row r="51">
          <cell r="E51">
            <v>39845</v>
          </cell>
          <cell r="F51">
            <v>49.868336765833341</v>
          </cell>
        </row>
        <row r="52">
          <cell r="E52">
            <v>39873</v>
          </cell>
          <cell r="F52">
            <v>49.923972418333342</v>
          </cell>
        </row>
        <row r="53">
          <cell r="E53">
            <v>39904</v>
          </cell>
          <cell r="F53">
            <v>48.64738065333335</v>
          </cell>
        </row>
        <row r="54">
          <cell r="E54">
            <v>39934</v>
          </cell>
          <cell r="F54">
            <v>49.004468741666678</v>
          </cell>
        </row>
        <row r="55">
          <cell r="E55">
            <v>39965</v>
          </cell>
          <cell r="F55">
            <v>47.71663471083334</v>
          </cell>
        </row>
        <row r="56">
          <cell r="E56">
            <v>39995</v>
          </cell>
          <cell r="F56">
            <v>46.492701972499994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42.95730204583333</v>
          </cell>
        </row>
        <row r="59">
          <cell r="E59">
            <v>40087</v>
          </cell>
          <cell r="F59">
            <v>41.212596027499991</v>
          </cell>
        </row>
        <row r="60">
          <cell r="E60">
            <v>40118</v>
          </cell>
          <cell r="F60">
            <v>41.599104040833318</v>
          </cell>
        </row>
        <row r="61">
          <cell r="E61">
            <v>40148</v>
          </cell>
          <cell r="F61">
            <v>40.44538841833333</v>
          </cell>
        </row>
        <row r="62">
          <cell r="E62">
            <v>40179</v>
          </cell>
          <cell r="F62">
            <v>40.63349053999999</v>
          </cell>
        </row>
        <row r="63">
          <cell r="E63">
            <v>40210</v>
          </cell>
          <cell r="F63">
            <v>40.719388239166662</v>
          </cell>
        </row>
        <row r="64">
          <cell r="E64">
            <v>40238</v>
          </cell>
          <cell r="F64">
            <v>43.420637922499999</v>
          </cell>
        </row>
        <row r="65">
          <cell r="E65">
            <v>40269</v>
          </cell>
          <cell r="F65">
            <v>43.687136848333324</v>
          </cell>
        </row>
        <row r="66">
          <cell r="E66">
            <v>40299</v>
          </cell>
          <cell r="F66">
            <v>47.821472211666674</v>
          </cell>
        </row>
        <row r="67">
          <cell r="E67">
            <v>40330</v>
          </cell>
          <cell r="F67">
            <v>48.287665185000002</v>
          </cell>
        </row>
        <row r="68">
          <cell r="E68">
            <v>40360</v>
          </cell>
          <cell r="F68">
            <v>47.775240620000012</v>
          </cell>
        </row>
        <row r="69">
          <cell r="E69">
            <v>40391</v>
          </cell>
          <cell r="F69">
            <v>50.325956185000017</v>
          </cell>
        </row>
        <row r="70">
          <cell r="E70">
            <v>40422</v>
          </cell>
          <cell r="F70">
            <v>51.552560307500009</v>
          </cell>
        </row>
        <row r="71">
          <cell r="E71">
            <v>40452</v>
          </cell>
          <cell r="F71">
            <v>52.214538967500026</v>
          </cell>
        </row>
        <row r="72">
          <cell r="E72">
            <v>40483</v>
          </cell>
          <cell r="F72">
            <v>55.267221610000007</v>
          </cell>
        </row>
        <row r="73">
          <cell r="E73">
            <v>40513</v>
          </cell>
          <cell r="F73">
            <v>59.440402534999983</v>
          </cell>
        </row>
      </sheetData>
      <sheetData sheetId="11">
        <row r="13">
          <cell r="E13">
            <v>38687</v>
          </cell>
          <cell r="F13">
            <v>7.7721942883333339</v>
          </cell>
        </row>
        <row r="14">
          <cell r="E14">
            <v>38718</v>
          </cell>
          <cell r="F14">
            <v>7.692801670833334</v>
          </cell>
        </row>
        <row r="15">
          <cell r="E15">
            <v>38749</v>
          </cell>
          <cell r="F15">
            <v>8.2349528916666674</v>
          </cell>
        </row>
        <row r="16">
          <cell r="E16">
            <v>38777</v>
          </cell>
          <cell r="F16">
            <v>8.6597672616666657</v>
          </cell>
        </row>
        <row r="17">
          <cell r="E17">
            <v>38808</v>
          </cell>
          <cell r="F17">
            <v>7.9123257599999981</v>
          </cell>
        </row>
        <row r="18">
          <cell r="E18">
            <v>38838</v>
          </cell>
          <cell r="F18">
            <v>6.8044661624999989</v>
          </cell>
        </row>
        <row r="19">
          <cell r="E19">
            <v>38869</v>
          </cell>
          <cell r="F19">
            <v>6.9829438933333314</v>
          </cell>
        </row>
        <row r="20">
          <cell r="E20">
            <v>38899</v>
          </cell>
          <cell r="F20">
            <v>7.2898942583333328</v>
          </cell>
        </row>
        <row r="21">
          <cell r="E21">
            <v>38930</v>
          </cell>
          <cell r="F21">
            <v>7.2668220658333338</v>
          </cell>
        </row>
        <row r="22">
          <cell r="E22">
            <v>38961</v>
          </cell>
          <cell r="F22">
            <v>7.3553822233333337</v>
          </cell>
        </row>
        <row r="23">
          <cell r="E23">
            <v>38991</v>
          </cell>
          <cell r="F23">
            <v>7.5965316016666682</v>
          </cell>
        </row>
        <row r="24">
          <cell r="E24">
            <v>39022</v>
          </cell>
          <cell r="F24">
            <v>7.1404996000000018</v>
          </cell>
        </row>
        <row r="25">
          <cell r="E25">
            <v>39052</v>
          </cell>
          <cell r="F25">
            <v>6.9587665483333332</v>
          </cell>
        </row>
        <row r="26">
          <cell r="E26">
            <v>39083</v>
          </cell>
          <cell r="F26">
            <v>7.1473311549999998</v>
          </cell>
        </row>
        <row r="27">
          <cell r="E27">
            <v>39114</v>
          </cell>
          <cell r="F27">
            <v>6.8841890391666665</v>
          </cell>
        </row>
        <row r="28">
          <cell r="E28">
            <v>39142</v>
          </cell>
          <cell r="F28">
            <v>7.3301772616666652</v>
          </cell>
        </row>
        <row r="29">
          <cell r="E29">
            <v>39173</v>
          </cell>
          <cell r="F29">
            <v>7.8505266391666666</v>
          </cell>
        </row>
        <row r="30">
          <cell r="E30">
            <v>39203</v>
          </cell>
          <cell r="F30">
            <v>7.8486433208333324</v>
          </cell>
        </row>
        <row r="31">
          <cell r="E31">
            <v>39234</v>
          </cell>
          <cell r="F31">
            <v>7.5482216608333346</v>
          </cell>
        </row>
        <row r="32">
          <cell r="E32">
            <v>39264</v>
          </cell>
          <cell r="F32">
            <v>7.2666363933333349</v>
          </cell>
        </row>
        <row r="33">
          <cell r="E33">
            <v>39295</v>
          </cell>
          <cell r="F33">
            <v>7.2118232975000005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6.568354291666668</v>
          </cell>
        </row>
        <row r="36">
          <cell r="E36">
            <v>39387</v>
          </cell>
          <cell r="F36">
            <v>6.821738428333334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6.7230015858333338</v>
          </cell>
        </row>
        <row r="39">
          <cell r="E39">
            <v>39479</v>
          </cell>
          <cell r="F39">
            <v>6.9675697808333332</v>
          </cell>
        </row>
        <row r="40">
          <cell r="E40">
            <v>39508</v>
          </cell>
          <cell r="F40">
            <v>6.5914775550000018</v>
          </cell>
        </row>
        <row r="41">
          <cell r="E41">
            <v>39539</v>
          </cell>
          <cell r="F41">
            <v>6.2685151483333348</v>
          </cell>
        </row>
        <row r="42">
          <cell r="E42">
            <v>39569</v>
          </cell>
          <cell r="F42">
            <v>6.2511642275000012</v>
          </cell>
        </row>
        <row r="43">
          <cell r="E43">
            <v>39600</v>
          </cell>
          <cell r="F43">
            <v>5.8404284133333348</v>
          </cell>
        </row>
        <row r="44">
          <cell r="E44">
            <v>39630</v>
          </cell>
          <cell r="F44">
            <v>5.6554925866666679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5.4936427441666664</v>
          </cell>
        </row>
        <row r="47">
          <cell r="E47">
            <v>39722</v>
          </cell>
          <cell r="F47">
            <v>5.3232763900000002</v>
          </cell>
        </row>
        <row r="48">
          <cell r="E48">
            <v>39753</v>
          </cell>
          <cell r="F48">
            <v>5.2926562358333342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6.961324993333335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7.6355748866666682</v>
          </cell>
        </row>
        <row r="53">
          <cell r="E53">
            <v>39904</v>
          </cell>
          <cell r="F53">
            <v>8.0592483950000027</v>
          </cell>
        </row>
        <row r="54">
          <cell r="E54">
            <v>39934</v>
          </cell>
          <cell r="F54">
            <v>8.9295045325000029</v>
          </cell>
        </row>
        <row r="55">
          <cell r="E55">
            <v>39965</v>
          </cell>
          <cell r="F55">
            <v>9.6588081933333356</v>
          </cell>
        </row>
        <row r="56">
          <cell r="E56">
            <v>39995</v>
          </cell>
          <cell r="F56">
            <v>10.381528440833335</v>
          </cell>
        </row>
        <row r="57">
          <cell r="E57">
            <v>40026</v>
          </cell>
          <cell r="F57">
            <v>10.939426132500003</v>
          </cell>
        </row>
        <row r="58">
          <cell r="E58">
            <v>40057</v>
          </cell>
          <cell r="F58">
            <v>11.775434888333336</v>
          </cell>
        </row>
        <row r="59">
          <cell r="E59">
            <v>40087</v>
          </cell>
          <cell r="F59">
            <v>12.830386748333334</v>
          </cell>
        </row>
        <row r="60">
          <cell r="E60">
            <v>40118</v>
          </cell>
          <cell r="F60">
            <v>14.049433330000001</v>
          </cell>
        </row>
        <row r="61">
          <cell r="E61">
            <v>40148</v>
          </cell>
          <cell r="F61">
            <v>14.831253925</v>
          </cell>
        </row>
        <row r="62">
          <cell r="E62">
            <v>40179</v>
          </cell>
          <cell r="F62">
            <v>14.595690520000003</v>
          </cell>
        </row>
        <row r="63">
          <cell r="E63">
            <v>40210</v>
          </cell>
          <cell r="F63">
            <v>15.124990536666667</v>
          </cell>
        </row>
        <row r="64">
          <cell r="E64">
            <v>40238</v>
          </cell>
          <cell r="F64">
            <v>16.338157653333337</v>
          </cell>
        </row>
        <row r="65">
          <cell r="E65">
            <v>40269</v>
          </cell>
          <cell r="F65">
            <v>16.745029617500002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21.556746514166672</v>
          </cell>
        </row>
        <row r="69">
          <cell r="E69">
            <v>40391</v>
          </cell>
          <cell r="F69">
            <v>23.441890130000001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24.95473772916667</v>
          </cell>
        </row>
        <row r="72">
          <cell r="E72">
            <v>40483</v>
          </cell>
          <cell r="F72">
            <v>27.270347839999996</v>
          </cell>
        </row>
        <row r="73">
          <cell r="E73">
            <v>40513</v>
          </cell>
          <cell r="F73">
            <v>31.864121475833318</v>
          </cell>
        </row>
      </sheetData>
      <sheetData sheetId="12">
        <row r="13">
          <cell r="E13">
            <v>38687</v>
          </cell>
          <cell r="F13">
            <v>1.1749727408333335</v>
          </cell>
        </row>
        <row r="14">
          <cell r="E14">
            <v>38718</v>
          </cell>
          <cell r="F14">
            <v>1.2207694100000002</v>
          </cell>
        </row>
        <row r="15">
          <cell r="E15">
            <v>38749</v>
          </cell>
          <cell r="F15">
            <v>1.2336991675000002</v>
          </cell>
        </row>
        <row r="16">
          <cell r="E16">
            <v>38777</v>
          </cell>
          <cell r="F16">
            <v>1.2223347225000003</v>
          </cell>
        </row>
        <row r="17">
          <cell r="E17">
            <v>38808</v>
          </cell>
          <cell r="F17">
            <v>1.2186605316666668</v>
          </cell>
        </row>
        <row r="18">
          <cell r="E18">
            <v>38838</v>
          </cell>
          <cell r="F18">
            <v>1.2490208033333337</v>
          </cell>
        </row>
        <row r="19">
          <cell r="E19">
            <v>38869</v>
          </cell>
          <cell r="F19">
            <v>1.2850802091666671</v>
          </cell>
        </row>
        <row r="20">
          <cell r="E20">
            <v>38899</v>
          </cell>
          <cell r="F20">
            <v>1.3202729900000003</v>
          </cell>
        </row>
        <row r="21">
          <cell r="E21">
            <v>38930</v>
          </cell>
          <cell r="F21">
            <v>1.3176806650000001</v>
          </cell>
        </row>
        <row r="22">
          <cell r="E22">
            <v>38961</v>
          </cell>
          <cell r="F22">
            <v>1.3188733266666668</v>
          </cell>
        </row>
        <row r="23">
          <cell r="E23">
            <v>38991</v>
          </cell>
          <cell r="F23">
            <v>1.4590009950000002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1.9917580033333329</v>
          </cell>
        </row>
        <row r="28">
          <cell r="E28">
            <v>39142</v>
          </cell>
          <cell r="F28">
            <v>2.3828195349999994</v>
          </cell>
        </row>
        <row r="29">
          <cell r="E29">
            <v>39173</v>
          </cell>
          <cell r="F29">
            <v>2.5752155824999998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3.0373873716666675</v>
          </cell>
        </row>
        <row r="33">
          <cell r="E33">
            <v>39295</v>
          </cell>
          <cell r="F33">
            <v>3.0695523374999998</v>
          </cell>
        </row>
        <row r="34">
          <cell r="E34">
            <v>39326</v>
          </cell>
          <cell r="F34">
            <v>3.1623493383333336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3.6880876441666675</v>
          </cell>
        </row>
        <row r="37">
          <cell r="E37">
            <v>39417</v>
          </cell>
          <cell r="F37">
            <v>3.8251102283333336</v>
          </cell>
        </row>
        <row r="38">
          <cell r="E38">
            <v>39448</v>
          </cell>
          <cell r="F38">
            <v>3.6135816991666676</v>
          </cell>
        </row>
        <row r="39">
          <cell r="E39">
            <v>39479</v>
          </cell>
          <cell r="F39">
            <v>3.4903355783333336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5.2736655400000005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6.9339133733333327</v>
          </cell>
        </row>
        <row r="49">
          <cell r="E49">
            <v>39783</v>
          </cell>
          <cell r="F49">
            <v>7.1985808449999995</v>
          </cell>
        </row>
        <row r="50">
          <cell r="E50">
            <v>39814</v>
          </cell>
          <cell r="F50">
            <v>7.367049493333333</v>
          </cell>
        </row>
        <row r="51">
          <cell r="E51">
            <v>39845</v>
          </cell>
          <cell r="F51">
            <v>7.4246501866666668</v>
          </cell>
        </row>
        <row r="52">
          <cell r="E52">
            <v>39873</v>
          </cell>
          <cell r="F52">
            <v>7.3742574183333334</v>
          </cell>
        </row>
        <row r="53">
          <cell r="E53">
            <v>39904</v>
          </cell>
          <cell r="F53">
            <v>6.9407650966666674</v>
          </cell>
        </row>
        <row r="54">
          <cell r="E54">
            <v>39934</v>
          </cell>
          <cell r="F54">
            <v>6.6701089700000002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5.0111584758333336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3.9685317166666665</v>
          </cell>
        </row>
        <row r="59">
          <cell r="E59">
            <v>40087</v>
          </cell>
          <cell r="F59">
            <v>3.7595925083333328</v>
          </cell>
        </row>
        <row r="60">
          <cell r="E60">
            <v>40118</v>
          </cell>
          <cell r="F60">
            <v>3.5774401358333332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3.4381967650000003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3.6554420891666672</v>
          </cell>
        </row>
        <row r="65">
          <cell r="E65">
            <v>40269</v>
          </cell>
          <cell r="F65">
            <v>3.8229446958333337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4.2157471816666661</v>
          </cell>
        </row>
        <row r="68">
          <cell r="E68">
            <v>40360</v>
          </cell>
          <cell r="F68">
            <v>4.4623776775000001</v>
          </cell>
        </row>
        <row r="69">
          <cell r="E69">
            <v>40391</v>
          </cell>
          <cell r="F69">
            <v>4.5408979125000002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</sheetData>
      <sheetData sheetId="13">
        <row r="13">
          <cell r="E13">
            <v>38687</v>
          </cell>
          <cell r="F13">
            <v>6.0521059966666675</v>
          </cell>
        </row>
        <row r="14">
          <cell r="E14">
            <v>38718</v>
          </cell>
          <cell r="F14">
            <v>6.0369374916666665</v>
          </cell>
        </row>
        <row r="15">
          <cell r="E15">
            <v>38749</v>
          </cell>
          <cell r="F15">
            <v>7.4982081374999998</v>
          </cell>
        </row>
        <row r="16">
          <cell r="E16">
            <v>38777</v>
          </cell>
          <cell r="F16">
            <v>8.6281326733333348</v>
          </cell>
        </row>
        <row r="17">
          <cell r="E17">
            <v>38808</v>
          </cell>
          <cell r="F17">
            <v>9.2406363574999997</v>
          </cell>
        </row>
        <row r="18">
          <cell r="E18">
            <v>38838</v>
          </cell>
          <cell r="F18">
            <v>9.7038861650000001</v>
          </cell>
        </row>
        <row r="19">
          <cell r="E19">
            <v>38869</v>
          </cell>
          <cell r="F19">
            <v>10.826275845833335</v>
          </cell>
        </row>
        <row r="20">
          <cell r="E20">
            <v>38899</v>
          </cell>
          <cell r="F20">
            <v>11.717353875833332</v>
          </cell>
        </row>
        <row r="21">
          <cell r="E21">
            <v>38930</v>
          </cell>
          <cell r="F21">
            <v>11.909821328333335</v>
          </cell>
        </row>
        <row r="22">
          <cell r="E22">
            <v>38961</v>
          </cell>
          <cell r="F22">
            <v>13.271390999166664</v>
          </cell>
        </row>
        <row r="23">
          <cell r="E23">
            <v>38991</v>
          </cell>
          <cell r="F23">
            <v>13.553451524166666</v>
          </cell>
        </row>
        <row r="24">
          <cell r="E24">
            <v>39022</v>
          </cell>
          <cell r="F24">
            <v>14.3497421825</v>
          </cell>
        </row>
        <row r="25">
          <cell r="E25">
            <v>39052</v>
          </cell>
          <cell r="F25">
            <v>15.090056396666668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15.150202741666668</v>
          </cell>
        </row>
        <row r="28">
          <cell r="E28">
            <v>39142</v>
          </cell>
          <cell r="F28">
            <v>14.675709414166668</v>
          </cell>
        </row>
        <row r="29">
          <cell r="E29">
            <v>39173</v>
          </cell>
          <cell r="F29">
            <v>14.525074758333334</v>
          </cell>
        </row>
        <row r="30">
          <cell r="E30">
            <v>39203</v>
          </cell>
          <cell r="F30">
            <v>15.346068563333331</v>
          </cell>
        </row>
        <row r="31">
          <cell r="E31">
            <v>39234</v>
          </cell>
          <cell r="F31">
            <v>14.332523942499998</v>
          </cell>
        </row>
        <row r="32">
          <cell r="E32">
            <v>39264</v>
          </cell>
          <cell r="F32">
            <v>13.895810384999997</v>
          </cell>
        </row>
        <row r="33">
          <cell r="E33">
            <v>39295</v>
          </cell>
          <cell r="F33">
            <v>13.797080926666666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13.789329917499998</v>
          </cell>
        </row>
        <row r="36">
          <cell r="E36">
            <v>39387</v>
          </cell>
          <cell r="F36">
            <v>13.807097155833333</v>
          </cell>
        </row>
        <row r="37">
          <cell r="E37">
            <v>39417</v>
          </cell>
          <cell r="F37">
            <v>13.669064755833332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12.984713376666669</v>
          </cell>
        </row>
        <row r="40">
          <cell r="E40">
            <v>39508</v>
          </cell>
          <cell r="F40">
            <v>13.106389587499999</v>
          </cell>
        </row>
        <row r="41">
          <cell r="E41">
            <v>39539</v>
          </cell>
          <cell r="F41">
            <v>13.114767950000001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14.066281595833336</v>
          </cell>
        </row>
        <row r="45">
          <cell r="E45">
            <v>39661</v>
          </cell>
          <cell r="F45">
            <v>15.491290397500002</v>
          </cell>
        </row>
        <row r="46">
          <cell r="E46">
            <v>39692</v>
          </cell>
          <cell r="F46">
            <v>15.642014915833341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15.52384907583334</v>
          </cell>
        </row>
        <row r="49">
          <cell r="E49">
            <v>39783</v>
          </cell>
          <cell r="F49">
            <v>16.640626270000009</v>
          </cell>
        </row>
        <row r="50">
          <cell r="E50">
            <v>39814</v>
          </cell>
          <cell r="F50">
            <v>16.363769791666673</v>
          </cell>
        </row>
        <row r="51">
          <cell r="E51">
            <v>39845</v>
          </cell>
          <cell r="F51">
            <v>16.156514364166672</v>
          </cell>
        </row>
        <row r="52">
          <cell r="E52">
            <v>39873</v>
          </cell>
          <cell r="F52">
            <v>15.471506686666674</v>
          </cell>
        </row>
        <row r="53">
          <cell r="E53">
            <v>39904</v>
          </cell>
          <cell r="F53">
            <v>14.913529990000006</v>
          </cell>
        </row>
        <row r="54">
          <cell r="E54">
            <v>39934</v>
          </cell>
          <cell r="F54">
            <v>14.233177929166674</v>
          </cell>
        </row>
        <row r="55">
          <cell r="E55">
            <v>39965</v>
          </cell>
          <cell r="F55">
            <v>13.690198643333339</v>
          </cell>
        </row>
        <row r="56">
          <cell r="E56">
            <v>39995</v>
          </cell>
          <cell r="F56">
            <v>12.568793379166678</v>
          </cell>
        </row>
        <row r="57">
          <cell r="E57">
            <v>40026</v>
          </cell>
          <cell r="F57">
            <v>11.065721700833342</v>
          </cell>
        </row>
        <row r="58">
          <cell r="E58">
            <v>40057</v>
          </cell>
          <cell r="F58">
            <v>9.9889271116666709</v>
          </cell>
        </row>
        <row r="59">
          <cell r="E59">
            <v>40087</v>
          </cell>
          <cell r="F59">
            <v>8.9996149975000037</v>
          </cell>
        </row>
        <row r="60">
          <cell r="E60">
            <v>40118</v>
          </cell>
          <cell r="F60">
            <v>8.5287791025000015</v>
          </cell>
        </row>
        <row r="61">
          <cell r="E61">
            <v>40148</v>
          </cell>
          <cell r="F61">
            <v>6.9973230625000005</v>
          </cell>
        </row>
        <row r="62">
          <cell r="E62">
            <v>40179</v>
          </cell>
          <cell r="F62">
            <v>6.8324766333333349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6.8351512458333339</v>
          </cell>
        </row>
        <row r="66">
          <cell r="E66">
            <v>40299</v>
          </cell>
          <cell r="F66">
            <v>6.9906513958333321</v>
          </cell>
        </row>
        <row r="67">
          <cell r="E67">
            <v>40330</v>
          </cell>
          <cell r="F67">
            <v>7.0264611124999989</v>
          </cell>
        </row>
        <row r="68">
          <cell r="E68">
            <v>40360</v>
          </cell>
          <cell r="F68">
            <v>7.0924127316666672</v>
          </cell>
        </row>
        <row r="69">
          <cell r="E69">
            <v>40391</v>
          </cell>
          <cell r="F69">
            <v>7.3652119958333344</v>
          </cell>
        </row>
        <row r="70">
          <cell r="E70">
            <v>40422</v>
          </cell>
          <cell r="F70">
            <v>7.3771055733333339</v>
          </cell>
        </row>
        <row r="71">
          <cell r="E71">
            <v>40452</v>
          </cell>
          <cell r="F71">
            <v>7.703282712500001</v>
          </cell>
        </row>
        <row r="72">
          <cell r="E72">
            <v>40483</v>
          </cell>
          <cell r="F72">
            <v>7.9659155099999994</v>
          </cell>
        </row>
        <row r="73">
          <cell r="E73">
            <v>40513</v>
          </cell>
          <cell r="F73">
            <v>8.0123250158333335</v>
          </cell>
        </row>
      </sheetData>
      <sheetData sheetId="14">
        <row r="13">
          <cell r="E13">
            <v>38687</v>
          </cell>
          <cell r="F13">
            <v>5.3607071441666676</v>
          </cell>
        </row>
        <row r="14">
          <cell r="E14">
            <v>38718</v>
          </cell>
          <cell r="F14">
            <v>5.2036396725000014</v>
          </cell>
        </row>
        <row r="15">
          <cell r="E15">
            <v>38749</v>
          </cell>
          <cell r="F15">
            <v>4.9891838316666677</v>
          </cell>
        </row>
        <row r="16">
          <cell r="E16">
            <v>38777</v>
          </cell>
          <cell r="F16">
            <v>5.0695636450000015</v>
          </cell>
        </row>
        <row r="17">
          <cell r="E17">
            <v>38808</v>
          </cell>
          <cell r="F17">
            <v>5.0679682433333353</v>
          </cell>
        </row>
        <row r="18">
          <cell r="E18">
            <v>38838</v>
          </cell>
          <cell r="F18">
            <v>5.2008953650000009</v>
          </cell>
        </row>
        <row r="19">
          <cell r="E19">
            <v>38869</v>
          </cell>
          <cell r="F19">
            <v>5.1813602408333344</v>
          </cell>
        </row>
        <row r="20">
          <cell r="E20">
            <v>38899</v>
          </cell>
          <cell r="F20">
            <v>5.211126243333335</v>
          </cell>
        </row>
        <row r="21">
          <cell r="E21">
            <v>38930</v>
          </cell>
          <cell r="F21">
            <v>5.6495299275000015</v>
          </cell>
        </row>
        <row r="22">
          <cell r="E22">
            <v>38961</v>
          </cell>
          <cell r="F22">
            <v>5.626976110000002</v>
          </cell>
        </row>
        <row r="23">
          <cell r="E23">
            <v>38991</v>
          </cell>
          <cell r="F23">
            <v>5.8165949725000017</v>
          </cell>
        </row>
        <row r="24">
          <cell r="E24">
            <v>39022</v>
          </cell>
          <cell r="F24">
            <v>5.9324344608333348</v>
          </cell>
        </row>
        <row r="25">
          <cell r="E25">
            <v>39052</v>
          </cell>
          <cell r="F25">
            <v>5.9303291058333345</v>
          </cell>
        </row>
        <row r="26">
          <cell r="E26">
            <v>39083</v>
          </cell>
          <cell r="F26">
            <v>5.8584847341666686</v>
          </cell>
        </row>
        <row r="27">
          <cell r="E27">
            <v>39114</v>
          </cell>
          <cell r="F27">
            <v>5.6475547000000033</v>
          </cell>
        </row>
        <row r="28">
          <cell r="E28">
            <v>39142</v>
          </cell>
          <cell r="F28">
            <v>5.5356574508333347</v>
          </cell>
        </row>
        <row r="29">
          <cell r="E29">
            <v>39173</v>
          </cell>
          <cell r="F29">
            <v>5.2211001641666686</v>
          </cell>
        </row>
        <row r="30">
          <cell r="E30">
            <v>39203</v>
          </cell>
          <cell r="F30">
            <v>5.0963156891666683</v>
          </cell>
        </row>
        <row r="31">
          <cell r="E31">
            <v>39234</v>
          </cell>
          <cell r="F31">
            <v>5.0846682100000011</v>
          </cell>
        </row>
        <row r="32">
          <cell r="E32">
            <v>39264</v>
          </cell>
          <cell r="F32">
            <v>4.9104329241666687</v>
          </cell>
        </row>
        <row r="33">
          <cell r="E33">
            <v>39295</v>
          </cell>
          <cell r="F33">
            <v>4.4959156808333329</v>
          </cell>
        </row>
        <row r="34">
          <cell r="E34">
            <v>39326</v>
          </cell>
          <cell r="F34">
            <v>4.4566009900000001</v>
          </cell>
        </row>
        <row r="35">
          <cell r="E35">
            <v>39356</v>
          </cell>
          <cell r="F35">
            <v>4.5738974399999996</v>
          </cell>
        </row>
        <row r="36">
          <cell r="E36">
            <v>39387</v>
          </cell>
          <cell r="F36">
            <v>4.8743757883333325</v>
          </cell>
        </row>
        <row r="37">
          <cell r="E37">
            <v>39417</v>
          </cell>
          <cell r="F37">
            <v>4.9407720558333326</v>
          </cell>
        </row>
        <row r="38">
          <cell r="E38">
            <v>39448</v>
          </cell>
          <cell r="F38">
            <v>5.2023899858333333</v>
          </cell>
        </row>
        <row r="39">
          <cell r="E39">
            <v>39479</v>
          </cell>
          <cell r="F39">
            <v>5.329973675833334</v>
          </cell>
        </row>
        <row r="40">
          <cell r="E40">
            <v>39508</v>
          </cell>
          <cell r="F40">
            <v>5.5405999633333343</v>
          </cell>
        </row>
        <row r="41">
          <cell r="E41">
            <v>39539</v>
          </cell>
          <cell r="F41">
            <v>6.0773582741666665</v>
          </cell>
        </row>
        <row r="42">
          <cell r="E42">
            <v>39569</v>
          </cell>
          <cell r="F42">
            <v>5.9132935316666675</v>
          </cell>
        </row>
        <row r="43">
          <cell r="E43">
            <v>39600</v>
          </cell>
          <cell r="F43">
            <v>5.9232853725000005</v>
          </cell>
        </row>
        <row r="44">
          <cell r="E44">
            <v>39630</v>
          </cell>
          <cell r="F44">
            <v>5.9922340233333342</v>
          </cell>
        </row>
        <row r="45">
          <cell r="E45">
            <v>39661</v>
          </cell>
          <cell r="F45">
            <v>5.8740510366666667</v>
          </cell>
        </row>
        <row r="46">
          <cell r="E46">
            <v>39692</v>
          </cell>
          <cell r="F46">
            <v>5.7818620816666666</v>
          </cell>
        </row>
        <row r="47">
          <cell r="E47">
            <v>39722</v>
          </cell>
          <cell r="F47">
            <v>5.5342926608333336</v>
          </cell>
        </row>
        <row r="48">
          <cell r="E48">
            <v>39753</v>
          </cell>
          <cell r="F48">
            <v>5.0674761508333335</v>
          </cell>
        </row>
        <row r="49">
          <cell r="E49">
            <v>39783</v>
          </cell>
          <cell r="F49">
            <v>4.916611674166667</v>
          </cell>
        </row>
        <row r="50">
          <cell r="E50">
            <v>39814</v>
          </cell>
          <cell r="F50">
            <v>4.8074499566666669</v>
          </cell>
        </row>
        <row r="51">
          <cell r="E51">
            <v>39845</v>
          </cell>
          <cell r="F51">
            <v>4.6851177733333325</v>
          </cell>
        </row>
        <row r="52">
          <cell r="E52">
            <v>39873</v>
          </cell>
          <cell r="F52">
            <v>4.5548612508333326</v>
          </cell>
        </row>
        <row r="53">
          <cell r="E53">
            <v>39904</v>
          </cell>
          <cell r="F53">
            <v>3.8920746125000001</v>
          </cell>
        </row>
        <row r="54">
          <cell r="E54">
            <v>39934</v>
          </cell>
          <cell r="F54">
            <v>3.8228084041666666</v>
          </cell>
        </row>
        <row r="55">
          <cell r="E55">
            <v>39965</v>
          </cell>
          <cell r="F55">
            <v>3.6444813408333334</v>
          </cell>
        </row>
        <row r="56">
          <cell r="E56">
            <v>39995</v>
          </cell>
          <cell r="F56">
            <v>3.5793310424999993</v>
          </cell>
        </row>
        <row r="57">
          <cell r="E57">
            <v>40026</v>
          </cell>
          <cell r="F57">
            <v>3.5056836466666663</v>
          </cell>
        </row>
        <row r="58">
          <cell r="E58">
            <v>40057</v>
          </cell>
          <cell r="F58">
            <v>3.3565733116666663</v>
          </cell>
        </row>
        <row r="59">
          <cell r="E59">
            <v>40087</v>
          </cell>
          <cell r="F59">
            <v>3.3637255424999992</v>
          </cell>
        </row>
        <row r="60">
          <cell r="E60">
            <v>40118</v>
          </cell>
          <cell r="F60">
            <v>3.1711396966666663</v>
          </cell>
        </row>
        <row r="61">
          <cell r="E61">
            <v>40148</v>
          </cell>
          <cell r="F61">
            <v>3.3298511108333333</v>
          </cell>
        </row>
        <row r="62">
          <cell r="E62">
            <v>40179</v>
          </cell>
          <cell r="F62">
            <v>3.372837745833333</v>
          </cell>
        </row>
        <row r="63">
          <cell r="E63">
            <v>40210</v>
          </cell>
          <cell r="F63">
            <v>3.4014292483333328</v>
          </cell>
        </row>
        <row r="64">
          <cell r="E64">
            <v>40238</v>
          </cell>
          <cell r="F64">
            <v>3.4011225399999994</v>
          </cell>
        </row>
        <row r="65">
          <cell r="E65">
            <v>40269</v>
          </cell>
          <cell r="F65">
            <v>3.5747369141666669</v>
          </cell>
        </row>
        <row r="66">
          <cell r="E66">
            <v>40299</v>
          </cell>
          <cell r="F66">
            <v>3.6702512700000001</v>
          </cell>
        </row>
        <row r="67">
          <cell r="E67">
            <v>40330</v>
          </cell>
          <cell r="F67">
            <v>3.8322496100000003</v>
          </cell>
        </row>
        <row r="68">
          <cell r="E68">
            <v>40360</v>
          </cell>
          <cell r="F68">
            <v>3.6646298500000003</v>
          </cell>
        </row>
        <row r="69">
          <cell r="E69">
            <v>40391</v>
          </cell>
          <cell r="F69">
            <v>3.9525709366666661</v>
          </cell>
        </row>
        <row r="70">
          <cell r="E70">
            <v>40422</v>
          </cell>
          <cell r="F70">
            <v>4.0785942099999994</v>
          </cell>
        </row>
        <row r="71">
          <cell r="E71">
            <v>40452</v>
          </cell>
          <cell r="F71">
            <v>4.2542029316666676</v>
          </cell>
        </row>
        <row r="72">
          <cell r="E72">
            <v>40483</v>
          </cell>
          <cell r="F72">
            <v>4.5087198141666676</v>
          </cell>
        </row>
        <row r="73">
          <cell r="E73">
            <v>40513</v>
          </cell>
          <cell r="F73">
            <v>4.2667090408333346</v>
          </cell>
        </row>
      </sheetData>
      <sheetData sheetId="15">
        <row r="13">
          <cell r="E13">
            <v>38687</v>
          </cell>
          <cell r="F13">
            <v>4.7969170566666666</v>
          </cell>
        </row>
        <row r="14">
          <cell r="E14">
            <v>38718</v>
          </cell>
          <cell r="F14">
            <v>4.8210058058333329</v>
          </cell>
        </row>
        <row r="15">
          <cell r="E15">
            <v>38749</v>
          </cell>
          <cell r="F15">
            <v>4.6090559058333325</v>
          </cell>
        </row>
        <row r="16">
          <cell r="E16">
            <v>38777</v>
          </cell>
          <cell r="F16">
            <v>4.8152592924999995</v>
          </cell>
        </row>
        <row r="17">
          <cell r="E17">
            <v>38808</v>
          </cell>
          <cell r="F17">
            <v>4.9909442149999999</v>
          </cell>
        </row>
        <row r="18">
          <cell r="E18">
            <v>38838</v>
          </cell>
          <cell r="F18">
            <v>5.2051209924999986</v>
          </cell>
        </row>
        <row r="19">
          <cell r="E19">
            <v>38869</v>
          </cell>
          <cell r="F19">
            <v>5.2376206941666661</v>
          </cell>
        </row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5.1900471141666671</v>
          </cell>
        </row>
        <row r="22">
          <cell r="E22">
            <v>38961</v>
          </cell>
          <cell r="F22">
            <v>5.6737338158333337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6.6155889499999994</v>
          </cell>
        </row>
        <row r="25">
          <cell r="E25">
            <v>39052</v>
          </cell>
          <cell r="F25">
            <v>6.3001998525000005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6.1659045741666674</v>
          </cell>
        </row>
        <row r="28">
          <cell r="E28">
            <v>39142</v>
          </cell>
          <cell r="F28">
            <v>5.7486739316666666</v>
          </cell>
        </row>
        <row r="29">
          <cell r="E29">
            <v>39173</v>
          </cell>
          <cell r="F29">
            <v>5.6612320499999997</v>
          </cell>
        </row>
        <row r="30">
          <cell r="E30">
            <v>39203</v>
          </cell>
          <cell r="F30">
            <v>6.9901607524999987</v>
          </cell>
        </row>
        <row r="31">
          <cell r="E31">
            <v>39234</v>
          </cell>
          <cell r="F31">
            <v>7.534397710833332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7.8023574366666653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9.7975257866666663</v>
          </cell>
        </row>
        <row r="36">
          <cell r="E36">
            <v>39387</v>
          </cell>
          <cell r="F36">
            <v>9.7852194216666657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11.377197974166664</v>
          </cell>
        </row>
        <row r="39">
          <cell r="E39">
            <v>39479</v>
          </cell>
          <cell r="F39">
            <v>12.315235765833334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13.089189264166672</v>
          </cell>
        </row>
        <row r="43">
          <cell r="E43">
            <v>39600</v>
          </cell>
          <cell r="F43">
            <v>13.064637152500003</v>
          </cell>
        </row>
        <row r="44">
          <cell r="E44">
            <v>39630</v>
          </cell>
          <cell r="F44">
            <v>14.40705636916667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13.094424145833331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13.745380135000003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13.229529512500001</v>
          </cell>
        </row>
        <row r="53">
          <cell r="E53">
            <v>39904</v>
          </cell>
          <cell r="F53">
            <v>13.163403264999999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13.475401914166666</v>
          </cell>
        </row>
        <row r="56">
          <cell r="E56">
            <v>39995</v>
          </cell>
          <cell r="F56">
            <v>12.997330274166664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11.768123214166669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9.6580224500000007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9.0703149408333328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8.3313227641666661</v>
          </cell>
        </row>
      </sheetData>
      <sheetData sheetId="16">
        <row r="13">
          <cell r="E13">
            <v>38687</v>
          </cell>
          <cell r="F13">
            <v>22.306488811666664</v>
          </cell>
        </row>
        <row r="14">
          <cell r="E14">
            <v>38718</v>
          </cell>
          <cell r="F14">
            <v>22.691685099999997</v>
          </cell>
        </row>
        <row r="15">
          <cell r="E15">
            <v>38749</v>
          </cell>
          <cell r="F15">
            <v>22.881291703333332</v>
          </cell>
        </row>
        <row r="16">
          <cell r="E16">
            <v>38777</v>
          </cell>
          <cell r="F16">
            <v>23.538267169166669</v>
          </cell>
        </row>
        <row r="17">
          <cell r="E17">
            <v>38808</v>
          </cell>
          <cell r="F17">
            <v>23.655917431666666</v>
          </cell>
        </row>
        <row r="18">
          <cell r="E18">
            <v>38838</v>
          </cell>
          <cell r="F18">
            <v>24.348615812500004</v>
          </cell>
        </row>
        <row r="19">
          <cell r="E19">
            <v>38869</v>
          </cell>
          <cell r="F19">
            <v>24.924733961666675</v>
          </cell>
        </row>
        <row r="20">
          <cell r="E20">
            <v>38899</v>
          </cell>
          <cell r="F20">
            <v>25.209385752500001</v>
          </cell>
        </row>
        <row r="21">
          <cell r="E21">
            <v>38930</v>
          </cell>
          <cell r="F21">
            <v>25.661481659166672</v>
          </cell>
        </row>
        <row r="22">
          <cell r="E22">
            <v>38961</v>
          </cell>
          <cell r="F22">
            <v>25.755806460000013</v>
          </cell>
        </row>
        <row r="23">
          <cell r="E23">
            <v>38991</v>
          </cell>
          <cell r="F23">
            <v>26.465910060833341</v>
          </cell>
        </row>
        <row r="24">
          <cell r="E24">
            <v>39022</v>
          </cell>
          <cell r="F24">
            <v>26.560971440000003</v>
          </cell>
        </row>
        <row r="25">
          <cell r="E25">
            <v>39052</v>
          </cell>
          <cell r="F25">
            <v>26.569681256666669</v>
          </cell>
        </row>
        <row r="26">
          <cell r="E26">
            <v>39083</v>
          </cell>
          <cell r="F26">
            <v>26.619972046666671</v>
          </cell>
        </row>
        <row r="27">
          <cell r="E27">
            <v>39114</v>
          </cell>
          <cell r="F27">
            <v>26.978025706666667</v>
          </cell>
        </row>
        <row r="28">
          <cell r="E28">
            <v>39142</v>
          </cell>
          <cell r="F28">
            <v>26.726375503333333</v>
          </cell>
        </row>
        <row r="29">
          <cell r="E29">
            <v>39173</v>
          </cell>
          <cell r="F29">
            <v>27.208525604999995</v>
          </cell>
        </row>
        <row r="30">
          <cell r="E30">
            <v>39203</v>
          </cell>
          <cell r="F30">
            <v>26.937707599166661</v>
          </cell>
        </row>
        <row r="31">
          <cell r="E31">
            <v>39234</v>
          </cell>
          <cell r="F31">
            <v>26.482191577499986</v>
          </cell>
        </row>
        <row r="32">
          <cell r="E32">
            <v>39264</v>
          </cell>
          <cell r="F32">
            <v>26.321980657499989</v>
          </cell>
        </row>
        <row r="33">
          <cell r="E33">
            <v>39295</v>
          </cell>
          <cell r="F33">
            <v>26.087757795833323</v>
          </cell>
        </row>
        <row r="34">
          <cell r="E34">
            <v>39326</v>
          </cell>
          <cell r="F34">
            <v>25.937468499166652</v>
          </cell>
        </row>
        <row r="35">
          <cell r="E35">
            <v>39356</v>
          </cell>
          <cell r="F35">
            <v>25.467568772499988</v>
          </cell>
        </row>
        <row r="36">
          <cell r="E36">
            <v>39387</v>
          </cell>
          <cell r="F36">
            <v>25.433588402499996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25.901864328333335</v>
          </cell>
        </row>
        <row r="39">
          <cell r="E39">
            <v>39479</v>
          </cell>
          <cell r="F39">
            <v>25.320692311666679</v>
          </cell>
        </row>
        <row r="40">
          <cell r="E40">
            <v>39508</v>
          </cell>
          <cell r="F40">
            <v>26.06921443000002</v>
          </cell>
        </row>
        <row r="41">
          <cell r="E41">
            <v>39539</v>
          </cell>
          <cell r="F41">
            <v>26.341984237500014</v>
          </cell>
        </row>
        <row r="42">
          <cell r="E42">
            <v>39569</v>
          </cell>
          <cell r="F42">
            <v>26.636400589166687</v>
          </cell>
        </row>
        <row r="43">
          <cell r="E43">
            <v>39600</v>
          </cell>
          <cell r="F43">
            <v>27.91171344250002</v>
          </cell>
        </row>
        <row r="44">
          <cell r="E44">
            <v>39630</v>
          </cell>
          <cell r="F44">
            <v>29.250769045833351</v>
          </cell>
        </row>
        <row r="45">
          <cell r="E45">
            <v>39661</v>
          </cell>
          <cell r="F45">
            <v>30.117156851666689</v>
          </cell>
        </row>
        <row r="46">
          <cell r="E46">
            <v>39692</v>
          </cell>
          <cell r="F46">
            <v>30.83870488666669</v>
          </cell>
        </row>
        <row r="47">
          <cell r="E47">
            <v>39722</v>
          </cell>
          <cell r="F47">
            <v>32.672427285833365</v>
          </cell>
        </row>
        <row r="48">
          <cell r="E48">
            <v>39753</v>
          </cell>
          <cell r="F48">
            <v>33.757828150833355</v>
          </cell>
        </row>
        <row r="49">
          <cell r="E49">
            <v>39783</v>
          </cell>
          <cell r="F49">
            <v>35.128904274166679</v>
          </cell>
        </row>
        <row r="50">
          <cell r="E50">
            <v>39814</v>
          </cell>
          <cell r="F50">
            <v>35.940557754166676</v>
          </cell>
        </row>
        <row r="51">
          <cell r="E51">
            <v>39845</v>
          </cell>
          <cell r="F51">
            <v>36.423832058333339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35.681320562499998</v>
          </cell>
        </row>
        <row r="54">
          <cell r="E54">
            <v>39934</v>
          </cell>
          <cell r="F54">
            <v>35.727992719166657</v>
          </cell>
        </row>
        <row r="55">
          <cell r="E55">
            <v>39965</v>
          </cell>
          <cell r="F55">
            <v>34.932810733333326</v>
          </cell>
        </row>
        <row r="56">
          <cell r="E56">
            <v>39995</v>
          </cell>
          <cell r="F56">
            <v>33.759985304999994</v>
          </cell>
        </row>
        <row r="57">
          <cell r="E57">
            <v>40026</v>
          </cell>
          <cell r="F57">
            <v>32.562219945833327</v>
          </cell>
        </row>
        <row r="58">
          <cell r="E58">
            <v>40057</v>
          </cell>
          <cell r="F58">
            <v>32.19937629166666</v>
          </cell>
        </row>
        <row r="59">
          <cell r="E59">
            <v>40087</v>
          </cell>
          <cell r="F59">
            <v>30.735366798333317</v>
          </cell>
        </row>
        <row r="60">
          <cell r="E60">
            <v>40118</v>
          </cell>
          <cell r="F60">
            <v>29.973160124999982</v>
          </cell>
        </row>
        <row r="61">
          <cell r="E61">
            <v>40148</v>
          </cell>
          <cell r="F61">
            <v>28.956642776666651</v>
          </cell>
        </row>
        <row r="62">
          <cell r="E62">
            <v>40179</v>
          </cell>
          <cell r="F62">
            <v>27.971363097499985</v>
          </cell>
        </row>
        <row r="63">
          <cell r="E63">
            <v>40210</v>
          </cell>
          <cell r="F63">
            <v>28.44449417749999</v>
          </cell>
        </row>
        <row r="64">
          <cell r="E64">
            <v>40238</v>
          </cell>
          <cell r="F64">
            <v>29.344832988333312</v>
          </cell>
        </row>
        <row r="65">
          <cell r="E65">
            <v>40269</v>
          </cell>
          <cell r="F65">
            <v>30.221206226666656</v>
          </cell>
        </row>
        <row r="66">
          <cell r="E66">
            <v>40299</v>
          </cell>
          <cell r="F66">
            <v>31.000651070833328</v>
          </cell>
        </row>
        <row r="67">
          <cell r="E67">
            <v>40330</v>
          </cell>
          <cell r="F67">
            <v>31.554452459166665</v>
          </cell>
        </row>
        <row r="68">
          <cell r="E68">
            <v>40360</v>
          </cell>
          <cell r="F68">
            <v>32.007247226666678</v>
          </cell>
        </row>
        <row r="69">
          <cell r="E69">
            <v>40391</v>
          </cell>
          <cell r="F69">
            <v>32.931455175000004</v>
          </cell>
        </row>
        <row r="70">
          <cell r="E70">
            <v>40422</v>
          </cell>
          <cell r="F70">
            <v>34.731126366666672</v>
          </cell>
        </row>
        <row r="71">
          <cell r="E71">
            <v>40452</v>
          </cell>
          <cell r="F71">
            <v>37.489088426666662</v>
          </cell>
        </row>
        <row r="72">
          <cell r="E72">
            <v>40483</v>
          </cell>
          <cell r="F72">
            <v>37.623091014999986</v>
          </cell>
        </row>
        <row r="73">
          <cell r="E73">
            <v>40513</v>
          </cell>
          <cell r="F73">
            <v>38.16979858583332</v>
          </cell>
        </row>
      </sheetData>
      <sheetData sheetId="17">
        <row r="13">
          <cell r="E13">
            <v>38687</v>
          </cell>
          <cell r="F13">
            <v>0.16126384666666668</v>
          </cell>
        </row>
        <row r="14">
          <cell r="E14">
            <v>38718</v>
          </cell>
          <cell r="F14">
            <v>0.17409489916666668</v>
          </cell>
        </row>
        <row r="15">
          <cell r="E15">
            <v>38749</v>
          </cell>
          <cell r="F15">
            <v>0.19088706583333334</v>
          </cell>
        </row>
        <row r="16">
          <cell r="E16">
            <v>38777</v>
          </cell>
          <cell r="F16">
            <v>0.21803870249999999</v>
          </cell>
        </row>
        <row r="17">
          <cell r="E17">
            <v>38808</v>
          </cell>
          <cell r="F17">
            <v>0.28288098500000003</v>
          </cell>
        </row>
        <row r="18">
          <cell r="E18">
            <v>38838</v>
          </cell>
          <cell r="F18">
            <v>0.28791001000000005</v>
          </cell>
        </row>
        <row r="19">
          <cell r="E19">
            <v>38869</v>
          </cell>
          <cell r="F19">
            <v>0.29382528083333337</v>
          </cell>
        </row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0.36964719250000005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0.35664041083333342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0.35662525583333338</v>
          </cell>
        </row>
        <row r="27">
          <cell r="E27">
            <v>39114</v>
          </cell>
          <cell r="F27">
            <v>0.35934955083333336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0.29684871499999999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0.44422624166666669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0.32933263749999997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0.21624138416666663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0.19368306583333336</v>
          </cell>
        </row>
        <row r="59">
          <cell r="E59">
            <v>40087</v>
          </cell>
          <cell r="F59">
            <v>0.1811804766666667</v>
          </cell>
        </row>
        <row r="60">
          <cell r="E60">
            <v>40118</v>
          </cell>
          <cell r="F60">
            <v>0.17735486750000004</v>
          </cell>
        </row>
        <row r="61">
          <cell r="E61">
            <v>40148</v>
          </cell>
          <cell r="F61">
            <v>0.18411662500000003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  <row r="72">
          <cell r="E72">
            <v>40483</v>
          </cell>
          <cell r="F72">
            <v>0.33061557666666669</v>
          </cell>
        </row>
        <row r="73">
          <cell r="E73">
            <v>40513</v>
          </cell>
          <cell r="F73">
            <v>0.36039572583333329</v>
          </cell>
        </row>
      </sheetData>
      <sheetData sheetId="18">
        <row r="13">
          <cell r="E13">
            <v>38687</v>
          </cell>
          <cell r="F13">
            <v>1.4536320949999997</v>
          </cell>
        </row>
        <row r="14">
          <cell r="E14">
            <v>38718</v>
          </cell>
          <cell r="F14">
            <v>1.4398308283333332</v>
          </cell>
        </row>
        <row r="15">
          <cell r="E15">
            <v>38749</v>
          </cell>
          <cell r="F15">
            <v>1.4206068874999997</v>
          </cell>
        </row>
        <row r="16">
          <cell r="E16">
            <v>38777</v>
          </cell>
          <cell r="F16">
            <v>1.4100804241666667</v>
          </cell>
        </row>
        <row r="17">
          <cell r="E17">
            <v>38808</v>
          </cell>
          <cell r="F17">
            <v>1.3888855</v>
          </cell>
        </row>
        <row r="18">
          <cell r="E18">
            <v>38838</v>
          </cell>
          <cell r="F18">
            <v>1.453361359166667</v>
          </cell>
        </row>
        <row r="19">
          <cell r="E19">
            <v>38869</v>
          </cell>
          <cell r="F19">
            <v>1.5265553025000003</v>
          </cell>
        </row>
        <row r="20">
          <cell r="E20">
            <v>38899</v>
          </cell>
          <cell r="F20">
            <v>1.5182680441666669</v>
          </cell>
        </row>
        <row r="21">
          <cell r="E21">
            <v>38930</v>
          </cell>
          <cell r="F21">
            <v>1.5398997075000003</v>
          </cell>
        </row>
        <row r="22">
          <cell r="E22">
            <v>38961</v>
          </cell>
          <cell r="F22">
            <v>1.6127014758333338</v>
          </cell>
        </row>
        <row r="23">
          <cell r="E23">
            <v>38991</v>
          </cell>
          <cell r="F23">
            <v>1.6968731850000003</v>
          </cell>
        </row>
        <row r="24">
          <cell r="E24">
            <v>39022</v>
          </cell>
          <cell r="F24">
            <v>1.7472626200000001</v>
          </cell>
        </row>
        <row r="25">
          <cell r="E25">
            <v>39052</v>
          </cell>
          <cell r="F25">
            <v>1.809076069166667</v>
          </cell>
        </row>
        <row r="26">
          <cell r="E26">
            <v>39083</v>
          </cell>
          <cell r="F26">
            <v>1.8536975233333335</v>
          </cell>
        </row>
        <row r="27">
          <cell r="E27">
            <v>39114</v>
          </cell>
          <cell r="F27">
            <v>1.8948409925000005</v>
          </cell>
        </row>
        <row r="28">
          <cell r="E28">
            <v>39142</v>
          </cell>
          <cell r="F28">
            <v>1.9356106875000003</v>
          </cell>
        </row>
        <row r="29">
          <cell r="E29">
            <v>39173</v>
          </cell>
          <cell r="F29">
            <v>1.9527234166666665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1.9176841524999995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2.0331439199999997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2.3633594899999997</v>
          </cell>
        </row>
        <row r="38">
          <cell r="E38">
            <v>39448</v>
          </cell>
          <cell r="F38">
            <v>2.4156356116666662</v>
          </cell>
        </row>
        <row r="39">
          <cell r="E39">
            <v>39479</v>
          </cell>
          <cell r="F39">
            <v>2.4314363774999994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3.0987788783333339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3.3691289400000008</v>
          </cell>
        </row>
        <row r="46">
          <cell r="E46">
            <v>39692</v>
          </cell>
          <cell r="F46">
            <v>3.4467020808333335</v>
          </cell>
        </row>
        <row r="47">
          <cell r="E47">
            <v>39722</v>
          </cell>
          <cell r="F47">
            <v>3.6326964741666679</v>
          </cell>
        </row>
        <row r="48">
          <cell r="E48">
            <v>39753</v>
          </cell>
          <cell r="F48">
            <v>3.642652149166667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3.8539702625000025</v>
          </cell>
        </row>
        <row r="55">
          <cell r="E55">
            <v>39965</v>
          </cell>
          <cell r="F55">
            <v>3.7288409166666692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3.6136421008333355</v>
          </cell>
        </row>
        <row r="58">
          <cell r="E58">
            <v>40057</v>
          </cell>
          <cell r="F58">
            <v>3.532039345833335</v>
          </cell>
        </row>
        <row r="59">
          <cell r="E59">
            <v>40087</v>
          </cell>
          <cell r="F59">
            <v>3.3421876458333339</v>
          </cell>
        </row>
        <row r="60">
          <cell r="E60">
            <v>40118</v>
          </cell>
          <cell r="F60">
            <v>3.3074765783333331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3.2239881191666657</v>
          </cell>
        </row>
        <row r="66">
          <cell r="E66">
            <v>40299</v>
          </cell>
          <cell r="F66">
            <v>3.2320739074999989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3.6181819033333333</v>
          </cell>
        </row>
        <row r="73">
          <cell r="E73">
            <v>40513</v>
          </cell>
          <cell r="F73">
            <v>3.673521543333333</v>
          </cell>
        </row>
      </sheetData>
      <sheetData sheetId="19">
        <row r="13">
          <cell r="E13">
            <v>38687</v>
          </cell>
          <cell r="F13">
            <v>4.8250393658333328</v>
          </cell>
        </row>
        <row r="14">
          <cell r="E14">
            <v>38718</v>
          </cell>
          <cell r="F14">
            <v>4.9497717424999994</v>
          </cell>
        </row>
        <row r="15">
          <cell r="E15">
            <v>38749</v>
          </cell>
          <cell r="F15">
            <v>4.9177034608333337</v>
          </cell>
        </row>
        <row r="16">
          <cell r="E16">
            <v>38777</v>
          </cell>
          <cell r="F16">
            <v>4.9013252783333323</v>
          </cell>
        </row>
        <row r="17">
          <cell r="E17">
            <v>38808</v>
          </cell>
          <cell r="F17">
            <v>4.8080949891666664</v>
          </cell>
        </row>
        <row r="18">
          <cell r="E18">
            <v>38838</v>
          </cell>
          <cell r="F18">
            <v>4.7428011083333326</v>
          </cell>
        </row>
        <row r="19">
          <cell r="E19">
            <v>38869</v>
          </cell>
          <cell r="F19">
            <v>4.7196977149999997</v>
          </cell>
        </row>
        <row r="20">
          <cell r="E20">
            <v>38899</v>
          </cell>
          <cell r="F20">
            <v>4.8350235616666657</v>
          </cell>
        </row>
        <row r="21">
          <cell r="E21">
            <v>38930</v>
          </cell>
          <cell r="F21">
            <v>4.8852886674999985</v>
          </cell>
        </row>
        <row r="22">
          <cell r="E22">
            <v>38961</v>
          </cell>
          <cell r="F22">
            <v>4.853352928333333</v>
          </cell>
        </row>
        <row r="23">
          <cell r="E23">
            <v>38991</v>
          </cell>
          <cell r="F23">
            <v>4.9833243625000003</v>
          </cell>
        </row>
        <row r="24">
          <cell r="E24">
            <v>39022</v>
          </cell>
          <cell r="F24">
            <v>4.9532247758333332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</v>
          </cell>
        </row>
        <row r="28">
          <cell r="E28">
            <v>39142</v>
          </cell>
          <cell r="F28">
            <v>4.8415136925000013</v>
          </cell>
        </row>
        <row r="29">
          <cell r="E29">
            <v>39173</v>
          </cell>
          <cell r="F29">
            <v>4.8205185458333348</v>
          </cell>
        </row>
        <row r="30">
          <cell r="E30">
            <v>39203</v>
          </cell>
          <cell r="F30">
            <v>4.9346429966666676</v>
          </cell>
        </row>
        <row r="31">
          <cell r="E31">
            <v>39234</v>
          </cell>
          <cell r="F31">
            <v>4.9725183741666674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5.1471552675000005</v>
          </cell>
        </row>
        <row r="36">
          <cell r="E36">
            <v>39387</v>
          </cell>
          <cell r="F36">
            <v>5.241322610000001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5.7698934966666675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6.4864422725000006</v>
          </cell>
        </row>
        <row r="46">
          <cell r="E46">
            <v>39692</v>
          </cell>
          <cell r="F46">
            <v>6.6513768375000026</v>
          </cell>
        </row>
        <row r="47">
          <cell r="E47">
            <v>39722</v>
          </cell>
          <cell r="F47">
            <v>7.1667880983333383</v>
          </cell>
        </row>
        <row r="48">
          <cell r="E48">
            <v>39753</v>
          </cell>
          <cell r="F48">
            <v>7.6049856050000031</v>
          </cell>
        </row>
        <row r="49">
          <cell r="E49">
            <v>39783</v>
          </cell>
          <cell r="F49">
            <v>7.9032607616666688</v>
          </cell>
        </row>
        <row r="50">
          <cell r="E50">
            <v>39814</v>
          </cell>
          <cell r="F50">
            <v>8.121077575833338</v>
          </cell>
        </row>
        <row r="51">
          <cell r="E51">
            <v>39845</v>
          </cell>
          <cell r="F51">
            <v>8.3566736600000038</v>
          </cell>
        </row>
        <row r="52">
          <cell r="E52">
            <v>39873</v>
          </cell>
          <cell r="F52">
            <v>8.5337987900000041</v>
          </cell>
        </row>
        <row r="53">
          <cell r="E53">
            <v>39904</v>
          </cell>
          <cell r="F53">
            <v>8.4635278041666684</v>
          </cell>
        </row>
        <row r="54">
          <cell r="E54">
            <v>39934</v>
          </cell>
          <cell r="F54">
            <v>8.4661094733333346</v>
          </cell>
        </row>
        <row r="55">
          <cell r="E55">
            <v>39965</v>
          </cell>
          <cell r="F55">
            <v>8.4945351616666684</v>
          </cell>
        </row>
        <row r="56">
          <cell r="E56">
            <v>39995</v>
          </cell>
          <cell r="F56">
            <v>8.4736931450000004</v>
          </cell>
        </row>
        <row r="57">
          <cell r="E57">
            <v>40026</v>
          </cell>
          <cell r="F57">
            <v>8.2720696100000008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7.9874278283333311</v>
          </cell>
        </row>
        <row r="60">
          <cell r="E60">
            <v>40118</v>
          </cell>
          <cell r="F60">
            <v>7.6020880349999977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7.3411747166666643</v>
          </cell>
        </row>
        <row r="63">
          <cell r="E63">
            <v>40210</v>
          </cell>
          <cell r="F63">
            <v>7.4672699991666676</v>
          </cell>
        </row>
        <row r="64">
          <cell r="E64">
            <v>40238</v>
          </cell>
          <cell r="F64">
            <v>7.8083635675000025</v>
          </cell>
        </row>
        <row r="65">
          <cell r="E65">
            <v>40269</v>
          </cell>
          <cell r="F65">
            <v>8.1700360308333355</v>
          </cell>
        </row>
        <row r="66">
          <cell r="E66">
            <v>40299</v>
          </cell>
          <cell r="F66">
            <v>8.3694598283333352</v>
          </cell>
        </row>
        <row r="67">
          <cell r="E67">
            <v>40330</v>
          </cell>
          <cell r="F67">
            <v>8.6157120250000006</v>
          </cell>
        </row>
        <row r="68">
          <cell r="E68">
            <v>40360</v>
          </cell>
          <cell r="F68">
            <v>8.8932741408333325</v>
          </cell>
        </row>
        <row r="69">
          <cell r="E69">
            <v>40391</v>
          </cell>
          <cell r="F69">
            <v>9.1521357716666678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9.9547276874999984</v>
          </cell>
        </row>
        <row r="72">
          <cell r="E72">
            <v>40483</v>
          </cell>
          <cell r="F72">
            <v>10.210645358333334</v>
          </cell>
        </row>
        <row r="73">
          <cell r="E73">
            <v>40513</v>
          </cell>
          <cell r="F73">
            <v>10.412174059166666</v>
          </cell>
        </row>
      </sheetData>
      <sheetData sheetId="20">
        <row r="13">
          <cell r="E13">
            <v>38687</v>
          </cell>
          <cell r="F13">
            <v>13.030774163333334</v>
          </cell>
        </row>
        <row r="14">
          <cell r="E14">
            <v>38718</v>
          </cell>
          <cell r="F14">
            <v>13.294160651666667</v>
          </cell>
        </row>
        <row r="15">
          <cell r="E15">
            <v>38749</v>
          </cell>
          <cell r="F15">
            <v>13.524751734166665</v>
          </cell>
        </row>
        <row r="16">
          <cell r="E16">
            <v>38777</v>
          </cell>
          <cell r="F16">
            <v>14.061585323333331</v>
          </cell>
        </row>
        <row r="17">
          <cell r="E17">
            <v>38808</v>
          </cell>
          <cell r="F17">
            <v>14.26736159</v>
          </cell>
        </row>
        <row r="18">
          <cell r="E18">
            <v>38838</v>
          </cell>
          <cell r="F18">
            <v>14.735227423333333</v>
          </cell>
        </row>
        <row r="19">
          <cell r="E19">
            <v>38869</v>
          </cell>
          <cell r="F19">
            <v>15.084290462500002</v>
          </cell>
        </row>
        <row r="20">
          <cell r="E20">
            <v>38899</v>
          </cell>
          <cell r="F20">
            <v>15.19982072083333</v>
          </cell>
        </row>
        <row r="21">
          <cell r="E21">
            <v>38930</v>
          </cell>
          <cell r="F21">
            <v>15.350525810833332</v>
          </cell>
        </row>
        <row r="22">
          <cell r="E22">
            <v>38961</v>
          </cell>
          <cell r="F22">
            <v>15.253501369166665</v>
          </cell>
        </row>
        <row r="23">
          <cell r="E23">
            <v>38991</v>
          </cell>
          <cell r="F23">
            <v>15.536694150833332</v>
          </cell>
        </row>
        <row r="24">
          <cell r="E24">
            <v>39022</v>
          </cell>
          <cell r="F24">
            <v>15.537694394999997</v>
          </cell>
        </row>
        <row r="25">
          <cell r="E25">
            <v>39052</v>
          </cell>
          <cell r="F25">
            <v>15.510728574999996</v>
          </cell>
        </row>
        <row r="26">
          <cell r="E26">
            <v>39083</v>
          </cell>
          <cell r="F26">
            <v>15.560067352499997</v>
          </cell>
        </row>
        <row r="27">
          <cell r="E27">
            <v>39114</v>
          </cell>
          <cell r="F27">
            <v>15.762947389999999</v>
          </cell>
        </row>
        <row r="28">
          <cell r="E28">
            <v>39142</v>
          </cell>
          <cell r="F28">
            <v>15.644480734166663</v>
          </cell>
        </row>
        <row r="29">
          <cell r="E29">
            <v>39173</v>
          </cell>
          <cell r="F29">
            <v>16.151176863333333</v>
          </cell>
        </row>
        <row r="30">
          <cell r="E30">
            <v>39203</v>
          </cell>
          <cell r="F30">
            <v>15.979803668333332</v>
          </cell>
        </row>
        <row r="31">
          <cell r="E31">
            <v>39234</v>
          </cell>
          <cell r="F31">
            <v>15.605157124999996</v>
          </cell>
        </row>
        <row r="32">
          <cell r="E32">
            <v>39264</v>
          </cell>
          <cell r="F32">
            <v>15.378703954999997</v>
          </cell>
        </row>
        <row r="33">
          <cell r="E33">
            <v>39295</v>
          </cell>
          <cell r="F33">
            <v>15.212172785</v>
          </cell>
        </row>
        <row r="34">
          <cell r="E34">
            <v>39326</v>
          </cell>
          <cell r="F34">
            <v>15.090638920833333</v>
          </cell>
        </row>
        <row r="35">
          <cell r="E35">
            <v>39356</v>
          </cell>
          <cell r="F35">
            <v>14.543256968333331</v>
          </cell>
        </row>
        <row r="36">
          <cell r="E36">
            <v>39387</v>
          </cell>
          <cell r="F36">
            <v>14.320025574999997</v>
          </cell>
        </row>
        <row r="37">
          <cell r="E37">
            <v>39417</v>
          </cell>
          <cell r="F37">
            <v>14.469086648333331</v>
          </cell>
        </row>
        <row r="38">
          <cell r="E38">
            <v>39448</v>
          </cell>
          <cell r="F38">
            <v>14.267051519166664</v>
          </cell>
        </row>
        <row r="39">
          <cell r="E39">
            <v>39479</v>
          </cell>
          <cell r="F39">
            <v>13.663164091666664</v>
          </cell>
        </row>
        <row r="40">
          <cell r="E40">
            <v>39508</v>
          </cell>
          <cell r="F40">
            <v>14.10579798333333</v>
          </cell>
        </row>
        <row r="41">
          <cell r="E41">
            <v>39539</v>
          </cell>
          <cell r="F41">
            <v>13.859266193333331</v>
          </cell>
        </row>
        <row r="42">
          <cell r="E42">
            <v>39569</v>
          </cell>
          <cell r="F42">
            <v>13.881801153333333</v>
          </cell>
        </row>
        <row r="43">
          <cell r="E43">
            <v>39600</v>
          </cell>
          <cell r="F43">
            <v>14.323623255833333</v>
          </cell>
        </row>
        <row r="44">
          <cell r="E44">
            <v>39630</v>
          </cell>
          <cell r="F44">
            <v>15.141273159166666</v>
          </cell>
        </row>
        <row r="45">
          <cell r="E45">
            <v>39661</v>
          </cell>
          <cell r="F45">
            <v>15.617255004166665</v>
          </cell>
        </row>
        <row r="46">
          <cell r="E46">
            <v>39692</v>
          </cell>
          <cell r="F46">
            <v>16.062979890000001</v>
          </cell>
        </row>
        <row r="47">
          <cell r="E47">
            <v>39722</v>
          </cell>
          <cell r="F47">
            <v>17.064838919166665</v>
          </cell>
        </row>
        <row r="48">
          <cell r="E48">
            <v>39753</v>
          </cell>
          <cell r="F48">
            <v>17.688935939999997</v>
          </cell>
        </row>
        <row r="49">
          <cell r="E49">
            <v>39783</v>
          </cell>
          <cell r="F49">
            <v>18.574947935833332</v>
          </cell>
        </row>
        <row r="50">
          <cell r="E50">
            <v>39814</v>
          </cell>
          <cell r="F50">
            <v>19.206144183333326</v>
          </cell>
        </row>
        <row r="51">
          <cell r="E51">
            <v>39845</v>
          </cell>
          <cell r="F51">
            <v>19.360846466666661</v>
          </cell>
        </row>
        <row r="52">
          <cell r="E52">
            <v>39873</v>
          </cell>
          <cell r="F52">
            <v>18.544429479166666</v>
          </cell>
        </row>
        <row r="53">
          <cell r="E53">
            <v>39904</v>
          </cell>
          <cell r="F53">
            <v>18.274804208333332</v>
          </cell>
        </row>
        <row r="54">
          <cell r="E54">
            <v>39934</v>
          </cell>
          <cell r="F54">
            <v>18.165376016666666</v>
          </cell>
        </row>
        <row r="55">
          <cell r="E55">
            <v>39965</v>
          </cell>
          <cell r="F55">
            <v>17.698717128333335</v>
          </cell>
        </row>
        <row r="56">
          <cell r="E56">
            <v>39995</v>
          </cell>
          <cell r="F56">
            <v>16.649930180833334</v>
          </cell>
        </row>
        <row r="57">
          <cell r="E57">
            <v>40026</v>
          </cell>
          <cell r="F57">
            <v>15.717514138333334</v>
          </cell>
        </row>
        <row r="58">
          <cell r="E58">
            <v>40057</v>
          </cell>
          <cell r="F58">
            <v>15.207555700833332</v>
          </cell>
        </row>
        <row r="59">
          <cell r="E59">
            <v>40087</v>
          </cell>
          <cell r="F59">
            <v>14.159478407500002</v>
          </cell>
        </row>
        <row r="60">
          <cell r="E60">
            <v>40118</v>
          </cell>
          <cell r="F60">
            <v>13.756977645000001</v>
          </cell>
        </row>
        <row r="61">
          <cell r="E61">
            <v>40148</v>
          </cell>
          <cell r="F61">
            <v>12.826695498333331</v>
          </cell>
        </row>
        <row r="62">
          <cell r="E62">
            <v>40179</v>
          </cell>
          <cell r="F62">
            <v>12.116776767499998</v>
          </cell>
        </row>
        <row r="63">
          <cell r="E63">
            <v>40210</v>
          </cell>
          <cell r="F63">
            <v>12.524692974166664</v>
          </cell>
        </row>
        <row r="64">
          <cell r="E64">
            <v>40238</v>
          </cell>
          <cell r="F64">
            <v>13.191359079999998</v>
          </cell>
        </row>
        <row r="65">
          <cell r="E65">
            <v>40269</v>
          </cell>
          <cell r="F65">
            <v>13.710258168333331</v>
          </cell>
        </row>
        <row r="66">
          <cell r="E66">
            <v>40299</v>
          </cell>
          <cell r="F66">
            <v>14.448249940833328</v>
          </cell>
        </row>
        <row r="67">
          <cell r="E67">
            <v>40330</v>
          </cell>
          <cell r="F67">
            <v>14.787538654999997</v>
          </cell>
        </row>
        <row r="68">
          <cell r="E68">
            <v>40360</v>
          </cell>
          <cell r="F68">
            <v>15.029905466666662</v>
          </cell>
        </row>
        <row r="69">
          <cell r="E69">
            <v>40391</v>
          </cell>
          <cell r="F69">
            <v>15.61314302166666</v>
          </cell>
        </row>
        <row r="70">
          <cell r="E70">
            <v>40422</v>
          </cell>
          <cell r="F70">
            <v>16.714314942499996</v>
          </cell>
        </row>
        <row r="71">
          <cell r="E71">
            <v>40452</v>
          </cell>
          <cell r="F71">
            <v>17.724543054999994</v>
          </cell>
        </row>
        <row r="72">
          <cell r="E72">
            <v>40483</v>
          </cell>
          <cell r="F72">
            <v>17.568125190833332</v>
          </cell>
        </row>
        <row r="73">
          <cell r="E73">
            <v>40513</v>
          </cell>
          <cell r="F73">
            <v>17.869587951666666</v>
          </cell>
        </row>
      </sheetData>
      <sheetData sheetId="21">
        <row r="13">
          <cell r="E13">
            <v>38687</v>
          </cell>
          <cell r="F13">
            <v>2.2414242799999999</v>
          </cell>
        </row>
        <row r="14">
          <cell r="E14">
            <v>38718</v>
          </cell>
          <cell r="F14">
            <v>2.2403919691666667</v>
          </cell>
        </row>
        <row r="15">
          <cell r="E15">
            <v>38749</v>
          </cell>
          <cell r="F15">
            <v>2.2478630483333331</v>
          </cell>
        </row>
        <row r="16">
          <cell r="E16">
            <v>38777</v>
          </cell>
          <cell r="F16">
            <v>2.3681742250000002</v>
          </cell>
        </row>
        <row r="17">
          <cell r="E17">
            <v>38808</v>
          </cell>
          <cell r="F17">
            <v>2.3379756533333333</v>
          </cell>
        </row>
        <row r="18">
          <cell r="E18">
            <v>38838</v>
          </cell>
          <cell r="F18">
            <v>2.5564576608333334</v>
          </cell>
        </row>
        <row r="19">
          <cell r="E19">
            <v>38869</v>
          </cell>
          <cell r="F19">
            <v>2.7129740674999998</v>
          </cell>
        </row>
        <row r="20">
          <cell r="E20">
            <v>38899</v>
          </cell>
          <cell r="F20">
            <v>2.7737501166666667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3.0741632425000005</v>
          </cell>
        </row>
        <row r="23">
          <cell r="E23">
            <v>38991</v>
          </cell>
          <cell r="F23">
            <v>3.3025945049999996</v>
          </cell>
        </row>
        <row r="24">
          <cell r="E24">
            <v>39022</v>
          </cell>
          <cell r="F24">
            <v>3.3736925708333332</v>
          </cell>
        </row>
        <row r="25">
          <cell r="E25">
            <v>39052</v>
          </cell>
          <cell r="F25">
            <v>3.3623539791666666</v>
          </cell>
        </row>
        <row r="26">
          <cell r="E26">
            <v>39083</v>
          </cell>
          <cell r="F26">
            <v>3.3751075658333334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3.3927290833333328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</v>
          </cell>
        </row>
        <row r="34">
          <cell r="E34">
            <v>39326</v>
          </cell>
          <cell r="F34">
            <v>2.7517250583333333</v>
          </cell>
        </row>
        <row r="35">
          <cell r="E35">
            <v>39356</v>
          </cell>
          <cell r="F35">
            <v>2.5716650841666668</v>
          </cell>
        </row>
        <row r="36">
          <cell r="E36">
            <v>39387</v>
          </cell>
          <cell r="F36">
            <v>2.5630517916666671</v>
          </cell>
        </row>
        <row r="37">
          <cell r="E37">
            <v>39417</v>
          </cell>
          <cell r="F37">
            <v>2.645647573333334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2.7732230650000003</v>
          </cell>
        </row>
        <row r="40">
          <cell r="E40">
            <v>39508</v>
          </cell>
          <cell r="F40">
            <v>2.8158863808333336</v>
          </cell>
        </row>
        <row r="41">
          <cell r="E41">
            <v>39539</v>
          </cell>
          <cell r="F41">
            <v>2.9047652675000002</v>
          </cell>
        </row>
        <row r="42">
          <cell r="E42">
            <v>39569</v>
          </cell>
          <cell r="F42">
            <v>2.8983804950000001</v>
          </cell>
        </row>
        <row r="43">
          <cell r="E43">
            <v>39600</v>
          </cell>
          <cell r="F43">
            <v>3.1844278033333335</v>
          </cell>
        </row>
        <row r="44">
          <cell r="E44">
            <v>39630</v>
          </cell>
          <cell r="F44">
            <v>3.2722760475000001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3.5724137149999997</v>
          </cell>
        </row>
        <row r="47">
          <cell r="E47">
            <v>39722</v>
          </cell>
          <cell r="F47">
            <v>3.7073510866666664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3.8137848216666659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4.1193899283333337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4.5264402874999998</v>
          </cell>
        </row>
        <row r="64">
          <cell r="E64">
            <v>40238</v>
          </cell>
          <cell r="F64">
            <v>4.3431255991666662</v>
          </cell>
        </row>
        <row r="65">
          <cell r="E65">
            <v>40269</v>
          </cell>
          <cell r="F65">
            <v>4.1804316391666658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3.9059437466666664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5.1566479475000007</v>
          </cell>
        </row>
        <row r="72">
          <cell r="E72">
            <v>40483</v>
          </cell>
          <cell r="F72">
            <v>5.1669510050000014</v>
          </cell>
        </row>
        <row r="73">
          <cell r="E73">
            <v>40513</v>
          </cell>
          <cell r="F73">
            <v>5.106375152500001</v>
          </cell>
        </row>
      </sheetData>
      <sheetData sheetId="22">
        <row r="13">
          <cell r="E13">
            <v>38687</v>
          </cell>
          <cell r="F13">
            <v>45.171871737499991</v>
          </cell>
        </row>
        <row r="14">
          <cell r="E14">
            <v>38718</v>
          </cell>
          <cell r="F14">
            <v>45.951070667499984</v>
          </cell>
        </row>
        <row r="15">
          <cell r="E15">
            <v>38749</v>
          </cell>
          <cell r="F15">
            <v>48.192281390833323</v>
          </cell>
        </row>
        <row r="16">
          <cell r="E16">
            <v>38777</v>
          </cell>
          <cell r="F16">
            <v>50.484646976666632</v>
          </cell>
        </row>
        <row r="17">
          <cell r="E17">
            <v>38808</v>
          </cell>
          <cell r="F17">
            <v>50.485210056666652</v>
          </cell>
        </row>
        <row r="18">
          <cell r="E18">
            <v>38838</v>
          </cell>
          <cell r="F18">
            <v>50.835225150833331</v>
          </cell>
        </row>
        <row r="19">
          <cell r="E19">
            <v>38869</v>
          </cell>
          <cell r="F19">
            <v>51.199179458333333</v>
          </cell>
        </row>
        <row r="20">
          <cell r="E20">
            <v>38899</v>
          </cell>
          <cell r="F20">
            <v>51.493069476666655</v>
          </cell>
        </row>
        <row r="21">
          <cell r="E21">
            <v>38930</v>
          </cell>
          <cell r="F21">
            <v>53.317499474166659</v>
          </cell>
        </row>
        <row r="22">
          <cell r="E22">
            <v>38961</v>
          </cell>
          <cell r="F22">
            <v>55.048550365833343</v>
          </cell>
        </row>
        <row r="23">
          <cell r="E23">
            <v>38991</v>
          </cell>
          <cell r="F23">
            <v>57.611603047500012</v>
          </cell>
        </row>
        <row r="24">
          <cell r="E24">
            <v>39022</v>
          </cell>
          <cell r="F24">
            <v>60.095793292499998</v>
          </cell>
        </row>
        <row r="25">
          <cell r="E25">
            <v>39052</v>
          </cell>
          <cell r="F25">
            <v>62.353987021666661</v>
          </cell>
        </row>
        <row r="26">
          <cell r="E26">
            <v>39083</v>
          </cell>
          <cell r="F26">
            <v>63.949717029166656</v>
          </cell>
        </row>
        <row r="27">
          <cell r="E27">
            <v>39114</v>
          </cell>
          <cell r="F27">
            <v>65.595158850833329</v>
          </cell>
        </row>
        <row r="28">
          <cell r="E28">
            <v>39142</v>
          </cell>
          <cell r="F28">
            <v>68.041004352499996</v>
          </cell>
        </row>
        <row r="29">
          <cell r="E29">
            <v>39173</v>
          </cell>
          <cell r="F29">
            <v>70.57508751666667</v>
          </cell>
        </row>
        <row r="30">
          <cell r="E30">
            <v>39203</v>
          </cell>
          <cell r="F30">
            <v>74.570555538333323</v>
          </cell>
        </row>
        <row r="31">
          <cell r="E31">
            <v>39234</v>
          </cell>
          <cell r="F31">
            <v>77.75068486166667</v>
          </cell>
        </row>
        <row r="32">
          <cell r="E32">
            <v>39264</v>
          </cell>
          <cell r="F32">
            <v>82.394450996666663</v>
          </cell>
        </row>
        <row r="33">
          <cell r="E33">
            <v>39295</v>
          </cell>
          <cell r="F33">
            <v>87.151205061666687</v>
          </cell>
        </row>
        <row r="34">
          <cell r="E34">
            <v>39326</v>
          </cell>
          <cell r="F34">
            <v>90.878683924166637</v>
          </cell>
        </row>
        <row r="35">
          <cell r="E35">
            <v>39356</v>
          </cell>
          <cell r="F35">
            <v>96.084488294999986</v>
          </cell>
        </row>
        <row r="36">
          <cell r="E36">
            <v>39387</v>
          </cell>
          <cell r="F36">
            <v>103.05068921416667</v>
          </cell>
        </row>
        <row r="37">
          <cell r="E37">
            <v>39417</v>
          </cell>
          <cell r="F37">
            <v>109.11022714249999</v>
          </cell>
        </row>
        <row r="38">
          <cell r="E38">
            <v>39448</v>
          </cell>
          <cell r="F38">
            <v>112.02680090500002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120.1384663308334</v>
          </cell>
        </row>
        <row r="42">
          <cell r="E42">
            <v>39569</v>
          </cell>
          <cell r="F42">
            <v>121.74114139916669</v>
          </cell>
        </row>
        <row r="43">
          <cell r="E43">
            <v>39600</v>
          </cell>
          <cell r="F43">
            <v>121.06276686333337</v>
          </cell>
        </row>
        <row r="44">
          <cell r="E44">
            <v>39630</v>
          </cell>
          <cell r="F44">
            <v>120.97074395083337</v>
          </cell>
        </row>
        <row r="45">
          <cell r="E45">
            <v>39661</v>
          </cell>
          <cell r="F45">
            <v>118.43014143333339</v>
          </cell>
        </row>
        <row r="46">
          <cell r="E46">
            <v>39692</v>
          </cell>
          <cell r="F46">
            <v>115.33356286666672</v>
          </cell>
        </row>
        <row r="47">
          <cell r="E47">
            <v>39722</v>
          </cell>
          <cell r="F47">
            <v>116.58430098166674</v>
          </cell>
        </row>
        <row r="48">
          <cell r="E48">
            <v>39753</v>
          </cell>
          <cell r="F48">
            <v>112.87927946833344</v>
          </cell>
        </row>
        <row r="49">
          <cell r="E49">
            <v>39783</v>
          </cell>
          <cell r="F49">
            <v>110.6893016075001</v>
          </cell>
        </row>
        <row r="50">
          <cell r="E50">
            <v>39814</v>
          </cell>
          <cell r="F50">
            <v>109.1073894958334</v>
          </cell>
        </row>
        <row r="51">
          <cell r="E51">
            <v>39845</v>
          </cell>
          <cell r="F51">
            <v>107.05737386833339</v>
          </cell>
        </row>
        <row r="52">
          <cell r="E52">
            <v>39873</v>
          </cell>
          <cell r="F52">
            <v>107.35083741250003</v>
          </cell>
        </row>
        <row r="53">
          <cell r="E53">
            <v>39904</v>
          </cell>
          <cell r="F53">
            <v>100.93407012833336</v>
          </cell>
        </row>
        <row r="54">
          <cell r="E54">
            <v>39934</v>
          </cell>
          <cell r="F54">
            <v>99.164111519999992</v>
          </cell>
        </row>
        <row r="55">
          <cell r="E55">
            <v>39965</v>
          </cell>
          <cell r="F55">
            <v>99.422705794166689</v>
          </cell>
        </row>
        <row r="56">
          <cell r="E56">
            <v>39995</v>
          </cell>
          <cell r="F56">
            <v>95.006824379166687</v>
          </cell>
        </row>
        <row r="57">
          <cell r="E57">
            <v>40026</v>
          </cell>
          <cell r="F57">
            <v>91.503335906666692</v>
          </cell>
        </row>
        <row r="58">
          <cell r="E58">
            <v>40057</v>
          </cell>
          <cell r="F58">
            <v>90.034921106666687</v>
          </cell>
        </row>
        <row r="59">
          <cell r="E59">
            <v>40087</v>
          </cell>
          <cell r="F59">
            <v>81.374432404166683</v>
          </cell>
        </row>
        <row r="60">
          <cell r="E60">
            <v>40118</v>
          </cell>
          <cell r="F60">
            <v>75.483086149999991</v>
          </cell>
        </row>
        <row r="61">
          <cell r="E61">
            <v>40148</v>
          </cell>
          <cell r="F61">
            <v>68.45559328749998</v>
          </cell>
        </row>
        <row r="62">
          <cell r="E62">
            <v>40179</v>
          </cell>
          <cell r="F62">
            <v>64.120771120000001</v>
          </cell>
        </row>
        <row r="63">
          <cell r="E63">
            <v>40210</v>
          </cell>
          <cell r="F63">
            <v>59.858429481666654</v>
          </cell>
        </row>
        <row r="64">
          <cell r="E64">
            <v>40238</v>
          </cell>
          <cell r="F64">
            <v>56.10499506</v>
          </cell>
        </row>
        <row r="65">
          <cell r="E65">
            <v>40269</v>
          </cell>
          <cell r="F65">
            <v>53.996618374166673</v>
          </cell>
        </row>
        <row r="66">
          <cell r="E66">
            <v>40299</v>
          </cell>
          <cell r="F66">
            <v>48.999321677500014</v>
          </cell>
        </row>
        <row r="67">
          <cell r="E67">
            <v>40330</v>
          </cell>
          <cell r="F67">
            <v>43.82051807666668</v>
          </cell>
        </row>
        <row r="68">
          <cell r="E68">
            <v>40360</v>
          </cell>
          <cell r="F68">
            <v>41.195742134166672</v>
          </cell>
        </row>
        <row r="69">
          <cell r="E69">
            <v>40391</v>
          </cell>
          <cell r="F69">
            <v>38.330820054166672</v>
          </cell>
        </row>
        <row r="70">
          <cell r="E70">
            <v>40422</v>
          </cell>
          <cell r="F70">
            <v>34.55777914916667</v>
          </cell>
        </row>
        <row r="71">
          <cell r="E71">
            <v>40452</v>
          </cell>
          <cell r="F71">
            <v>32.021908273333338</v>
          </cell>
        </row>
        <row r="72">
          <cell r="E72">
            <v>40483</v>
          </cell>
          <cell r="F72">
            <v>29.502944209166674</v>
          </cell>
        </row>
        <row r="73">
          <cell r="E73">
            <v>40513</v>
          </cell>
          <cell r="F73">
            <v>28.781717730000015</v>
          </cell>
        </row>
      </sheetData>
      <sheetData sheetId="23">
        <row r="13">
          <cell r="E13">
            <v>38687</v>
          </cell>
          <cell r="F13">
            <v>0.72245876166666678</v>
          </cell>
        </row>
        <row r="14">
          <cell r="E14">
            <v>38718</v>
          </cell>
          <cell r="F14">
            <v>0.76224539916666678</v>
          </cell>
        </row>
        <row r="15">
          <cell r="E15">
            <v>38749</v>
          </cell>
          <cell r="F15">
            <v>0.87054271750000023</v>
          </cell>
        </row>
        <row r="16">
          <cell r="E16">
            <v>38777</v>
          </cell>
          <cell r="F16">
            <v>0.59703881666666669</v>
          </cell>
        </row>
        <row r="17">
          <cell r="E17">
            <v>38808</v>
          </cell>
          <cell r="F17">
            <v>0.55783192333333331</v>
          </cell>
        </row>
        <row r="18">
          <cell r="E18">
            <v>38838</v>
          </cell>
          <cell r="F18">
            <v>0.54822302499999997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2.5617016408333333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2.8030510808333342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1.4281608366666667</v>
          </cell>
        </row>
        <row r="61">
          <cell r="E61">
            <v>40148</v>
          </cell>
          <cell r="F61">
            <v>1.1892034191666665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  <row r="72">
          <cell r="E72">
            <v>40483</v>
          </cell>
          <cell r="F72">
            <v>0.30639413249999997</v>
          </cell>
        </row>
        <row r="73">
          <cell r="E73">
            <v>40513</v>
          </cell>
          <cell r="F73">
            <v>0.2942072641666667</v>
          </cell>
        </row>
      </sheetData>
      <sheetData sheetId="24">
        <row r="13">
          <cell r="E13">
            <v>38687</v>
          </cell>
          <cell r="F13">
            <v>2.9392427141666668</v>
          </cell>
        </row>
        <row r="14">
          <cell r="E14">
            <v>38718</v>
          </cell>
          <cell r="F14">
            <v>2.8975642525</v>
          </cell>
        </row>
        <row r="15">
          <cell r="E15">
            <v>38749</v>
          </cell>
          <cell r="F15">
            <v>2.9039500433333334</v>
          </cell>
        </row>
        <row r="16">
          <cell r="E16">
            <v>38777</v>
          </cell>
          <cell r="F16">
            <v>3.0429698691666665</v>
          </cell>
        </row>
        <row r="17">
          <cell r="E17">
            <v>38808</v>
          </cell>
          <cell r="F17">
            <v>3.0878164091666664</v>
          </cell>
        </row>
        <row r="18">
          <cell r="E18">
            <v>38838</v>
          </cell>
          <cell r="F18">
            <v>3.0693009341666664</v>
          </cell>
        </row>
        <row r="19">
          <cell r="E19">
            <v>38869</v>
          </cell>
          <cell r="F19">
            <v>3.0721836191666658</v>
          </cell>
        </row>
        <row r="20">
          <cell r="E20">
            <v>38899</v>
          </cell>
          <cell r="F20">
            <v>3.2538335191666667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3.5239567616666663</v>
          </cell>
        </row>
        <row r="23">
          <cell r="E23">
            <v>38991</v>
          </cell>
          <cell r="F23">
            <v>3.5999993216666666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3.9155276550000018</v>
          </cell>
        </row>
        <row r="26">
          <cell r="E26">
            <v>39083</v>
          </cell>
          <cell r="F26">
            <v>4.0496541150000018</v>
          </cell>
        </row>
        <row r="27">
          <cell r="E27">
            <v>39114</v>
          </cell>
          <cell r="F27">
            <v>4.3764391525000015</v>
          </cell>
        </row>
        <row r="28">
          <cell r="E28">
            <v>39142</v>
          </cell>
          <cell r="F28">
            <v>4.5254605166666684</v>
          </cell>
        </row>
        <row r="29">
          <cell r="E29">
            <v>39173</v>
          </cell>
          <cell r="F29">
            <v>4.8338527525000012</v>
          </cell>
        </row>
        <row r="30">
          <cell r="E30">
            <v>39203</v>
          </cell>
          <cell r="F30">
            <v>5.1665184516666685</v>
          </cell>
        </row>
        <row r="31">
          <cell r="E31">
            <v>39234</v>
          </cell>
          <cell r="F31">
            <v>5.4130557000000019</v>
          </cell>
        </row>
        <row r="32">
          <cell r="E32">
            <v>39264</v>
          </cell>
          <cell r="F32">
            <v>5.7431692908333352</v>
          </cell>
        </row>
        <row r="33">
          <cell r="E33">
            <v>39295</v>
          </cell>
          <cell r="F33">
            <v>6.1489527225000016</v>
          </cell>
        </row>
        <row r="34">
          <cell r="E34">
            <v>39326</v>
          </cell>
          <cell r="F34">
            <v>6.6498048641666685</v>
          </cell>
        </row>
        <row r="35">
          <cell r="E35">
            <v>39356</v>
          </cell>
          <cell r="F35">
            <v>7.0946434566666694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7.7491360474999995</v>
          </cell>
        </row>
        <row r="38">
          <cell r="E38">
            <v>39448</v>
          </cell>
          <cell r="F38">
            <v>8.1924553424999988</v>
          </cell>
        </row>
        <row r="39">
          <cell r="E39">
            <v>39479</v>
          </cell>
          <cell r="F39">
            <v>8.4518365458333324</v>
          </cell>
        </row>
        <row r="40">
          <cell r="E40">
            <v>39508</v>
          </cell>
          <cell r="F40">
            <v>8.6582848408333337</v>
          </cell>
        </row>
        <row r="41">
          <cell r="E41">
            <v>39539</v>
          </cell>
          <cell r="F41">
            <v>9.1830702583333341</v>
          </cell>
        </row>
        <row r="42">
          <cell r="E42">
            <v>39569</v>
          </cell>
          <cell r="F42">
            <v>9.5639654616666672</v>
          </cell>
        </row>
        <row r="43">
          <cell r="E43">
            <v>39600</v>
          </cell>
          <cell r="F43">
            <v>10.103427743333334</v>
          </cell>
        </row>
        <row r="44">
          <cell r="E44">
            <v>39630</v>
          </cell>
          <cell r="F44">
            <v>10.4682793525</v>
          </cell>
        </row>
        <row r="45">
          <cell r="E45">
            <v>39661</v>
          </cell>
          <cell r="F45">
            <v>10.741363327499998</v>
          </cell>
        </row>
        <row r="46">
          <cell r="E46">
            <v>39692</v>
          </cell>
          <cell r="F46">
            <v>10.534449021666665</v>
          </cell>
        </row>
        <row r="47">
          <cell r="E47">
            <v>39722</v>
          </cell>
          <cell r="F47">
            <v>11.179894403333334</v>
          </cell>
        </row>
        <row r="48">
          <cell r="E48">
            <v>39753</v>
          </cell>
          <cell r="F48">
            <v>11.767832991666666</v>
          </cell>
        </row>
        <row r="49">
          <cell r="E49">
            <v>39783</v>
          </cell>
          <cell r="F49">
            <v>12.611879357500001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13.490847310833333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13.569552232500001</v>
          </cell>
        </row>
        <row r="54">
          <cell r="E54">
            <v>39934</v>
          </cell>
          <cell r="F54">
            <v>13.241491585000004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10.244719850000001</v>
          </cell>
        </row>
        <row r="61">
          <cell r="E61">
            <v>40148</v>
          </cell>
          <cell r="F61">
            <v>9.1610193200000012</v>
          </cell>
        </row>
        <row r="62">
          <cell r="E62">
            <v>40179</v>
          </cell>
          <cell r="F62">
            <v>8.4084240916666673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6.7385453600000025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6.1666290258333349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5.4603531700000021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</sheetData>
      <sheetData sheetId="25">
        <row r="13">
          <cell r="E13">
            <v>38687</v>
          </cell>
          <cell r="F13">
            <v>8.9585019158333363</v>
          </cell>
        </row>
        <row r="14">
          <cell r="E14">
            <v>38718</v>
          </cell>
          <cell r="F14">
            <v>9.2520013833333348</v>
          </cell>
        </row>
        <row r="15">
          <cell r="E15">
            <v>38749</v>
          </cell>
          <cell r="F15">
            <v>9.902457349166669</v>
          </cell>
        </row>
        <row r="16">
          <cell r="E16">
            <v>38777</v>
          </cell>
          <cell r="F16">
            <v>10.32210011666667</v>
          </cell>
        </row>
        <row r="17">
          <cell r="E17">
            <v>38808</v>
          </cell>
          <cell r="F17">
            <v>10.375909593333336</v>
          </cell>
        </row>
        <row r="18">
          <cell r="E18">
            <v>38838</v>
          </cell>
          <cell r="F18">
            <v>10.743968865000001</v>
          </cell>
        </row>
        <row r="19">
          <cell r="E19">
            <v>38869</v>
          </cell>
          <cell r="F19">
            <v>11.165343855000003</v>
          </cell>
        </row>
        <row r="20">
          <cell r="E20">
            <v>38899</v>
          </cell>
          <cell r="F20">
            <v>11.310735965833336</v>
          </cell>
        </row>
        <row r="21">
          <cell r="E21">
            <v>38930</v>
          </cell>
          <cell r="F21">
            <v>11.448187739166665</v>
          </cell>
        </row>
        <row r="22">
          <cell r="E22">
            <v>38961</v>
          </cell>
          <cell r="F22">
            <v>12.009154148333332</v>
          </cell>
        </row>
        <row r="23">
          <cell r="E23">
            <v>38991</v>
          </cell>
          <cell r="F23">
            <v>12.60606259666667</v>
          </cell>
        </row>
        <row r="24">
          <cell r="E24">
            <v>39022</v>
          </cell>
          <cell r="F24">
            <v>13.032698599999998</v>
          </cell>
        </row>
        <row r="25">
          <cell r="E25">
            <v>39052</v>
          </cell>
          <cell r="F25">
            <v>13.47823238583333</v>
          </cell>
        </row>
        <row r="26">
          <cell r="E26">
            <v>39083</v>
          </cell>
          <cell r="F26">
            <v>13.718651912499995</v>
          </cell>
        </row>
        <row r="27">
          <cell r="E27">
            <v>39114</v>
          </cell>
          <cell r="F27">
            <v>14.047229864999997</v>
          </cell>
        </row>
        <row r="28">
          <cell r="E28">
            <v>39142</v>
          </cell>
          <cell r="F28">
            <v>14.629952289999997</v>
          </cell>
        </row>
        <row r="29">
          <cell r="E29">
            <v>39173</v>
          </cell>
          <cell r="F29">
            <v>15.526387234166657</v>
          </cell>
        </row>
        <row r="30">
          <cell r="E30">
            <v>39203</v>
          </cell>
          <cell r="F30">
            <v>16.660483876666657</v>
          </cell>
        </row>
        <row r="31">
          <cell r="E31">
            <v>39234</v>
          </cell>
          <cell r="F31">
            <v>18.057757359166661</v>
          </cell>
        </row>
        <row r="32">
          <cell r="E32">
            <v>39264</v>
          </cell>
          <cell r="F32">
            <v>19.637595629999993</v>
          </cell>
        </row>
        <row r="33">
          <cell r="E33">
            <v>39295</v>
          </cell>
          <cell r="F33">
            <v>22.013453234166658</v>
          </cell>
        </row>
        <row r="34">
          <cell r="E34">
            <v>39326</v>
          </cell>
          <cell r="F34">
            <v>23.70310379999999</v>
          </cell>
        </row>
        <row r="35">
          <cell r="E35">
            <v>39356</v>
          </cell>
          <cell r="F35">
            <v>26.868568359166645</v>
          </cell>
        </row>
        <row r="36">
          <cell r="E36">
            <v>39387</v>
          </cell>
          <cell r="F36">
            <v>29.688209314166642</v>
          </cell>
        </row>
        <row r="37">
          <cell r="E37">
            <v>39417</v>
          </cell>
          <cell r="F37">
            <v>33.323858328333309</v>
          </cell>
        </row>
        <row r="38">
          <cell r="E38">
            <v>39448</v>
          </cell>
          <cell r="F38">
            <v>36.717323428333309</v>
          </cell>
        </row>
        <row r="39">
          <cell r="E39">
            <v>39479</v>
          </cell>
          <cell r="F39">
            <v>39.24542958916664</v>
          </cell>
        </row>
        <row r="40">
          <cell r="E40">
            <v>39508</v>
          </cell>
          <cell r="F40">
            <v>40.733612029999975</v>
          </cell>
        </row>
        <row r="41">
          <cell r="E41">
            <v>39539</v>
          </cell>
          <cell r="F41">
            <v>44.873172354999973</v>
          </cell>
        </row>
        <row r="42">
          <cell r="E42">
            <v>39569</v>
          </cell>
          <cell r="F42">
            <v>47.768658304999974</v>
          </cell>
        </row>
        <row r="43">
          <cell r="E43">
            <v>39600</v>
          </cell>
          <cell r="F43">
            <v>48.504138797499969</v>
          </cell>
        </row>
        <row r="44">
          <cell r="E44">
            <v>39630</v>
          </cell>
          <cell r="F44">
            <v>49.333551312499971</v>
          </cell>
        </row>
        <row r="45">
          <cell r="E45">
            <v>39661</v>
          </cell>
          <cell r="F45">
            <v>49.053593393333301</v>
          </cell>
        </row>
        <row r="46">
          <cell r="E46">
            <v>39692</v>
          </cell>
          <cell r="F46">
            <v>48.988728966666635</v>
          </cell>
        </row>
        <row r="47">
          <cell r="E47">
            <v>39722</v>
          </cell>
          <cell r="F47">
            <v>51.378016036666672</v>
          </cell>
        </row>
        <row r="48">
          <cell r="E48">
            <v>39753</v>
          </cell>
          <cell r="F48">
            <v>51.272131560833344</v>
          </cell>
        </row>
        <row r="49">
          <cell r="E49">
            <v>39783</v>
          </cell>
          <cell r="F49">
            <v>50.321825247499987</v>
          </cell>
        </row>
        <row r="50">
          <cell r="E50">
            <v>39814</v>
          </cell>
          <cell r="F50">
            <v>48.448406519999992</v>
          </cell>
        </row>
        <row r="51">
          <cell r="E51">
            <v>39845</v>
          </cell>
          <cell r="F51">
            <v>47.808061170833305</v>
          </cell>
        </row>
        <row r="52">
          <cell r="E52">
            <v>39873</v>
          </cell>
          <cell r="F52">
            <v>48.294979869999985</v>
          </cell>
        </row>
        <row r="53">
          <cell r="E53">
            <v>39904</v>
          </cell>
          <cell r="F53">
            <v>44.467606974999995</v>
          </cell>
        </row>
        <row r="54">
          <cell r="E54">
            <v>39934</v>
          </cell>
          <cell r="F54">
            <v>44.283996439166664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43.355471829166675</v>
          </cell>
        </row>
        <row r="57">
          <cell r="E57">
            <v>40026</v>
          </cell>
          <cell r="F57">
            <v>41.968183801666669</v>
          </cell>
        </row>
        <row r="58">
          <cell r="E58">
            <v>40057</v>
          </cell>
          <cell r="F58">
            <v>40.696879727500004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32.308958599166651</v>
          </cell>
        </row>
        <row r="61">
          <cell r="E61">
            <v>40148</v>
          </cell>
          <cell r="F61">
            <v>29.545250625833333</v>
          </cell>
        </row>
        <row r="62">
          <cell r="E62">
            <v>40179</v>
          </cell>
          <cell r="F62">
            <v>27.979783473333338</v>
          </cell>
        </row>
        <row r="63">
          <cell r="E63">
            <v>40210</v>
          </cell>
          <cell r="F63">
            <v>26.4481731875</v>
          </cell>
        </row>
        <row r="64">
          <cell r="E64">
            <v>40238</v>
          </cell>
          <cell r="F64">
            <v>24.277376261666671</v>
          </cell>
        </row>
        <row r="65">
          <cell r="E65">
            <v>40269</v>
          </cell>
          <cell r="F65">
            <v>23.537168062499997</v>
          </cell>
        </row>
        <row r="66">
          <cell r="E66">
            <v>40299</v>
          </cell>
          <cell r="F66">
            <v>20.036895266666658</v>
          </cell>
        </row>
        <row r="67">
          <cell r="E67">
            <v>40330</v>
          </cell>
          <cell r="F67">
            <v>17.320866797499988</v>
          </cell>
        </row>
        <row r="68">
          <cell r="E68">
            <v>40360</v>
          </cell>
          <cell r="F68">
            <v>16.439830814166658</v>
          </cell>
        </row>
        <row r="69">
          <cell r="E69">
            <v>40391</v>
          </cell>
          <cell r="F69">
            <v>15.572139845833329</v>
          </cell>
        </row>
        <row r="70">
          <cell r="E70">
            <v>40422</v>
          </cell>
          <cell r="F70">
            <v>14.576356732499997</v>
          </cell>
        </row>
        <row r="71">
          <cell r="E71">
            <v>40452</v>
          </cell>
          <cell r="F71">
            <v>13.731152785833332</v>
          </cell>
        </row>
        <row r="72">
          <cell r="E72">
            <v>40483</v>
          </cell>
          <cell r="F72">
            <v>13.182450066666663</v>
          </cell>
        </row>
        <row r="73">
          <cell r="E73">
            <v>40513</v>
          </cell>
          <cell r="F73">
            <v>13.460304984166667</v>
          </cell>
        </row>
      </sheetData>
      <sheetData sheetId="26">
        <row r="13">
          <cell r="E13">
            <v>38687</v>
          </cell>
          <cell r="F13">
            <v>26.762175675833333</v>
          </cell>
        </row>
        <row r="14">
          <cell r="E14">
            <v>38718</v>
          </cell>
          <cell r="F14">
            <v>26.9020476</v>
          </cell>
        </row>
        <row r="15">
          <cell r="E15">
            <v>38749</v>
          </cell>
          <cell r="F15">
            <v>28.067624822499997</v>
          </cell>
        </row>
        <row r="16">
          <cell r="E16">
            <v>38777</v>
          </cell>
          <cell r="F16">
            <v>29.712601804999995</v>
          </cell>
        </row>
        <row r="17">
          <cell r="E17">
            <v>38808</v>
          </cell>
          <cell r="F17">
            <v>29.651662378333331</v>
          </cell>
        </row>
        <row r="18">
          <cell r="E18">
            <v>38838</v>
          </cell>
          <cell r="F18">
            <v>29.544628370833337</v>
          </cell>
        </row>
        <row r="19">
          <cell r="E19">
            <v>38869</v>
          </cell>
          <cell r="F19">
            <v>29.161600337500005</v>
          </cell>
        </row>
        <row r="20">
          <cell r="E20">
            <v>38899</v>
          </cell>
          <cell r="F20">
            <v>28.921182566666669</v>
          </cell>
        </row>
        <row r="21">
          <cell r="E21">
            <v>38930</v>
          </cell>
          <cell r="F21">
            <v>29.834371399999995</v>
          </cell>
        </row>
        <row r="22">
          <cell r="E22">
            <v>38961</v>
          </cell>
          <cell r="F22">
            <v>30.734638095833336</v>
          </cell>
        </row>
        <row r="23">
          <cell r="E23">
            <v>38991</v>
          </cell>
          <cell r="F23">
            <v>32.051422429999995</v>
          </cell>
        </row>
        <row r="24">
          <cell r="E24">
            <v>39022</v>
          </cell>
          <cell r="F24">
            <v>33.820559150833326</v>
          </cell>
        </row>
        <row r="25">
          <cell r="E25">
            <v>39052</v>
          </cell>
          <cell r="F25">
            <v>35.111227465833331</v>
          </cell>
        </row>
        <row r="26">
          <cell r="E26">
            <v>39083</v>
          </cell>
          <cell r="F26">
            <v>35.75170310499999</v>
          </cell>
        </row>
        <row r="27">
          <cell r="E27">
            <v>39114</v>
          </cell>
          <cell r="F27">
            <v>36.893599919166661</v>
          </cell>
        </row>
        <row r="28">
          <cell r="E28">
            <v>39142</v>
          </cell>
          <cell r="F28">
            <v>37.914349261666658</v>
          </cell>
        </row>
        <row r="29">
          <cell r="E29">
            <v>39173</v>
          </cell>
          <cell r="F29">
            <v>39.045776649166669</v>
          </cell>
        </row>
        <row r="30">
          <cell r="E30">
            <v>39203</v>
          </cell>
          <cell r="F30">
            <v>40.865266865833341</v>
          </cell>
        </row>
        <row r="31">
          <cell r="E31">
            <v>39234</v>
          </cell>
          <cell r="F31">
            <v>42.046363484999993</v>
          </cell>
        </row>
        <row r="32">
          <cell r="E32">
            <v>39264</v>
          </cell>
          <cell r="F32">
            <v>44.095475957500007</v>
          </cell>
        </row>
        <row r="33">
          <cell r="E33">
            <v>39295</v>
          </cell>
          <cell r="F33">
            <v>45.574407512500009</v>
          </cell>
        </row>
        <row r="34">
          <cell r="E34">
            <v>39326</v>
          </cell>
          <cell r="F34">
            <v>46.672113530833343</v>
          </cell>
        </row>
        <row r="35">
          <cell r="E35">
            <v>39356</v>
          </cell>
          <cell r="F35">
            <v>48.312377197500012</v>
          </cell>
        </row>
        <row r="36">
          <cell r="E36">
            <v>39387</v>
          </cell>
          <cell r="F36">
            <v>51.744964415833344</v>
          </cell>
        </row>
        <row r="37">
          <cell r="E37">
            <v>39417</v>
          </cell>
          <cell r="F37">
            <v>53.547887440833335</v>
          </cell>
        </row>
        <row r="38">
          <cell r="E38">
            <v>39448</v>
          </cell>
          <cell r="F38">
            <v>52.820421495000005</v>
          </cell>
        </row>
        <row r="39">
          <cell r="E39">
            <v>39479</v>
          </cell>
          <cell r="F39">
            <v>52.785449456666676</v>
          </cell>
        </row>
        <row r="40">
          <cell r="E40">
            <v>39508</v>
          </cell>
          <cell r="F40">
            <v>50.195506468333349</v>
          </cell>
        </row>
        <row r="41">
          <cell r="E41">
            <v>39539</v>
          </cell>
          <cell r="F41">
            <v>49.374779342500013</v>
          </cell>
        </row>
        <row r="42">
          <cell r="E42">
            <v>39569</v>
          </cell>
          <cell r="F42">
            <v>46.851530019166681</v>
          </cell>
        </row>
        <row r="43">
          <cell r="E43">
            <v>39600</v>
          </cell>
          <cell r="F43">
            <v>44.528222798333339</v>
          </cell>
        </row>
        <row r="44">
          <cell r="E44">
            <v>39630</v>
          </cell>
          <cell r="F44">
            <v>42.088375078333343</v>
          </cell>
        </row>
        <row r="45">
          <cell r="E45">
            <v>39661</v>
          </cell>
          <cell r="F45">
            <v>39.503833186666675</v>
          </cell>
        </row>
        <row r="46">
          <cell r="E46">
            <v>39692</v>
          </cell>
          <cell r="F46">
            <v>36.965182669999997</v>
          </cell>
        </row>
        <row r="47">
          <cell r="E47">
            <v>39722</v>
          </cell>
          <cell r="F47">
            <v>34.674908570000007</v>
          </cell>
        </row>
        <row r="48">
          <cell r="E48">
            <v>39753</v>
          </cell>
          <cell r="F48">
            <v>29.982141770833337</v>
          </cell>
        </row>
        <row r="49">
          <cell r="E49">
            <v>39783</v>
          </cell>
          <cell r="F49">
            <v>27.50068207833333</v>
          </cell>
        </row>
        <row r="50">
          <cell r="E50">
            <v>39814</v>
          </cell>
          <cell r="F50">
            <v>27.340352234166673</v>
          </cell>
        </row>
        <row r="51">
          <cell r="E51">
            <v>39845</v>
          </cell>
          <cell r="F51">
            <v>25.504474954166668</v>
          </cell>
        </row>
        <row r="52">
          <cell r="E52">
            <v>39873</v>
          </cell>
          <cell r="F52">
            <v>25.367513900833334</v>
          </cell>
        </row>
        <row r="53">
          <cell r="E53">
            <v>39904</v>
          </cell>
          <cell r="F53">
            <v>23.914048293333334</v>
          </cell>
        </row>
        <row r="54">
          <cell r="E54">
            <v>39934</v>
          </cell>
          <cell r="F54">
            <v>23.488162486666667</v>
          </cell>
        </row>
        <row r="55">
          <cell r="E55">
            <v>39965</v>
          </cell>
          <cell r="F55">
            <v>23.345262899999998</v>
          </cell>
        </row>
        <row r="56">
          <cell r="E56">
            <v>39995</v>
          </cell>
          <cell r="F56">
            <v>22.659910567500003</v>
          </cell>
        </row>
        <row r="57">
          <cell r="E57">
            <v>40026</v>
          </cell>
          <cell r="F57">
            <v>21.421951221666671</v>
          </cell>
        </row>
        <row r="58">
          <cell r="E58">
            <v>40057</v>
          </cell>
          <cell r="F58">
            <v>20.40153346166667</v>
          </cell>
        </row>
        <row r="59">
          <cell r="E59">
            <v>40087</v>
          </cell>
          <cell r="F59">
            <v>18.552485430000001</v>
          </cell>
        </row>
        <row r="60">
          <cell r="E60">
            <v>40118</v>
          </cell>
          <cell r="F60">
            <v>16.787521738333336</v>
          </cell>
        </row>
        <row r="61">
          <cell r="E61">
            <v>40148</v>
          </cell>
          <cell r="F61">
            <v>14.291991547500004</v>
          </cell>
        </row>
        <row r="62">
          <cell r="E62">
            <v>40179</v>
          </cell>
          <cell r="F62">
            <v>13.332562176666672</v>
          </cell>
        </row>
        <row r="63">
          <cell r="E63">
            <v>40210</v>
          </cell>
          <cell r="F63">
            <v>12.44845763166667</v>
          </cell>
        </row>
        <row r="64">
          <cell r="E64">
            <v>40238</v>
          </cell>
          <cell r="F64">
            <v>11.808564876666672</v>
          </cell>
        </row>
        <row r="65">
          <cell r="E65">
            <v>40269</v>
          </cell>
          <cell r="F65">
            <v>11.301564370833338</v>
          </cell>
        </row>
        <row r="66">
          <cell r="E66">
            <v>40299</v>
          </cell>
          <cell r="F66">
            <v>10.645160762500003</v>
          </cell>
        </row>
        <row r="67">
          <cell r="E67">
            <v>40330</v>
          </cell>
          <cell r="F67">
            <v>9.9906065691666708</v>
          </cell>
        </row>
        <row r="68">
          <cell r="E68">
            <v>40360</v>
          </cell>
          <cell r="F68">
            <v>9.3762902075000021</v>
          </cell>
        </row>
        <row r="69">
          <cell r="E69">
            <v>40391</v>
          </cell>
          <cell r="F69">
            <v>8.8229507483333336</v>
          </cell>
        </row>
        <row r="70">
          <cell r="E70">
            <v>40422</v>
          </cell>
          <cell r="F70">
            <v>7.9920930941666697</v>
          </cell>
        </row>
        <row r="71">
          <cell r="E71">
            <v>40452</v>
          </cell>
          <cell r="F71">
            <v>7.3804959775000016</v>
          </cell>
        </row>
        <row r="72">
          <cell r="E72">
            <v>40483</v>
          </cell>
          <cell r="F72">
            <v>6.9811117500000011</v>
          </cell>
        </row>
        <row r="73">
          <cell r="E73">
            <v>40513</v>
          </cell>
          <cell r="F73">
            <v>6.929612360000001</v>
          </cell>
        </row>
      </sheetData>
      <sheetData sheetId="27">
        <row r="13">
          <cell r="E13">
            <v>38687</v>
          </cell>
          <cell r="F13">
            <v>4.6549863449999984</v>
          </cell>
        </row>
        <row r="14">
          <cell r="E14">
            <v>38718</v>
          </cell>
          <cell r="F14">
            <v>4.9842317608333326</v>
          </cell>
        </row>
        <row r="15">
          <cell r="E15">
            <v>38749</v>
          </cell>
          <cell r="F15">
            <v>5.2778830108333334</v>
          </cell>
        </row>
        <row r="16">
          <cell r="E16">
            <v>38777</v>
          </cell>
          <cell r="F16">
            <v>5.5833145833333333</v>
          </cell>
        </row>
        <row r="17">
          <cell r="E17">
            <v>38808</v>
          </cell>
          <cell r="F17">
            <v>5.6072105416666664</v>
          </cell>
        </row>
        <row r="18">
          <cell r="E18">
            <v>38838</v>
          </cell>
          <cell r="F18">
            <v>5.7106665441666671</v>
          </cell>
        </row>
        <row r="19">
          <cell r="E19">
            <v>38869</v>
          </cell>
          <cell r="F19">
            <v>6.0394283316666675</v>
          </cell>
        </row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6.3065609549999984</v>
          </cell>
        </row>
        <row r="22">
          <cell r="E22">
            <v>38961</v>
          </cell>
          <cell r="F22">
            <v>6.5273823991666644</v>
          </cell>
        </row>
        <row r="23">
          <cell r="E23">
            <v>38991</v>
          </cell>
          <cell r="F23">
            <v>6.6042700941666643</v>
          </cell>
        </row>
        <row r="24">
          <cell r="E24">
            <v>39022</v>
          </cell>
          <cell r="F24">
            <v>6.6557159566666648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7.1205918233333323</v>
          </cell>
        </row>
        <row r="27">
          <cell r="E27">
            <v>39114</v>
          </cell>
          <cell r="F27">
            <v>6.9020478708333313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7.9732101774999977</v>
          </cell>
        </row>
        <row r="31">
          <cell r="E31">
            <v>39234</v>
          </cell>
          <cell r="F31">
            <v>7.7922941458333312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8.3861495991666679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8.4555182766666697</v>
          </cell>
        </row>
        <row r="36">
          <cell r="E36">
            <v>39387</v>
          </cell>
          <cell r="F36">
            <v>8.6093733033333351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8.7058048966666686</v>
          </cell>
        </row>
        <row r="39">
          <cell r="E39">
            <v>39479</v>
          </cell>
          <cell r="F39">
            <v>9.0700061475000027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9.4772868525000007</v>
          </cell>
        </row>
        <row r="43">
          <cell r="E43">
            <v>39600</v>
          </cell>
          <cell r="F43">
            <v>9.7507523375000016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10.809300416666664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11.255780549999997</v>
          </cell>
        </row>
        <row r="50">
          <cell r="E50">
            <v>39814</v>
          </cell>
          <cell r="F50">
            <v>11.116666426666663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10.9709471475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10.521758835833335</v>
          </cell>
        </row>
        <row r="57">
          <cell r="E57">
            <v>40026</v>
          </cell>
          <cell r="F57">
            <v>10.494856540000002</v>
          </cell>
        </row>
        <row r="58">
          <cell r="E58">
            <v>40057</v>
          </cell>
          <cell r="F58">
            <v>11.373039350833336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11.550103125000001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10.905485292500002</v>
          </cell>
        </row>
        <row r="63">
          <cell r="E63">
            <v>40210</v>
          </cell>
          <cell r="F63">
            <v>10.281076274166669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8.1435203349999998</v>
          </cell>
        </row>
        <row r="68">
          <cell r="E68">
            <v>40360</v>
          </cell>
          <cell r="F68">
            <v>7.6986783791666653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5.3399438208333336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3.5349332208333326</v>
          </cell>
        </row>
        <row r="73">
          <cell r="E73">
            <v>40513</v>
          </cell>
          <cell r="F73">
            <v>3.0268789658333328</v>
          </cell>
        </row>
      </sheetData>
      <sheetData sheetId="28">
        <row r="13">
          <cell r="E13">
            <v>38687</v>
          </cell>
          <cell r="F13">
            <v>4.6112134816666659</v>
          </cell>
        </row>
        <row r="14">
          <cell r="E14">
            <v>38718</v>
          </cell>
          <cell r="F14">
            <v>4.785102535</v>
          </cell>
        </row>
        <row r="15">
          <cell r="E15">
            <v>38749</v>
          </cell>
          <cell r="F15">
            <v>4.8370829166666658</v>
          </cell>
        </row>
        <row r="16">
          <cell r="E16">
            <v>38777</v>
          </cell>
          <cell r="F16">
            <v>4.8263742958333324</v>
          </cell>
        </row>
        <row r="17">
          <cell r="E17">
            <v>38808</v>
          </cell>
          <cell r="F17">
            <v>4.9803123574999981</v>
          </cell>
        </row>
        <row r="18">
          <cell r="E18">
            <v>38838</v>
          </cell>
          <cell r="F18">
            <v>5.144434968333333</v>
          </cell>
        </row>
        <row r="19">
          <cell r="E19">
            <v>38869</v>
          </cell>
          <cell r="F19">
            <v>5.4979128774999984</v>
          </cell>
        </row>
        <row r="20">
          <cell r="E20">
            <v>38899</v>
          </cell>
          <cell r="F20">
            <v>5.5769917933333319</v>
          </cell>
        </row>
        <row r="21">
          <cell r="E21">
            <v>38930</v>
          </cell>
          <cell r="F21">
            <v>5.6664368624999994</v>
          </cell>
        </row>
        <row r="22">
          <cell r="E22">
            <v>38961</v>
          </cell>
          <cell r="F22">
            <v>6.1022733991666662</v>
          </cell>
        </row>
        <row r="23">
          <cell r="E23">
            <v>38991</v>
          </cell>
          <cell r="F23">
            <v>6.4011847675000011</v>
          </cell>
        </row>
        <row r="24">
          <cell r="E24">
            <v>39022</v>
          </cell>
          <cell r="F24">
            <v>6.6718889100000025</v>
          </cell>
        </row>
        <row r="25">
          <cell r="E25">
            <v>39052</v>
          </cell>
          <cell r="F25">
            <v>6.7835400375000026</v>
          </cell>
        </row>
        <row r="26">
          <cell r="E26">
            <v>39083</v>
          </cell>
          <cell r="F26">
            <v>6.9274692183333348</v>
          </cell>
        </row>
        <row r="27">
          <cell r="E27">
            <v>39114</v>
          </cell>
          <cell r="F27">
            <v>7.310521070000001</v>
          </cell>
        </row>
        <row r="28">
          <cell r="E28">
            <v>39142</v>
          </cell>
          <cell r="F28">
            <v>7.8066038175000019</v>
          </cell>
        </row>
        <row r="29">
          <cell r="E29">
            <v>39173</v>
          </cell>
          <cell r="F29">
            <v>8.0177677750000029</v>
          </cell>
        </row>
        <row r="30">
          <cell r="E30">
            <v>39203</v>
          </cell>
          <cell r="F30">
            <v>8.2291565641666704</v>
          </cell>
        </row>
        <row r="31">
          <cell r="E31">
            <v>39234</v>
          </cell>
          <cell r="F31">
            <v>8.3719786933333342</v>
          </cell>
        </row>
        <row r="32">
          <cell r="E32">
            <v>39264</v>
          </cell>
          <cell r="F32">
            <v>8.6425964608333352</v>
          </cell>
        </row>
        <row r="33">
          <cell r="E33">
            <v>39295</v>
          </cell>
          <cell r="F33">
            <v>8.8507972916666695</v>
          </cell>
        </row>
        <row r="34">
          <cell r="E34">
            <v>39326</v>
          </cell>
          <cell r="F34">
            <v>9.0621764083333343</v>
          </cell>
        </row>
        <row r="35">
          <cell r="E35">
            <v>39356</v>
          </cell>
          <cell r="F35">
            <v>9.2238805300000006</v>
          </cell>
        </row>
        <row r="36">
          <cell r="E36">
            <v>39387</v>
          </cell>
          <cell r="F36">
            <v>9.3959443808333329</v>
          </cell>
        </row>
        <row r="37">
          <cell r="E37">
            <v>39417</v>
          </cell>
          <cell r="F37">
            <v>9.525395779166665</v>
          </cell>
        </row>
        <row r="38">
          <cell r="E38">
            <v>39448</v>
          </cell>
          <cell r="F38">
            <v>9.7422337116666657</v>
          </cell>
        </row>
        <row r="39">
          <cell r="E39">
            <v>39479</v>
          </cell>
          <cell r="F39">
            <v>9.7276361374999976</v>
          </cell>
        </row>
        <row r="40">
          <cell r="E40">
            <v>39508</v>
          </cell>
          <cell r="F40">
            <v>9.7342461466666652</v>
          </cell>
        </row>
        <row r="41">
          <cell r="E41">
            <v>39539</v>
          </cell>
          <cell r="F41">
            <v>9.7934407233333314</v>
          </cell>
        </row>
        <row r="42">
          <cell r="E42">
            <v>39569</v>
          </cell>
          <cell r="F42">
            <v>10.081876652499998</v>
          </cell>
        </row>
        <row r="43">
          <cell r="E43">
            <v>39600</v>
          </cell>
          <cell r="F43">
            <v>10.642676765833333</v>
          </cell>
        </row>
        <row r="44">
          <cell r="E44">
            <v>39630</v>
          </cell>
          <cell r="F44">
            <v>10.910084389999996</v>
          </cell>
        </row>
        <row r="45">
          <cell r="E45">
            <v>39661</v>
          </cell>
          <cell r="F45">
            <v>10.920337321666665</v>
          </cell>
        </row>
        <row r="46">
          <cell r="E46">
            <v>39692</v>
          </cell>
          <cell r="F46">
            <v>10.738864984166668</v>
          </cell>
        </row>
        <row r="47">
          <cell r="E47">
            <v>39722</v>
          </cell>
          <cell r="F47">
            <v>11.037626661666669</v>
          </cell>
        </row>
        <row r="48">
          <cell r="E48">
            <v>39753</v>
          </cell>
          <cell r="F48">
            <v>11.175527550833335</v>
          </cell>
        </row>
        <row r="49">
          <cell r="E49">
            <v>39783</v>
          </cell>
          <cell r="F49">
            <v>11.711492457500002</v>
          </cell>
        </row>
        <row r="50">
          <cell r="E50">
            <v>39814</v>
          </cell>
          <cell r="F50">
            <v>11.99430515666667</v>
          </cell>
        </row>
        <row r="51">
          <cell r="E51">
            <v>39845</v>
          </cell>
          <cell r="F51">
            <v>12.461271134166671</v>
          </cell>
        </row>
        <row r="52">
          <cell r="E52">
            <v>39873</v>
          </cell>
          <cell r="F52">
            <v>12.817644937500001</v>
          </cell>
        </row>
        <row r="53">
          <cell r="E53">
            <v>39904</v>
          </cell>
          <cell r="F53">
            <v>13.20707111916667</v>
          </cell>
        </row>
        <row r="54">
          <cell r="E54">
            <v>39934</v>
          </cell>
          <cell r="F54">
            <v>12.981678067500001</v>
          </cell>
        </row>
        <row r="55">
          <cell r="E55">
            <v>39965</v>
          </cell>
          <cell r="F55">
            <v>12.305903846666666</v>
          </cell>
        </row>
        <row r="56">
          <cell r="E56">
            <v>39995</v>
          </cell>
          <cell r="F56">
            <v>12.176488028333333</v>
          </cell>
        </row>
        <row r="57">
          <cell r="E57">
            <v>40026</v>
          </cell>
          <cell r="F57">
            <v>12.36382950166667</v>
          </cell>
        </row>
        <row r="58">
          <cell r="E58">
            <v>40057</v>
          </cell>
          <cell r="F58">
            <v>12.794329441666669</v>
          </cell>
        </row>
        <row r="59">
          <cell r="E59">
            <v>40087</v>
          </cell>
          <cell r="F59">
            <v>13.127015901666665</v>
          </cell>
        </row>
        <row r="60">
          <cell r="E60">
            <v>40118</v>
          </cell>
          <cell r="F60">
            <v>13.023658302499996</v>
          </cell>
        </row>
        <row r="61">
          <cell r="E61">
            <v>40148</v>
          </cell>
          <cell r="F61">
            <v>13.140724007499996</v>
          </cell>
        </row>
        <row r="62">
          <cell r="E62">
            <v>40179</v>
          </cell>
          <cell r="F62">
            <v>12.835834206666663</v>
          </cell>
        </row>
        <row r="63">
          <cell r="E63">
            <v>40210</v>
          </cell>
          <cell r="F63">
            <v>12.575876212499997</v>
          </cell>
        </row>
        <row r="64">
          <cell r="E64">
            <v>40238</v>
          </cell>
          <cell r="F64">
            <v>12.56572276583333</v>
          </cell>
        </row>
        <row r="65">
          <cell r="E65">
            <v>40269</v>
          </cell>
          <cell r="F65">
            <v>12.388632019999996</v>
          </cell>
        </row>
        <row r="66">
          <cell r="E66">
            <v>40299</v>
          </cell>
          <cell r="F66">
            <v>12.591145680833328</v>
          </cell>
        </row>
        <row r="67">
          <cell r="E67">
            <v>40330</v>
          </cell>
          <cell r="F67">
            <v>13.251684199166661</v>
          </cell>
        </row>
        <row r="68">
          <cell r="E68">
            <v>40360</v>
          </cell>
          <cell r="F68">
            <v>13.389264475833331</v>
          </cell>
        </row>
        <row r="69">
          <cell r="E69">
            <v>40391</v>
          </cell>
          <cell r="F69">
            <v>13.396051471666665</v>
          </cell>
        </row>
        <row r="70">
          <cell r="E70">
            <v>40422</v>
          </cell>
          <cell r="F70">
            <v>13.124489299166664</v>
          </cell>
        </row>
        <row r="71">
          <cell r="E71">
            <v>40452</v>
          </cell>
          <cell r="F71">
            <v>12.534769781666663</v>
          </cell>
        </row>
        <row r="72">
          <cell r="E72">
            <v>40483</v>
          </cell>
          <cell r="F72">
            <v>12.66654583083333</v>
          </cell>
        </row>
        <row r="73">
          <cell r="E73">
            <v>40513</v>
          </cell>
          <cell r="F73">
            <v>12.184886529166667</v>
          </cell>
        </row>
      </sheetData>
      <sheetData sheetId="29">
        <row r="13">
          <cell r="E13">
            <v>38687</v>
          </cell>
          <cell r="F13">
            <v>5.4388216824999995</v>
          </cell>
        </row>
        <row r="14">
          <cell r="E14">
            <v>38718</v>
          </cell>
          <cell r="F14">
            <v>5.5540480766666676</v>
          </cell>
        </row>
        <row r="15">
          <cell r="E15">
            <v>38749</v>
          </cell>
          <cell r="F15">
            <v>5.8216976133333338</v>
          </cell>
        </row>
        <row r="16">
          <cell r="E16">
            <v>38777</v>
          </cell>
          <cell r="F16">
            <v>5.8291804075</v>
          </cell>
        </row>
        <row r="17">
          <cell r="E17">
            <v>38808</v>
          </cell>
          <cell r="F17">
            <v>5.6905073399999999</v>
          </cell>
        </row>
        <row r="18">
          <cell r="E18">
            <v>38838</v>
          </cell>
          <cell r="F18">
            <v>5.6943441083333335</v>
          </cell>
        </row>
        <row r="19">
          <cell r="E19">
            <v>38869</v>
          </cell>
          <cell r="F19">
            <v>5.8332769200000003</v>
          </cell>
        </row>
        <row r="20">
          <cell r="E20">
            <v>38899</v>
          </cell>
          <cell r="F20">
            <v>6.0127673841666658</v>
          </cell>
        </row>
        <row r="21">
          <cell r="E21">
            <v>38930</v>
          </cell>
          <cell r="F21">
            <v>6.3224733149999999</v>
          </cell>
        </row>
        <row r="22">
          <cell r="E22">
            <v>38961</v>
          </cell>
          <cell r="F22">
            <v>6.4576173141666651</v>
          </cell>
        </row>
        <row r="23">
          <cell r="E23">
            <v>38991</v>
          </cell>
          <cell r="F23">
            <v>6.7219089758333324</v>
          </cell>
        </row>
        <row r="24">
          <cell r="E24">
            <v>39022</v>
          </cell>
          <cell r="F24">
            <v>6.9005826408333339</v>
          </cell>
        </row>
        <row r="25">
          <cell r="E25">
            <v>39052</v>
          </cell>
          <cell r="F25">
            <v>7.0483511491666668</v>
          </cell>
        </row>
        <row r="26">
          <cell r="E26">
            <v>39083</v>
          </cell>
          <cell r="F26">
            <v>7.2243307608333334</v>
          </cell>
        </row>
        <row r="27">
          <cell r="E27">
            <v>39114</v>
          </cell>
          <cell r="F27">
            <v>7.428890260000002</v>
          </cell>
        </row>
        <row r="28">
          <cell r="E28">
            <v>39142</v>
          </cell>
          <cell r="F28">
            <v>7.557297150000001</v>
          </cell>
        </row>
        <row r="29">
          <cell r="E29">
            <v>39173</v>
          </cell>
          <cell r="F29">
            <v>7.570064865</v>
          </cell>
        </row>
        <row r="30">
          <cell r="E30">
            <v>39203</v>
          </cell>
          <cell r="F30">
            <v>7.6641615508333345</v>
          </cell>
        </row>
        <row r="31">
          <cell r="E31">
            <v>39234</v>
          </cell>
          <cell r="F31">
            <v>7.7169936558333339</v>
          </cell>
        </row>
        <row r="32">
          <cell r="E32">
            <v>39264</v>
          </cell>
          <cell r="F32">
            <v>7.6369701124999994</v>
          </cell>
        </row>
        <row r="33">
          <cell r="E33">
            <v>39295</v>
          </cell>
          <cell r="F33">
            <v>7.6120053866666666</v>
          </cell>
        </row>
        <row r="34">
          <cell r="E34">
            <v>39326</v>
          </cell>
          <cell r="F34">
            <v>7.7282006658333335</v>
          </cell>
        </row>
        <row r="35">
          <cell r="E35">
            <v>39356</v>
          </cell>
          <cell r="F35">
            <v>7.6159342091666664</v>
          </cell>
        </row>
        <row r="36">
          <cell r="E36">
            <v>39387</v>
          </cell>
          <cell r="F36">
            <v>7.5596059375000024</v>
          </cell>
        </row>
        <row r="37">
          <cell r="E37">
            <v>39417</v>
          </cell>
          <cell r="F37">
            <v>7.4861371475000027</v>
          </cell>
        </row>
        <row r="38">
          <cell r="E38">
            <v>39448</v>
          </cell>
          <cell r="F38">
            <v>7.4586601775000014</v>
          </cell>
        </row>
        <row r="39">
          <cell r="E39">
            <v>39479</v>
          </cell>
          <cell r="F39">
            <v>7.3369571599999999</v>
          </cell>
        </row>
        <row r="40">
          <cell r="E40">
            <v>39508</v>
          </cell>
          <cell r="F40">
            <v>7.3217844533333336</v>
          </cell>
        </row>
        <row r="41">
          <cell r="E41">
            <v>39539</v>
          </cell>
          <cell r="F41">
            <v>8.1737898133333342</v>
          </cell>
        </row>
        <row r="42">
          <cell r="E42">
            <v>39569</v>
          </cell>
          <cell r="F42">
            <v>8.7647901191666691</v>
          </cell>
        </row>
        <row r="43">
          <cell r="E43">
            <v>39600</v>
          </cell>
          <cell r="F43">
            <v>8.9957721908333337</v>
          </cell>
        </row>
        <row r="44">
          <cell r="E44">
            <v>39630</v>
          </cell>
          <cell r="F44">
            <v>9.749028758333333</v>
          </cell>
        </row>
        <row r="45">
          <cell r="E45">
            <v>39661</v>
          </cell>
          <cell r="F45">
            <v>9.7509672625000015</v>
          </cell>
        </row>
        <row r="46">
          <cell r="E46">
            <v>39692</v>
          </cell>
          <cell r="F46">
            <v>9.7180807750000024</v>
          </cell>
        </row>
        <row r="47">
          <cell r="E47">
            <v>39722</v>
          </cell>
          <cell r="F47">
            <v>9.8562179983333333</v>
          </cell>
        </row>
        <row r="48">
          <cell r="E48">
            <v>39753</v>
          </cell>
          <cell r="F48">
            <v>9.9106200874999999</v>
          </cell>
        </row>
        <row r="49">
          <cell r="E49">
            <v>39783</v>
          </cell>
          <cell r="F49">
            <v>10.020884590833333</v>
          </cell>
        </row>
        <row r="50">
          <cell r="E50">
            <v>39814</v>
          </cell>
          <cell r="F50">
            <v>11.081552976666666</v>
          </cell>
        </row>
        <row r="51">
          <cell r="E51">
            <v>39845</v>
          </cell>
          <cell r="F51">
            <v>11.237960553333332</v>
          </cell>
        </row>
        <row r="52">
          <cell r="E52">
            <v>39873</v>
          </cell>
          <cell r="F52">
            <v>11.276174144166667</v>
          </cell>
        </row>
        <row r="53">
          <cell r="E53">
            <v>39904</v>
          </cell>
          <cell r="F53">
            <v>10.495309321666669</v>
          </cell>
        </row>
        <row r="54">
          <cell r="E54">
            <v>39934</v>
          </cell>
          <cell r="F54">
            <v>9.9729932650000013</v>
          </cell>
        </row>
        <row r="55">
          <cell r="E55">
            <v>39965</v>
          </cell>
          <cell r="F55">
            <v>10.053650460833335</v>
          </cell>
        </row>
        <row r="56">
          <cell r="E56">
            <v>39995</v>
          </cell>
          <cell r="F56">
            <v>9.5520782925000027</v>
          </cell>
        </row>
        <row r="57">
          <cell r="E57">
            <v>40026</v>
          </cell>
          <cell r="F57">
            <v>9.5411241858333344</v>
          </cell>
        </row>
        <row r="58">
          <cell r="E58">
            <v>40057</v>
          </cell>
          <cell r="F58">
            <v>9.5638539516666672</v>
          </cell>
        </row>
        <row r="59">
          <cell r="E59">
            <v>40087</v>
          </cell>
          <cell r="F59">
            <v>9.5302370816666677</v>
          </cell>
        </row>
        <row r="60">
          <cell r="E60">
            <v>40118</v>
          </cell>
          <cell r="F60">
            <v>9.5179961616666677</v>
          </cell>
        </row>
        <row r="61">
          <cell r="E61">
            <v>40148</v>
          </cell>
          <cell r="F61">
            <v>9.5188680133333339</v>
          </cell>
        </row>
        <row r="62">
          <cell r="E62">
            <v>40179</v>
          </cell>
          <cell r="F62">
            <v>8.5814534725000016</v>
          </cell>
        </row>
        <row r="63">
          <cell r="E63">
            <v>40210</v>
          </cell>
          <cell r="F63">
            <v>8.4452849433333359</v>
          </cell>
        </row>
        <row r="64">
          <cell r="E64">
            <v>40238</v>
          </cell>
          <cell r="F64">
            <v>8.5265247608333343</v>
          </cell>
        </row>
        <row r="65">
          <cell r="E65">
            <v>40269</v>
          </cell>
          <cell r="F65">
            <v>8.8862207200000025</v>
          </cell>
        </row>
        <row r="66">
          <cell r="E66">
            <v>40299</v>
          </cell>
          <cell r="F66">
            <v>8.9527544075000023</v>
          </cell>
        </row>
        <row r="67">
          <cell r="E67">
            <v>40330</v>
          </cell>
          <cell r="F67">
            <v>8.9336111283333342</v>
          </cell>
        </row>
        <row r="68">
          <cell r="E68">
            <v>40360</v>
          </cell>
          <cell r="F68">
            <v>8.8816404616666649</v>
          </cell>
        </row>
        <row r="69">
          <cell r="E69">
            <v>40391</v>
          </cell>
          <cell r="F69">
            <v>9.05299806083333</v>
          </cell>
        </row>
        <row r="70">
          <cell r="E70">
            <v>40422</v>
          </cell>
          <cell r="F70">
            <v>9.1827021983333328</v>
          </cell>
        </row>
        <row r="71">
          <cell r="E71">
            <v>40452</v>
          </cell>
          <cell r="F71">
            <v>9.3827735416666638</v>
          </cell>
        </row>
        <row r="72">
          <cell r="E72">
            <v>40483</v>
          </cell>
          <cell r="F72">
            <v>9.5213007983333302</v>
          </cell>
        </row>
        <row r="73">
          <cell r="E73">
            <v>40513</v>
          </cell>
          <cell r="F73">
            <v>9.6079578674999961</v>
          </cell>
        </row>
      </sheetData>
      <sheetData sheetId="30">
        <row r="13">
          <cell r="E13">
            <v>38687</v>
          </cell>
          <cell r="F13">
            <v>15.763242254999994</v>
          </cell>
        </row>
        <row r="14">
          <cell r="E14">
            <v>38718</v>
          </cell>
          <cell r="F14">
            <v>16.083801039999994</v>
          </cell>
        </row>
        <row r="15">
          <cell r="E15">
            <v>38749</v>
          </cell>
          <cell r="F15">
            <v>16.432089531666659</v>
          </cell>
        </row>
        <row r="16">
          <cell r="E16">
            <v>38777</v>
          </cell>
          <cell r="F16">
            <v>17.21087196083332</v>
          </cell>
        </row>
        <row r="17">
          <cell r="E17">
            <v>38808</v>
          </cell>
          <cell r="F17">
            <v>17.461167303333326</v>
          </cell>
        </row>
        <row r="18">
          <cell r="E18">
            <v>38838</v>
          </cell>
          <cell r="F18">
            <v>17.851919545833322</v>
          </cell>
        </row>
        <row r="19">
          <cell r="E19">
            <v>38869</v>
          </cell>
          <cell r="F19">
            <v>18.232022878333325</v>
          </cell>
        </row>
        <row r="20">
          <cell r="E20">
            <v>38899</v>
          </cell>
          <cell r="F20">
            <v>18.379173510833326</v>
          </cell>
        </row>
        <row r="21">
          <cell r="E21">
            <v>38930</v>
          </cell>
          <cell r="F21">
            <v>19.022453460833326</v>
          </cell>
        </row>
        <row r="22">
          <cell r="E22">
            <v>38961</v>
          </cell>
          <cell r="F22">
            <v>19.759092849166656</v>
          </cell>
        </row>
        <row r="23">
          <cell r="E23">
            <v>38991</v>
          </cell>
          <cell r="F23">
            <v>20.44343407083332</v>
          </cell>
        </row>
        <row r="24">
          <cell r="E24">
            <v>39022</v>
          </cell>
          <cell r="F24">
            <v>20.659083879166655</v>
          </cell>
        </row>
        <row r="25">
          <cell r="E25">
            <v>39052</v>
          </cell>
          <cell r="F25">
            <v>20.845609801666654</v>
          </cell>
        </row>
        <row r="26">
          <cell r="E26">
            <v>39083</v>
          </cell>
          <cell r="F26">
            <v>21.140013096666653</v>
          </cell>
        </row>
        <row r="27">
          <cell r="E27">
            <v>39114</v>
          </cell>
          <cell r="F27">
            <v>21.33536707499999</v>
          </cell>
        </row>
        <row r="28">
          <cell r="E28">
            <v>39142</v>
          </cell>
          <cell r="F28">
            <v>21.584419440833319</v>
          </cell>
        </row>
        <row r="29">
          <cell r="E29">
            <v>39173</v>
          </cell>
          <cell r="F29">
            <v>21.813562857499985</v>
          </cell>
        </row>
        <row r="30">
          <cell r="E30">
            <v>39203</v>
          </cell>
          <cell r="F30">
            <v>22.348109150833313</v>
          </cell>
        </row>
        <row r="31">
          <cell r="E31">
            <v>39234</v>
          </cell>
          <cell r="F31">
            <v>22.666224933333311</v>
          </cell>
        </row>
        <row r="32">
          <cell r="E32">
            <v>39264</v>
          </cell>
          <cell r="F32">
            <v>23.483985993333306</v>
          </cell>
        </row>
        <row r="33">
          <cell r="E33">
            <v>39295</v>
          </cell>
          <cell r="F33">
            <v>23.980183255833307</v>
          </cell>
        </row>
        <row r="34">
          <cell r="E34">
            <v>39326</v>
          </cell>
          <cell r="F34">
            <v>24.497608420833306</v>
          </cell>
        </row>
        <row r="35">
          <cell r="E35">
            <v>39356</v>
          </cell>
          <cell r="F35">
            <v>24.775125235833304</v>
          </cell>
        </row>
        <row r="36">
          <cell r="E36">
            <v>39387</v>
          </cell>
          <cell r="F36">
            <v>25.719528106666644</v>
          </cell>
        </row>
        <row r="37">
          <cell r="E37">
            <v>39417</v>
          </cell>
          <cell r="F37">
            <v>26.734696468333308</v>
          </cell>
        </row>
        <row r="38">
          <cell r="E38">
            <v>39448</v>
          </cell>
          <cell r="F38">
            <v>27.82826512666664</v>
          </cell>
        </row>
        <row r="39">
          <cell r="E39">
            <v>39479</v>
          </cell>
          <cell r="F39">
            <v>28.599666509166642</v>
          </cell>
        </row>
        <row r="40">
          <cell r="E40">
            <v>39508</v>
          </cell>
          <cell r="F40">
            <v>30.200136775833325</v>
          </cell>
        </row>
        <row r="41">
          <cell r="E41">
            <v>39539</v>
          </cell>
          <cell r="F41">
            <v>31.67232280666666</v>
          </cell>
        </row>
        <row r="42">
          <cell r="E42">
            <v>39569</v>
          </cell>
          <cell r="F42">
            <v>33.017625692500005</v>
          </cell>
        </row>
        <row r="43">
          <cell r="E43">
            <v>39600</v>
          </cell>
          <cell r="F43">
            <v>33.80465204916667</v>
          </cell>
        </row>
        <row r="44">
          <cell r="E44">
            <v>39630</v>
          </cell>
          <cell r="F44">
            <v>35.531085672500005</v>
          </cell>
        </row>
        <row r="45">
          <cell r="E45">
            <v>39661</v>
          </cell>
          <cell r="F45">
            <v>36.4841665625</v>
          </cell>
        </row>
        <row r="46">
          <cell r="E46">
            <v>39692</v>
          </cell>
          <cell r="F46">
            <v>36.255216006666664</v>
          </cell>
        </row>
        <row r="47">
          <cell r="E47">
            <v>39722</v>
          </cell>
          <cell r="F47">
            <v>39.366725653333326</v>
          </cell>
        </row>
        <row r="48">
          <cell r="E48">
            <v>39753</v>
          </cell>
          <cell r="F48">
            <v>40.240436099166665</v>
          </cell>
        </row>
        <row r="49">
          <cell r="E49">
            <v>39783</v>
          </cell>
          <cell r="F49">
            <v>42.263147400000001</v>
          </cell>
        </row>
        <row r="50">
          <cell r="E50">
            <v>39814</v>
          </cell>
          <cell r="F50">
            <v>43.149775254166663</v>
          </cell>
        </row>
        <row r="51">
          <cell r="E51">
            <v>39845</v>
          </cell>
          <cell r="F51">
            <v>45.043757284166674</v>
          </cell>
        </row>
        <row r="52">
          <cell r="E52">
            <v>39873</v>
          </cell>
          <cell r="F52">
            <v>45.195724154166669</v>
          </cell>
        </row>
        <row r="53">
          <cell r="E53">
            <v>39904</v>
          </cell>
          <cell r="F53">
            <v>45.147608518333321</v>
          </cell>
        </row>
        <row r="54">
          <cell r="E54">
            <v>39934</v>
          </cell>
          <cell r="F54">
            <v>44.828380790833329</v>
          </cell>
        </row>
        <row r="55">
          <cell r="E55">
            <v>39965</v>
          </cell>
          <cell r="F55">
            <v>45.155777626666662</v>
          </cell>
        </row>
        <row r="56">
          <cell r="E56">
            <v>39995</v>
          </cell>
          <cell r="F56">
            <v>44.541407092499981</v>
          </cell>
        </row>
        <row r="57">
          <cell r="E57">
            <v>40026</v>
          </cell>
          <cell r="F57">
            <v>44.359353649999974</v>
          </cell>
        </row>
        <row r="58">
          <cell r="E58">
            <v>40057</v>
          </cell>
          <cell r="F58">
            <v>47.002448523333307</v>
          </cell>
        </row>
        <row r="59">
          <cell r="E59">
            <v>40087</v>
          </cell>
          <cell r="F59">
            <v>45.324054310833326</v>
          </cell>
        </row>
        <row r="60">
          <cell r="E60">
            <v>40118</v>
          </cell>
          <cell r="F60">
            <v>45.788504249999995</v>
          </cell>
        </row>
        <row r="61">
          <cell r="E61">
            <v>40148</v>
          </cell>
          <cell r="F61">
            <v>45.014168568333332</v>
          </cell>
        </row>
        <row r="62">
          <cell r="E62">
            <v>40179</v>
          </cell>
          <cell r="F62">
            <v>43.956835172500007</v>
          </cell>
        </row>
        <row r="63">
          <cell r="E63">
            <v>40210</v>
          </cell>
          <cell r="F63">
            <v>42.671427347500007</v>
          </cell>
        </row>
        <row r="64">
          <cell r="E64">
            <v>40238</v>
          </cell>
          <cell r="F64">
            <v>42.858163845833339</v>
          </cell>
        </row>
        <row r="65">
          <cell r="E65">
            <v>40269</v>
          </cell>
          <cell r="F65">
            <v>43.562413795833351</v>
          </cell>
        </row>
        <row r="66">
          <cell r="E66">
            <v>40299</v>
          </cell>
          <cell r="F66">
            <v>44.785934125000004</v>
          </cell>
        </row>
        <row r="67">
          <cell r="E67">
            <v>40330</v>
          </cell>
          <cell r="F67">
            <v>45.10113625916668</v>
          </cell>
        </row>
        <row r="68">
          <cell r="E68">
            <v>40360</v>
          </cell>
          <cell r="F68">
            <v>44.424552756666685</v>
          </cell>
        </row>
        <row r="69">
          <cell r="E69">
            <v>40391</v>
          </cell>
          <cell r="F69">
            <v>44.288153639166694</v>
          </cell>
        </row>
        <row r="70">
          <cell r="E70">
            <v>40422</v>
          </cell>
          <cell r="F70">
            <v>42.422138080000025</v>
          </cell>
        </row>
        <row r="71">
          <cell r="E71">
            <v>40452</v>
          </cell>
          <cell r="F71">
            <v>41.662219133333359</v>
          </cell>
        </row>
        <row r="72">
          <cell r="E72">
            <v>40483</v>
          </cell>
          <cell r="F72">
            <v>40.588596411666693</v>
          </cell>
        </row>
        <row r="73">
          <cell r="E73">
            <v>40513</v>
          </cell>
          <cell r="F73">
            <v>40.424459200000022</v>
          </cell>
        </row>
      </sheetData>
      <sheetData sheetId="31">
        <row r="13">
          <cell r="E13">
            <v>38687</v>
          </cell>
          <cell r="F13">
            <v>6.8223883133333345</v>
          </cell>
        </row>
        <row r="14">
          <cell r="E14">
            <v>38718</v>
          </cell>
          <cell r="F14">
            <v>6.7106960608333353</v>
          </cell>
        </row>
        <row r="15">
          <cell r="E15">
            <v>38749</v>
          </cell>
          <cell r="F15">
            <v>7.0542065266666683</v>
          </cell>
        </row>
        <row r="16">
          <cell r="E16">
            <v>38777</v>
          </cell>
          <cell r="F16">
            <v>7.0054092658333333</v>
          </cell>
        </row>
        <row r="17">
          <cell r="E17">
            <v>38808</v>
          </cell>
          <cell r="F17">
            <v>6.0797434249999993</v>
          </cell>
        </row>
        <row r="18">
          <cell r="E18">
            <v>38838</v>
          </cell>
          <cell r="F18">
            <v>5.348327099166668</v>
          </cell>
        </row>
        <row r="19">
          <cell r="E19">
            <v>38869</v>
          </cell>
          <cell r="F19">
            <v>5.731929758333334</v>
          </cell>
        </row>
        <row r="20">
          <cell r="E20">
            <v>38899</v>
          </cell>
          <cell r="F20">
            <v>6.4657732816666673</v>
          </cell>
        </row>
        <row r="21">
          <cell r="E21">
            <v>38930</v>
          </cell>
          <cell r="F21">
            <v>6.6973235433333329</v>
          </cell>
        </row>
        <row r="22">
          <cell r="E22">
            <v>38961</v>
          </cell>
          <cell r="F22">
            <v>6.8387910066666668</v>
          </cell>
        </row>
        <row r="23">
          <cell r="E23">
            <v>38991</v>
          </cell>
          <cell r="F23">
            <v>7.562425815000001</v>
          </cell>
        </row>
        <row r="24">
          <cell r="E24">
            <v>39022</v>
          </cell>
          <cell r="F24">
            <v>7.520684280000002</v>
          </cell>
        </row>
        <row r="25">
          <cell r="E25">
            <v>39052</v>
          </cell>
          <cell r="F25">
            <v>7.7546593091666685</v>
          </cell>
        </row>
        <row r="26">
          <cell r="E26">
            <v>39083</v>
          </cell>
          <cell r="F26">
            <v>8.356774232500003</v>
          </cell>
        </row>
        <row r="27">
          <cell r="E27">
            <v>39114</v>
          </cell>
          <cell r="F27">
            <v>8.608182032500002</v>
          </cell>
        </row>
        <row r="28">
          <cell r="E28">
            <v>39142</v>
          </cell>
          <cell r="F28">
            <v>9.5827299316666714</v>
          </cell>
        </row>
        <row r="29">
          <cell r="E29">
            <v>39173</v>
          </cell>
          <cell r="F29">
            <v>10.259014024166671</v>
          </cell>
        </row>
        <row r="30">
          <cell r="E30">
            <v>39203</v>
          </cell>
          <cell r="F30">
            <v>10.639529370833335</v>
          </cell>
        </row>
        <row r="31">
          <cell r="E31">
            <v>39234</v>
          </cell>
          <cell r="F31">
            <v>10.600058245833337</v>
          </cell>
        </row>
        <row r="32">
          <cell r="E32">
            <v>39264</v>
          </cell>
          <cell r="F32">
            <v>10.405417655833331</v>
          </cell>
        </row>
        <row r="33">
          <cell r="E33">
            <v>39295</v>
          </cell>
          <cell r="F33">
            <v>10.772907629166665</v>
          </cell>
        </row>
        <row r="34">
          <cell r="E34">
            <v>39326</v>
          </cell>
          <cell r="F34">
            <v>11.002744176666665</v>
          </cell>
        </row>
        <row r="35">
          <cell r="E35">
            <v>39356</v>
          </cell>
          <cell r="F35">
            <v>10.255882297499996</v>
          </cell>
        </row>
        <row r="36">
          <cell r="E36">
            <v>39387</v>
          </cell>
          <cell r="F36">
            <v>10.623198126666663</v>
          </cell>
        </row>
        <row r="37">
          <cell r="E37">
            <v>39417</v>
          </cell>
          <cell r="F37">
            <v>10.731711219166662</v>
          </cell>
        </row>
        <row r="38">
          <cell r="E38">
            <v>39448</v>
          </cell>
          <cell r="F38">
            <v>10.33463343583333</v>
          </cell>
        </row>
        <row r="39">
          <cell r="E39">
            <v>39479</v>
          </cell>
          <cell r="F39">
            <v>10.067807995833329</v>
          </cell>
        </row>
        <row r="40">
          <cell r="E40">
            <v>39508</v>
          </cell>
          <cell r="F40">
            <v>9.1361388041666611</v>
          </cell>
        </row>
        <row r="41">
          <cell r="E41">
            <v>39539</v>
          </cell>
          <cell r="F41">
            <v>8.8353868674999934</v>
          </cell>
        </row>
        <row r="42">
          <cell r="E42">
            <v>39569</v>
          </cell>
          <cell r="F42">
            <v>8.6717141899999941</v>
          </cell>
        </row>
        <row r="43">
          <cell r="E43">
            <v>39600</v>
          </cell>
          <cell r="F43">
            <v>8.486711226666662</v>
          </cell>
        </row>
        <row r="44">
          <cell r="E44">
            <v>39630</v>
          </cell>
          <cell r="F44">
            <v>9.0805947241666676</v>
          </cell>
        </row>
        <row r="45">
          <cell r="E45">
            <v>39661</v>
          </cell>
          <cell r="F45">
            <v>9.0698440624999996</v>
          </cell>
        </row>
        <row r="46">
          <cell r="E46">
            <v>39692</v>
          </cell>
          <cell r="F46">
            <v>8.5900464516666677</v>
          </cell>
        </row>
        <row r="47">
          <cell r="E47">
            <v>39722</v>
          </cell>
          <cell r="F47">
            <v>8.4165318033333332</v>
          </cell>
        </row>
        <row r="48">
          <cell r="E48">
            <v>39753</v>
          </cell>
          <cell r="F48">
            <v>8.0091529291666674</v>
          </cell>
        </row>
        <row r="49">
          <cell r="E49">
            <v>39783</v>
          </cell>
          <cell r="F49">
            <v>7.8925774750000022</v>
          </cell>
        </row>
        <row r="50">
          <cell r="E50">
            <v>39814</v>
          </cell>
          <cell r="F50">
            <v>7.7467460675000019</v>
          </cell>
        </row>
        <row r="51">
          <cell r="E51">
            <v>39845</v>
          </cell>
          <cell r="F51">
            <v>7.5478617200000029</v>
          </cell>
        </row>
        <row r="52">
          <cell r="E52">
            <v>39873</v>
          </cell>
          <cell r="F52">
            <v>7.7751799533333363</v>
          </cell>
        </row>
        <row r="53">
          <cell r="E53">
            <v>39904</v>
          </cell>
          <cell r="F53">
            <v>7.8765533883333338</v>
          </cell>
        </row>
        <row r="54">
          <cell r="E54">
            <v>39934</v>
          </cell>
          <cell r="F54">
            <v>8.5109670499999996</v>
          </cell>
        </row>
        <row r="55">
          <cell r="E55">
            <v>39965</v>
          </cell>
          <cell r="F55">
            <v>8.4149846066666658</v>
          </cell>
        </row>
        <row r="56">
          <cell r="E56">
            <v>39995</v>
          </cell>
          <cell r="F56">
            <v>8.2234594000000012</v>
          </cell>
        </row>
        <row r="57">
          <cell r="E57">
            <v>40026</v>
          </cell>
          <cell r="F57">
            <v>8.2412909733333368</v>
          </cell>
        </row>
        <row r="58">
          <cell r="E58">
            <v>40057</v>
          </cell>
          <cell r="F58">
            <v>9.5145734016666683</v>
          </cell>
        </row>
        <row r="59">
          <cell r="E59">
            <v>40087</v>
          </cell>
          <cell r="F59">
            <v>10.842584954166668</v>
          </cell>
        </row>
        <row r="60">
          <cell r="E60">
            <v>40118</v>
          </cell>
          <cell r="F60">
            <v>12.138161029166666</v>
          </cell>
        </row>
        <row r="61">
          <cell r="E61">
            <v>40148</v>
          </cell>
          <cell r="F61">
            <v>13.685289770833334</v>
          </cell>
        </row>
        <row r="62">
          <cell r="E62">
            <v>40179</v>
          </cell>
          <cell r="F62">
            <v>15.056262162499999</v>
          </cell>
        </row>
        <row r="63">
          <cell r="E63">
            <v>40210</v>
          </cell>
          <cell r="F63">
            <v>16.913906624999992</v>
          </cell>
        </row>
        <row r="64">
          <cell r="E64">
            <v>40238</v>
          </cell>
          <cell r="F64">
            <v>19.425939829999994</v>
          </cell>
        </row>
        <row r="65">
          <cell r="E65">
            <v>40269</v>
          </cell>
          <cell r="F65">
            <v>20.817165196666661</v>
          </cell>
        </row>
        <row r="66">
          <cell r="E66">
            <v>40299</v>
          </cell>
          <cell r="F66">
            <v>25.421301684999989</v>
          </cell>
        </row>
        <row r="67">
          <cell r="E67">
            <v>40330</v>
          </cell>
          <cell r="F67">
            <v>26.834686419999983</v>
          </cell>
        </row>
        <row r="68">
          <cell r="E68">
            <v>40360</v>
          </cell>
          <cell r="F68">
            <v>26.919218944166655</v>
          </cell>
        </row>
        <row r="69">
          <cell r="E69">
            <v>40391</v>
          </cell>
          <cell r="F69">
            <v>28.383967839166647</v>
          </cell>
        </row>
        <row r="70">
          <cell r="E70">
            <v>40422</v>
          </cell>
          <cell r="F70">
            <v>29.48484241749998</v>
          </cell>
        </row>
        <row r="71">
          <cell r="E71">
            <v>40452</v>
          </cell>
          <cell r="F71">
            <v>30.007826932499984</v>
          </cell>
        </row>
        <row r="72">
          <cell r="E72">
            <v>40483</v>
          </cell>
          <cell r="F72">
            <v>32.19259384833331</v>
          </cell>
        </row>
        <row r="73">
          <cell r="E73">
            <v>40513</v>
          </cell>
          <cell r="F73">
            <v>36.81101546083331</v>
          </cell>
        </row>
      </sheetData>
      <sheetData sheetId="32">
        <row r="13">
          <cell r="E13">
            <v>38687</v>
          </cell>
          <cell r="F13">
            <v>13.157842350000005</v>
          </cell>
        </row>
        <row r="14">
          <cell r="E14">
            <v>38718</v>
          </cell>
          <cell r="F14">
            <v>13.590864008333339</v>
          </cell>
        </row>
        <row r="15">
          <cell r="E15">
            <v>38749</v>
          </cell>
          <cell r="F15">
            <v>14.790929172500002</v>
          </cell>
        </row>
        <row r="16">
          <cell r="E16">
            <v>38777</v>
          </cell>
          <cell r="F16">
            <v>15.806293341666668</v>
          </cell>
        </row>
        <row r="17">
          <cell r="E17">
            <v>38808</v>
          </cell>
          <cell r="F17">
            <v>16.108358257500001</v>
          </cell>
        </row>
        <row r="18">
          <cell r="E18">
            <v>38838</v>
          </cell>
          <cell r="F18">
            <v>15.534236473333332</v>
          </cell>
        </row>
        <row r="19">
          <cell r="E19">
            <v>38869</v>
          </cell>
          <cell r="F19">
            <v>15.0613817225</v>
          </cell>
        </row>
        <row r="20">
          <cell r="E20">
            <v>38899</v>
          </cell>
          <cell r="F20">
            <v>15.027926616666669</v>
          </cell>
        </row>
        <row r="21">
          <cell r="E21">
            <v>38930</v>
          </cell>
          <cell r="F21">
            <v>15.386537499166669</v>
          </cell>
        </row>
        <row r="22">
          <cell r="E22">
            <v>38961</v>
          </cell>
          <cell r="F22">
            <v>15.51195550916667</v>
          </cell>
        </row>
        <row r="23">
          <cell r="E23">
            <v>38991</v>
          </cell>
          <cell r="F23">
            <v>15.801504980833338</v>
          </cell>
        </row>
        <row r="24">
          <cell r="E24">
            <v>39022</v>
          </cell>
          <cell r="F24">
            <v>15.619586334166669</v>
          </cell>
        </row>
        <row r="25">
          <cell r="E25">
            <v>39052</v>
          </cell>
          <cell r="F25">
            <v>15.263594685833334</v>
          </cell>
        </row>
        <row r="26">
          <cell r="E26">
            <v>39083</v>
          </cell>
          <cell r="F26">
            <v>14.835970938333334</v>
          </cell>
        </row>
        <row r="27">
          <cell r="E27">
            <v>39114</v>
          </cell>
          <cell r="F27">
            <v>13.99896647416667</v>
          </cell>
        </row>
        <row r="28">
          <cell r="E28">
            <v>39142</v>
          </cell>
          <cell r="F28">
            <v>13.227638198333338</v>
          </cell>
        </row>
        <row r="29">
          <cell r="E29">
            <v>39173</v>
          </cell>
          <cell r="F29">
            <v>13.076033670000006</v>
          </cell>
        </row>
        <row r="30">
          <cell r="E30">
            <v>39203</v>
          </cell>
          <cell r="F30">
            <v>12.984648697500001</v>
          </cell>
        </row>
        <row r="31">
          <cell r="E31">
            <v>39234</v>
          </cell>
          <cell r="F31">
            <v>13.339585650000004</v>
          </cell>
        </row>
        <row r="32">
          <cell r="E32">
            <v>39264</v>
          </cell>
          <cell r="F32">
            <v>13.487865483333337</v>
          </cell>
        </row>
        <row r="33">
          <cell r="E33">
            <v>39295</v>
          </cell>
          <cell r="F33">
            <v>13.416857483333336</v>
          </cell>
        </row>
        <row r="34">
          <cell r="E34">
            <v>39326</v>
          </cell>
          <cell r="F34">
            <v>13.668033048333333</v>
          </cell>
        </row>
        <row r="35">
          <cell r="E35">
            <v>39356</v>
          </cell>
          <cell r="F35">
            <v>13.728155495833333</v>
          </cell>
        </row>
        <row r="36">
          <cell r="E36">
            <v>39387</v>
          </cell>
          <cell r="F36">
            <v>13.903935884999997</v>
          </cell>
        </row>
        <row r="37">
          <cell r="E37">
            <v>39417</v>
          </cell>
          <cell r="F37">
            <v>14.027947559166664</v>
          </cell>
        </row>
        <row r="38">
          <cell r="E38">
            <v>39448</v>
          </cell>
          <cell r="F38">
            <v>14.530212806666668</v>
          </cell>
        </row>
        <row r="39">
          <cell r="E39">
            <v>39479</v>
          </cell>
          <cell r="F39">
            <v>16.572848862499999</v>
          </cell>
        </row>
        <row r="40">
          <cell r="E40">
            <v>39508</v>
          </cell>
          <cell r="F40">
            <v>18.837580377499989</v>
          </cell>
        </row>
        <row r="41">
          <cell r="E41">
            <v>39539</v>
          </cell>
          <cell r="F41">
            <v>22.211302006666656</v>
          </cell>
        </row>
        <row r="42">
          <cell r="E42">
            <v>39569</v>
          </cell>
          <cell r="F42">
            <v>24.08418143916666</v>
          </cell>
        </row>
        <row r="43">
          <cell r="E43">
            <v>39600</v>
          </cell>
          <cell r="F43">
            <v>26.243936536666666</v>
          </cell>
        </row>
        <row r="44">
          <cell r="E44">
            <v>39630</v>
          </cell>
          <cell r="F44">
            <v>27.264401459166667</v>
          </cell>
        </row>
        <row r="45">
          <cell r="E45">
            <v>39661</v>
          </cell>
          <cell r="F45">
            <v>28.812118489999992</v>
          </cell>
        </row>
        <row r="46">
          <cell r="E46">
            <v>39692</v>
          </cell>
          <cell r="F46">
            <v>28.781229637500001</v>
          </cell>
        </row>
        <row r="47">
          <cell r="E47">
            <v>39722</v>
          </cell>
          <cell r="F47">
            <v>29.802608205833327</v>
          </cell>
        </row>
        <row r="48">
          <cell r="E48">
            <v>39753</v>
          </cell>
          <cell r="F48">
            <v>30.018334366666664</v>
          </cell>
        </row>
        <row r="49">
          <cell r="E49">
            <v>39783</v>
          </cell>
          <cell r="F49">
            <v>30.843426809999993</v>
          </cell>
        </row>
        <row r="50">
          <cell r="E50">
            <v>39814</v>
          </cell>
          <cell r="F50">
            <v>31.963370649166663</v>
          </cell>
        </row>
        <row r="51">
          <cell r="E51">
            <v>39845</v>
          </cell>
          <cell r="F51">
            <v>31.172005525833331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27.326253302500003</v>
          </cell>
        </row>
        <row r="54">
          <cell r="E54">
            <v>39934</v>
          </cell>
          <cell r="F54">
            <v>25.587014155000006</v>
          </cell>
        </row>
        <row r="55">
          <cell r="E55">
            <v>39965</v>
          </cell>
          <cell r="F55">
            <v>23.867398875833334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21.268530164166673</v>
          </cell>
        </row>
        <row r="59">
          <cell r="E59">
            <v>40087</v>
          </cell>
          <cell r="F59">
            <v>20.039754477500004</v>
          </cell>
        </row>
        <row r="60">
          <cell r="E60">
            <v>40118</v>
          </cell>
          <cell r="F60">
            <v>20.178767850000007</v>
          </cell>
        </row>
        <row r="61">
          <cell r="E61">
            <v>40148</v>
          </cell>
          <cell r="F61">
            <v>19.931631619166676</v>
          </cell>
        </row>
        <row r="62">
          <cell r="E62">
            <v>40179</v>
          </cell>
          <cell r="F62">
            <v>19.107756288333341</v>
          </cell>
        </row>
        <row r="63">
          <cell r="E63">
            <v>40210</v>
          </cell>
          <cell r="F63">
            <v>18.469198256666669</v>
          </cell>
        </row>
        <row r="64">
          <cell r="E64">
            <v>40238</v>
          </cell>
          <cell r="F64">
            <v>18.185925160000004</v>
          </cell>
        </row>
        <row r="65">
          <cell r="E65">
            <v>40269</v>
          </cell>
          <cell r="F65">
            <v>18.009831485833338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18.920276355833334</v>
          </cell>
        </row>
        <row r="68">
          <cell r="E68">
            <v>40360</v>
          </cell>
          <cell r="F68">
            <v>18.827581924166665</v>
          </cell>
        </row>
        <row r="69">
          <cell r="E69">
            <v>40391</v>
          </cell>
          <cell r="F69">
            <v>19.301637590000002</v>
          </cell>
        </row>
        <row r="70">
          <cell r="E70">
            <v>40422</v>
          </cell>
          <cell r="F70">
            <v>19.816329667499996</v>
          </cell>
        </row>
        <row r="71">
          <cell r="E71">
            <v>40452</v>
          </cell>
          <cell r="F71">
            <v>20.346193192499996</v>
          </cell>
        </row>
        <row r="72">
          <cell r="E72">
            <v>40483</v>
          </cell>
          <cell r="F72">
            <v>21.220928927499997</v>
          </cell>
        </row>
        <row r="73">
          <cell r="E73">
            <v>40513</v>
          </cell>
          <cell r="F73">
            <v>21.962151309166661</v>
          </cell>
        </row>
      </sheetData>
      <sheetData sheetId="33">
        <row r="13">
          <cell r="E13">
            <v>38687</v>
          </cell>
          <cell r="F13">
            <v>3.5091032608333328</v>
          </cell>
        </row>
        <row r="14">
          <cell r="E14">
            <v>38718</v>
          </cell>
          <cell r="F14">
            <v>3.4280228400000001</v>
          </cell>
        </row>
        <row r="15">
          <cell r="E15">
            <v>38749</v>
          </cell>
          <cell r="F15">
            <v>3.5027633733333334</v>
          </cell>
        </row>
        <row r="16">
          <cell r="E16">
            <v>38777</v>
          </cell>
          <cell r="F16">
            <v>3.7980713850000005</v>
          </cell>
        </row>
        <row r="17">
          <cell r="E17">
            <v>38808</v>
          </cell>
          <cell r="F17">
            <v>4.0953966399999997</v>
          </cell>
        </row>
        <row r="18">
          <cell r="E18">
            <v>38838</v>
          </cell>
          <cell r="F18">
            <v>4.4363081458333333</v>
          </cell>
        </row>
        <row r="19">
          <cell r="E19">
            <v>38869</v>
          </cell>
          <cell r="F19">
            <v>4.6481271416666665</v>
          </cell>
        </row>
        <row r="20">
          <cell r="E20">
            <v>38899</v>
          </cell>
          <cell r="F20">
            <v>4.9233985566666663</v>
          </cell>
        </row>
        <row r="21">
          <cell r="E21">
            <v>38930</v>
          </cell>
          <cell r="F21">
            <v>5.1969775283333339</v>
          </cell>
        </row>
        <row r="22">
          <cell r="E22">
            <v>38961</v>
          </cell>
          <cell r="F22">
            <v>5.6677475166666662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6.4200174541666675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5.9534473883333332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5.1916191683333333</v>
          </cell>
        </row>
        <row r="29">
          <cell r="E29">
            <v>39173</v>
          </cell>
          <cell r="F29">
            <v>4.5948288516666658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5.9485863649999979</v>
          </cell>
        </row>
        <row r="32">
          <cell r="E32">
            <v>39264</v>
          </cell>
          <cell r="F32">
            <v>5.7936636841666642</v>
          </cell>
        </row>
        <row r="33">
          <cell r="E33">
            <v>39295</v>
          </cell>
          <cell r="F33">
            <v>6.0432429591666654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7.8393141499999999</v>
          </cell>
        </row>
        <row r="36">
          <cell r="E36">
            <v>39387</v>
          </cell>
          <cell r="F36">
            <v>7.9088457408333319</v>
          </cell>
        </row>
        <row r="37">
          <cell r="E37">
            <v>39417</v>
          </cell>
          <cell r="F37">
            <v>8.6463141649999997</v>
          </cell>
        </row>
        <row r="38">
          <cell r="E38">
            <v>39448</v>
          </cell>
          <cell r="F38">
            <v>9.2207568358333312</v>
          </cell>
        </row>
        <row r="39">
          <cell r="E39">
            <v>39479</v>
          </cell>
          <cell r="F39">
            <v>9.9761123583333333</v>
          </cell>
        </row>
        <row r="40">
          <cell r="E40">
            <v>39508</v>
          </cell>
          <cell r="F40">
            <v>10.567548431666664</v>
          </cell>
        </row>
        <row r="41">
          <cell r="E41">
            <v>39539</v>
          </cell>
          <cell r="F41">
            <v>12.212470396666667</v>
          </cell>
        </row>
        <row r="42">
          <cell r="E42">
            <v>39569</v>
          </cell>
          <cell r="F42">
            <v>11.051657722499998</v>
          </cell>
        </row>
        <row r="43">
          <cell r="E43">
            <v>39600</v>
          </cell>
          <cell r="F43">
            <v>11.294281349166667</v>
          </cell>
        </row>
        <row r="44">
          <cell r="E44">
            <v>39630</v>
          </cell>
          <cell r="F44">
            <v>12.467826503333335</v>
          </cell>
        </row>
        <row r="45">
          <cell r="E45">
            <v>39661</v>
          </cell>
          <cell r="F45">
            <v>12.257399317500001</v>
          </cell>
        </row>
        <row r="46">
          <cell r="E46">
            <v>39692</v>
          </cell>
          <cell r="F46">
            <v>11.645734442500002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12.833084811666671</v>
          </cell>
        </row>
        <row r="50">
          <cell r="E50">
            <v>39814</v>
          </cell>
          <cell r="F50">
            <v>12.80016132916667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10.572478215833337</v>
          </cell>
        </row>
        <row r="57">
          <cell r="E57">
            <v>40026</v>
          </cell>
          <cell r="F57">
            <v>10.629907608333335</v>
          </cell>
        </row>
        <row r="58">
          <cell r="E58">
            <v>40057</v>
          </cell>
          <cell r="F58">
            <v>9.2711545808333344</v>
          </cell>
        </row>
        <row r="59">
          <cell r="E59">
            <v>40087</v>
          </cell>
          <cell r="F59">
            <v>6.5297653783333329</v>
          </cell>
        </row>
        <row r="60">
          <cell r="E60">
            <v>40118</v>
          </cell>
          <cell r="F60">
            <v>6.4479131999999995</v>
          </cell>
        </row>
        <row r="61">
          <cell r="E61">
            <v>40148</v>
          </cell>
          <cell r="F61">
            <v>7.4003927691666656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14.854548846666669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  <row r="71">
          <cell r="E71">
            <v>40452</v>
          </cell>
          <cell r="F71">
            <v>19.694117778333332</v>
          </cell>
        </row>
        <row r="72">
          <cell r="E72">
            <v>40483</v>
          </cell>
          <cell r="F72">
            <v>19.739346917500001</v>
          </cell>
        </row>
        <row r="73">
          <cell r="E73">
            <v>40513</v>
          </cell>
          <cell r="F73">
            <v>18.605192927500003</v>
          </cell>
        </row>
      </sheetData>
      <sheetData sheetId="34">
        <row r="13">
          <cell r="E13">
            <v>38687</v>
          </cell>
          <cell r="F13">
            <v>8.1430076125000017</v>
          </cell>
        </row>
        <row r="14">
          <cell r="E14">
            <v>38718</v>
          </cell>
          <cell r="F14">
            <v>8.3357334200000022</v>
          </cell>
        </row>
        <row r="15">
          <cell r="E15">
            <v>38749</v>
          </cell>
          <cell r="F15">
            <v>8.6213788541666698</v>
          </cell>
        </row>
        <row r="16">
          <cell r="E16">
            <v>38777</v>
          </cell>
          <cell r="F16">
            <v>8.7943160866666705</v>
          </cell>
        </row>
        <row r="17">
          <cell r="E17">
            <v>38808</v>
          </cell>
          <cell r="F17">
            <v>8.7921341583333348</v>
          </cell>
        </row>
        <row r="18">
          <cell r="E18">
            <v>38838</v>
          </cell>
          <cell r="F18">
            <v>9.0726215275000062</v>
          </cell>
        </row>
        <row r="19">
          <cell r="E19">
            <v>38869</v>
          </cell>
          <cell r="F19">
            <v>9.3006103691666748</v>
          </cell>
        </row>
        <row r="20">
          <cell r="E20">
            <v>38899</v>
          </cell>
          <cell r="F20">
            <v>9.4047530916666719</v>
          </cell>
        </row>
        <row r="21">
          <cell r="E21">
            <v>38930</v>
          </cell>
          <cell r="F21">
            <v>9.5350542133333374</v>
          </cell>
        </row>
        <row r="22">
          <cell r="E22">
            <v>38961</v>
          </cell>
          <cell r="F22">
            <v>9.9941851208333379</v>
          </cell>
        </row>
        <row r="23">
          <cell r="E23">
            <v>38991</v>
          </cell>
          <cell r="F23">
            <v>10.476119504166672</v>
          </cell>
        </row>
        <row r="24">
          <cell r="E24">
            <v>39022</v>
          </cell>
          <cell r="F24">
            <v>10.790035166666669</v>
          </cell>
        </row>
        <row r="25">
          <cell r="E25">
            <v>39052</v>
          </cell>
          <cell r="F25">
            <v>11.057523186666671</v>
          </cell>
        </row>
        <row r="26">
          <cell r="E26">
            <v>39083</v>
          </cell>
          <cell r="F26">
            <v>11.275818133333338</v>
          </cell>
        </row>
        <row r="27">
          <cell r="E27">
            <v>39114</v>
          </cell>
          <cell r="F27">
            <v>11.693333285000003</v>
          </cell>
        </row>
        <row r="28">
          <cell r="E28">
            <v>39142</v>
          </cell>
          <cell r="F28">
            <v>12.096951547500003</v>
          </cell>
        </row>
        <row r="29">
          <cell r="E29">
            <v>39173</v>
          </cell>
          <cell r="F29">
            <v>12.690409686666674</v>
          </cell>
        </row>
        <row r="30">
          <cell r="E30">
            <v>39203</v>
          </cell>
          <cell r="F30">
            <v>13.259836217500004</v>
          </cell>
        </row>
        <row r="31">
          <cell r="E31">
            <v>39234</v>
          </cell>
          <cell r="F31">
            <v>13.945573570000006</v>
          </cell>
        </row>
        <row r="32">
          <cell r="E32">
            <v>39264</v>
          </cell>
          <cell r="F32">
            <v>15.003286144166674</v>
          </cell>
        </row>
        <row r="33">
          <cell r="E33">
            <v>39295</v>
          </cell>
          <cell r="F33">
            <v>15.996785145833343</v>
          </cell>
        </row>
        <row r="34">
          <cell r="E34">
            <v>39326</v>
          </cell>
          <cell r="F34">
            <v>16.587355444166672</v>
          </cell>
        </row>
        <row r="35">
          <cell r="E35">
            <v>39356</v>
          </cell>
          <cell r="F35">
            <v>18.310462775000008</v>
          </cell>
        </row>
        <row r="36">
          <cell r="E36">
            <v>39387</v>
          </cell>
          <cell r="F36">
            <v>19.699274726666673</v>
          </cell>
        </row>
        <row r="37">
          <cell r="E37">
            <v>39417</v>
          </cell>
          <cell r="F37">
            <v>21.272284292500007</v>
          </cell>
        </row>
        <row r="38">
          <cell r="E38">
            <v>39448</v>
          </cell>
          <cell r="F38">
            <v>23.380475224166673</v>
          </cell>
        </row>
        <row r="39">
          <cell r="E39">
            <v>39479</v>
          </cell>
          <cell r="F39">
            <v>24.296462386666672</v>
          </cell>
        </row>
        <row r="40">
          <cell r="E40">
            <v>39508</v>
          </cell>
          <cell r="F40">
            <v>25.067626230833341</v>
          </cell>
        </row>
        <row r="41">
          <cell r="E41">
            <v>39539</v>
          </cell>
          <cell r="F41">
            <v>28.034447619166684</v>
          </cell>
        </row>
        <row r="42">
          <cell r="E42">
            <v>39569</v>
          </cell>
          <cell r="F42">
            <v>29.505734511666692</v>
          </cell>
        </row>
        <row r="43">
          <cell r="E43">
            <v>39600</v>
          </cell>
          <cell r="F43">
            <v>29.728113792500025</v>
          </cell>
        </row>
        <row r="44">
          <cell r="E44">
            <v>39630</v>
          </cell>
          <cell r="F44">
            <v>30.120315326666688</v>
          </cell>
        </row>
        <row r="45">
          <cell r="E45">
            <v>39661</v>
          </cell>
          <cell r="F45">
            <v>30.418553360833357</v>
          </cell>
        </row>
        <row r="46">
          <cell r="E46">
            <v>39692</v>
          </cell>
          <cell r="F46">
            <v>30.541653738333363</v>
          </cell>
        </row>
        <row r="47">
          <cell r="E47">
            <v>39722</v>
          </cell>
          <cell r="F47">
            <v>31.985125430833353</v>
          </cell>
        </row>
        <row r="48">
          <cell r="E48">
            <v>39753</v>
          </cell>
          <cell r="F48">
            <v>32.752797985000022</v>
          </cell>
        </row>
        <row r="49">
          <cell r="E49">
            <v>39783</v>
          </cell>
          <cell r="F49">
            <v>32.916201959166685</v>
          </cell>
        </row>
        <row r="50">
          <cell r="E50">
            <v>39814</v>
          </cell>
          <cell r="F50">
            <v>31.476022226666689</v>
          </cell>
        </row>
        <row r="51">
          <cell r="E51">
            <v>39845</v>
          </cell>
          <cell r="F51">
            <v>31.369377959166695</v>
          </cell>
        </row>
        <row r="52">
          <cell r="E52">
            <v>39873</v>
          </cell>
          <cell r="F52">
            <v>31.547715932500026</v>
          </cell>
        </row>
        <row r="53">
          <cell r="E53">
            <v>39904</v>
          </cell>
          <cell r="F53">
            <v>28.893234952500013</v>
          </cell>
        </row>
        <row r="54">
          <cell r="E54">
            <v>39934</v>
          </cell>
          <cell r="F54">
            <v>30.250273661666672</v>
          </cell>
        </row>
        <row r="55">
          <cell r="E55">
            <v>39965</v>
          </cell>
          <cell r="F55">
            <v>32.120411898333337</v>
          </cell>
        </row>
        <row r="56">
          <cell r="E56">
            <v>39995</v>
          </cell>
          <cell r="F56">
            <v>31.192935910000006</v>
          </cell>
        </row>
        <row r="57">
          <cell r="E57">
            <v>40026</v>
          </cell>
          <cell r="F57">
            <v>30.226269621666674</v>
          </cell>
        </row>
        <row r="58">
          <cell r="E58">
            <v>40057</v>
          </cell>
          <cell r="F58">
            <v>29.669869775000006</v>
          </cell>
        </row>
        <row r="59">
          <cell r="E59">
            <v>40087</v>
          </cell>
          <cell r="F59">
            <v>26.742481841666685</v>
          </cell>
        </row>
        <row r="60">
          <cell r="E60">
            <v>40118</v>
          </cell>
          <cell r="F60">
            <v>24.653847675833347</v>
          </cell>
        </row>
        <row r="61">
          <cell r="E61">
            <v>40148</v>
          </cell>
          <cell r="F61">
            <v>23.059673959166684</v>
          </cell>
        </row>
        <row r="62">
          <cell r="E62">
            <v>40179</v>
          </cell>
          <cell r="F62">
            <v>22.263472544166678</v>
          </cell>
        </row>
        <row r="63">
          <cell r="E63">
            <v>40210</v>
          </cell>
          <cell r="F63">
            <v>21.356658923333345</v>
          </cell>
        </row>
        <row r="64">
          <cell r="E64">
            <v>40238</v>
          </cell>
          <cell r="F64">
            <v>20.560388841666676</v>
          </cell>
        </row>
        <row r="65">
          <cell r="E65">
            <v>40269</v>
          </cell>
          <cell r="F65">
            <v>20.169647824166677</v>
          </cell>
        </row>
        <row r="66">
          <cell r="E66">
            <v>40299</v>
          </cell>
          <cell r="F66">
            <v>17.008287950833342</v>
          </cell>
        </row>
        <row r="67">
          <cell r="E67">
            <v>40330</v>
          </cell>
          <cell r="F67">
            <v>14.66693170333334</v>
          </cell>
        </row>
        <row r="68">
          <cell r="E68">
            <v>40360</v>
          </cell>
          <cell r="F68">
            <v>14.417360290000007</v>
          </cell>
        </row>
        <row r="69">
          <cell r="E69">
            <v>40391</v>
          </cell>
          <cell r="F69">
            <v>14.330801530833341</v>
          </cell>
        </row>
        <row r="70">
          <cell r="E70">
            <v>40422</v>
          </cell>
          <cell r="F70">
            <v>14.599257111666672</v>
          </cell>
        </row>
        <row r="71">
          <cell r="E71">
            <v>40452</v>
          </cell>
          <cell r="F71">
            <v>14.533860602500001</v>
          </cell>
        </row>
        <row r="72">
          <cell r="E72">
            <v>40483</v>
          </cell>
          <cell r="F72">
            <v>14.65641071416667</v>
          </cell>
        </row>
        <row r="73">
          <cell r="E73">
            <v>40513</v>
          </cell>
          <cell r="F73">
            <v>14.905564232500003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_tradicionales"/>
    </sheetNames>
    <sheetDataSet>
      <sheetData sheetId="0">
        <row r="7">
          <cell r="C7">
            <v>3675331</v>
          </cell>
          <cell r="D7">
            <v>8750979</v>
          </cell>
          <cell r="E7">
            <v>1874771</v>
          </cell>
          <cell r="F7">
            <v>4908133</v>
          </cell>
          <cell r="G7">
            <v>39303503</v>
          </cell>
          <cell r="H7">
            <v>15849413</v>
          </cell>
        </row>
        <row r="8">
          <cell r="C8">
            <v>2670318</v>
          </cell>
          <cell r="D8">
            <v>14405146</v>
          </cell>
          <cell r="E8">
            <v>5772108</v>
          </cell>
          <cell r="F8">
            <v>13215481</v>
          </cell>
          <cell r="G8">
            <v>35060711</v>
          </cell>
          <cell r="H8">
            <v>15829122</v>
          </cell>
        </row>
        <row r="9">
          <cell r="C9">
            <v>3293889</v>
          </cell>
          <cell r="D9">
            <v>14523230</v>
          </cell>
          <cell r="E9">
            <v>4673551</v>
          </cell>
          <cell r="F9">
            <v>15536369</v>
          </cell>
          <cell r="G9">
            <v>32991284</v>
          </cell>
          <cell r="H9">
            <v>23157443</v>
          </cell>
        </row>
        <row r="10">
          <cell r="C10">
            <v>7781491</v>
          </cell>
          <cell r="D10">
            <v>8532579</v>
          </cell>
          <cell r="E10">
            <v>6602562</v>
          </cell>
          <cell r="F10">
            <v>24652837</v>
          </cell>
          <cell r="G10">
            <v>30051522</v>
          </cell>
          <cell r="H10">
            <v>14453159</v>
          </cell>
        </row>
        <row r="11">
          <cell r="C11">
            <v>13148751</v>
          </cell>
          <cell r="D11">
            <v>7459459</v>
          </cell>
          <cell r="E11">
            <v>3242162</v>
          </cell>
          <cell r="F11">
            <v>30291212</v>
          </cell>
          <cell r="G11">
            <v>15330900</v>
          </cell>
          <cell r="H11">
            <v>25110379</v>
          </cell>
        </row>
        <row r="12">
          <cell r="C12">
            <v>11514752</v>
          </cell>
          <cell r="D12">
            <v>6354481</v>
          </cell>
          <cell r="E12">
            <v>7983202</v>
          </cell>
          <cell r="F12">
            <v>33686581</v>
          </cell>
          <cell r="G12">
            <v>27916739</v>
          </cell>
          <cell r="H12">
            <v>32448986</v>
          </cell>
        </row>
        <row r="13">
          <cell r="C13">
            <v>10021549</v>
          </cell>
          <cell r="D13">
            <v>6083279</v>
          </cell>
          <cell r="E13">
            <v>6939262</v>
          </cell>
          <cell r="F13">
            <v>27157116</v>
          </cell>
          <cell r="G13">
            <v>13003639</v>
          </cell>
          <cell r="H13">
            <v>13670313</v>
          </cell>
        </row>
        <row r="14">
          <cell r="C14">
            <v>6024615</v>
          </cell>
          <cell r="D14">
            <v>8413454</v>
          </cell>
          <cell r="E14">
            <v>5397650</v>
          </cell>
          <cell r="F14">
            <v>17197131</v>
          </cell>
          <cell r="G14">
            <v>13985434</v>
          </cell>
          <cell r="H14">
            <v>20265480</v>
          </cell>
        </row>
        <row r="15">
          <cell r="C15">
            <v>4530210</v>
          </cell>
          <cell r="D15">
            <v>6872057</v>
          </cell>
          <cell r="E15">
            <v>4338826</v>
          </cell>
          <cell r="F15">
            <v>27797909</v>
          </cell>
          <cell r="G15">
            <v>16610231</v>
          </cell>
          <cell r="H15">
            <v>18732261</v>
          </cell>
        </row>
        <row r="16">
          <cell r="C16">
            <v>6495581</v>
          </cell>
          <cell r="D16">
            <v>11412823</v>
          </cell>
          <cell r="E16">
            <v>5146434</v>
          </cell>
          <cell r="F16">
            <v>37939425</v>
          </cell>
          <cell r="G16">
            <v>12805666</v>
          </cell>
          <cell r="H16">
            <v>24136126</v>
          </cell>
        </row>
        <row r="17">
          <cell r="C17">
            <v>9959969</v>
          </cell>
          <cell r="D17">
            <v>7314771</v>
          </cell>
          <cell r="E17">
            <v>7354842</v>
          </cell>
          <cell r="F17">
            <v>23466853</v>
          </cell>
          <cell r="G17">
            <v>16578146</v>
          </cell>
          <cell r="H17">
            <v>33995558</v>
          </cell>
        </row>
        <row r="18">
          <cell r="C18">
            <v>10372098</v>
          </cell>
          <cell r="D18">
            <v>4609470</v>
          </cell>
          <cell r="E18">
            <v>6031876</v>
          </cell>
          <cell r="F18">
            <v>31650980</v>
          </cell>
          <cell r="G18">
            <v>23241848</v>
          </cell>
          <cell r="H18">
            <v>30091881</v>
          </cell>
        </row>
        <row r="19">
          <cell r="C19">
            <v>84810972</v>
          </cell>
          <cell r="D19">
            <v>114957291</v>
          </cell>
          <cell r="E19">
            <v>157837890</v>
          </cell>
          <cell r="F19">
            <v>205299099</v>
          </cell>
          <cell r="G19">
            <v>202697429</v>
          </cell>
          <cell r="H19">
            <v>154947247</v>
          </cell>
        </row>
        <row r="20">
          <cell r="C20">
            <v>104337604</v>
          </cell>
          <cell r="D20">
            <v>170500252</v>
          </cell>
          <cell r="E20">
            <v>185374420</v>
          </cell>
          <cell r="F20">
            <v>248890377</v>
          </cell>
          <cell r="G20">
            <v>216908951</v>
          </cell>
          <cell r="H20">
            <v>190690059</v>
          </cell>
        </row>
        <row r="21">
          <cell r="C21">
            <v>121382686</v>
          </cell>
          <cell r="D21">
            <v>189630656</v>
          </cell>
          <cell r="E21">
            <v>222292457</v>
          </cell>
          <cell r="F21">
            <v>250641709</v>
          </cell>
          <cell r="G21">
            <v>239327665</v>
          </cell>
          <cell r="H21">
            <v>273620304</v>
          </cell>
        </row>
        <row r="22">
          <cell r="C22">
            <v>154212801</v>
          </cell>
          <cell r="D22">
            <v>163154492</v>
          </cell>
          <cell r="E22">
            <v>201173699</v>
          </cell>
          <cell r="F22">
            <v>317478124</v>
          </cell>
          <cell r="G22">
            <v>193666206</v>
          </cell>
          <cell r="H22">
            <v>212120414</v>
          </cell>
        </row>
        <row r="23">
          <cell r="C23">
            <v>147219103</v>
          </cell>
          <cell r="D23">
            <v>183890027</v>
          </cell>
          <cell r="E23">
            <v>260153558</v>
          </cell>
          <cell r="F23">
            <v>272727662</v>
          </cell>
          <cell r="G23">
            <v>252741778</v>
          </cell>
          <cell r="H23">
            <v>330194057</v>
          </cell>
        </row>
        <row r="24">
          <cell r="C24">
            <v>144940125</v>
          </cell>
          <cell r="D24">
            <v>194407348</v>
          </cell>
          <cell r="E24">
            <v>215784726</v>
          </cell>
          <cell r="F24">
            <v>259194451</v>
          </cell>
          <cell r="G24">
            <v>225420420</v>
          </cell>
          <cell r="H24">
            <v>201914582</v>
          </cell>
        </row>
        <row r="25">
          <cell r="C25">
            <v>147693645</v>
          </cell>
          <cell r="D25">
            <v>185965010</v>
          </cell>
          <cell r="E25">
            <v>239580050</v>
          </cell>
          <cell r="F25">
            <v>311694791</v>
          </cell>
          <cell r="G25">
            <v>213838402</v>
          </cell>
          <cell r="H25">
            <v>181865575</v>
          </cell>
        </row>
        <row r="26">
          <cell r="C26">
            <v>148702901</v>
          </cell>
          <cell r="D26">
            <v>194968660</v>
          </cell>
          <cell r="E26">
            <v>254475149</v>
          </cell>
          <cell r="F26">
            <v>272718039</v>
          </cell>
          <cell r="G26">
            <v>193384878</v>
          </cell>
          <cell r="H26">
            <v>201649109</v>
          </cell>
        </row>
        <row r="27">
          <cell r="C27">
            <v>155365954</v>
          </cell>
          <cell r="D27">
            <v>217381428</v>
          </cell>
          <cell r="E27">
            <v>295146832</v>
          </cell>
          <cell r="F27">
            <v>240200468</v>
          </cell>
          <cell r="G27">
            <v>233751973</v>
          </cell>
          <cell r="H27">
            <v>249967363</v>
          </cell>
        </row>
        <row r="28">
          <cell r="C28">
            <v>139746924</v>
          </cell>
          <cell r="D28">
            <v>221875561</v>
          </cell>
          <cell r="E28">
            <v>290916474</v>
          </cell>
          <cell r="F28">
            <v>371007234</v>
          </cell>
          <cell r="G28">
            <v>206411762</v>
          </cell>
          <cell r="H28">
            <v>227154341</v>
          </cell>
        </row>
        <row r="29">
          <cell r="C29">
            <v>159111952</v>
          </cell>
          <cell r="D29">
            <v>218286345</v>
          </cell>
          <cell r="E29">
            <v>318606664</v>
          </cell>
          <cell r="F29">
            <v>261514374</v>
          </cell>
          <cell r="G29">
            <v>210399902</v>
          </cell>
          <cell r="H29">
            <v>202186712</v>
          </cell>
        </row>
        <row r="30">
          <cell r="C30">
            <v>145220610</v>
          </cell>
          <cell r="D30">
            <v>183118421</v>
          </cell>
          <cell r="E30">
            <v>296690921</v>
          </cell>
          <cell r="F30">
            <v>286961248</v>
          </cell>
          <cell r="G30">
            <v>219920185</v>
          </cell>
          <cell r="H30">
            <v>251007241</v>
          </cell>
        </row>
      </sheetData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_intensidad_tecnologic"/>
    </sheetNames>
    <sheetDataSet>
      <sheetData sheetId="0">
        <row r="7">
          <cell r="C7">
            <v>9343520</v>
          </cell>
          <cell r="D7">
            <v>12546893</v>
          </cell>
          <cell r="E7">
            <v>12606881</v>
          </cell>
          <cell r="F7">
            <v>11449368</v>
          </cell>
          <cell r="G7">
            <v>38223586</v>
          </cell>
          <cell r="H7">
            <v>35578917</v>
          </cell>
        </row>
        <row r="8">
          <cell r="C8">
            <v>6992205</v>
          </cell>
          <cell r="D8">
            <v>23917203</v>
          </cell>
          <cell r="E8">
            <v>15422553</v>
          </cell>
          <cell r="F8">
            <v>29353292</v>
          </cell>
          <cell r="G8">
            <v>35953193</v>
          </cell>
          <cell r="H8">
            <v>39551887</v>
          </cell>
        </row>
        <row r="9">
          <cell r="C9">
            <v>11797680</v>
          </cell>
          <cell r="D9">
            <v>22769861</v>
          </cell>
          <cell r="E9">
            <v>23566278</v>
          </cell>
          <cell r="F9">
            <v>27438889</v>
          </cell>
          <cell r="G9">
            <v>38081356</v>
          </cell>
          <cell r="H9">
            <v>59710332</v>
          </cell>
        </row>
        <row r="10">
          <cell r="C10">
            <v>23226574</v>
          </cell>
          <cell r="D10">
            <v>14202802</v>
          </cell>
          <cell r="E10">
            <v>19489558</v>
          </cell>
          <cell r="F10">
            <v>24233457</v>
          </cell>
          <cell r="G10">
            <v>40676340</v>
          </cell>
          <cell r="H10">
            <v>36316001</v>
          </cell>
        </row>
        <row r="11">
          <cell r="C11">
            <v>28495254</v>
          </cell>
          <cell r="D11">
            <v>13865958</v>
          </cell>
          <cell r="E11">
            <v>14270790</v>
          </cell>
          <cell r="F11">
            <v>31560879</v>
          </cell>
          <cell r="G11">
            <v>31903930</v>
          </cell>
          <cell r="H11">
            <v>93453502</v>
          </cell>
        </row>
        <row r="12">
          <cell r="C12">
            <v>20791921</v>
          </cell>
          <cell r="D12">
            <v>19507475</v>
          </cell>
          <cell r="E12">
            <v>21550627</v>
          </cell>
          <cell r="F12">
            <v>23495373</v>
          </cell>
          <cell r="G12">
            <v>41351608</v>
          </cell>
          <cell r="H12">
            <v>48789141</v>
          </cell>
        </row>
        <row r="13">
          <cell r="C13">
            <v>16613361</v>
          </cell>
          <cell r="D13">
            <v>21680579</v>
          </cell>
          <cell r="E13">
            <v>20512635</v>
          </cell>
          <cell r="F13">
            <v>25970631</v>
          </cell>
          <cell r="G13">
            <v>28143013</v>
          </cell>
          <cell r="H13">
            <v>27177732</v>
          </cell>
        </row>
        <row r="14">
          <cell r="C14">
            <v>11735288</v>
          </cell>
          <cell r="D14">
            <v>17564446</v>
          </cell>
          <cell r="E14">
            <v>17492295</v>
          </cell>
          <cell r="F14">
            <v>17662241</v>
          </cell>
          <cell r="G14">
            <v>24973902</v>
          </cell>
          <cell r="H14">
            <v>50193392</v>
          </cell>
        </row>
        <row r="15">
          <cell r="C15">
            <v>11095378</v>
          </cell>
          <cell r="D15">
            <v>14578238</v>
          </cell>
          <cell r="E15">
            <v>15887632</v>
          </cell>
          <cell r="F15">
            <v>11456572</v>
          </cell>
          <cell r="G15">
            <v>32465790</v>
          </cell>
          <cell r="H15">
            <v>46918805</v>
          </cell>
        </row>
        <row r="16">
          <cell r="C16">
            <v>15369215</v>
          </cell>
          <cell r="D16">
            <v>26660453</v>
          </cell>
          <cell r="E16">
            <v>13869398</v>
          </cell>
          <cell r="F16">
            <v>28241161</v>
          </cell>
          <cell r="G16">
            <v>30818999</v>
          </cell>
          <cell r="H16">
            <v>43989147</v>
          </cell>
        </row>
        <row r="17">
          <cell r="C17">
            <v>15105301</v>
          </cell>
          <cell r="D17">
            <v>12548602</v>
          </cell>
          <cell r="E17">
            <v>15798563</v>
          </cell>
          <cell r="F17">
            <v>18526929</v>
          </cell>
          <cell r="G17">
            <v>51309499</v>
          </cell>
          <cell r="H17">
            <v>76347657</v>
          </cell>
        </row>
        <row r="18">
          <cell r="C18">
            <v>13919343</v>
          </cell>
          <cell r="D18">
            <v>10782765</v>
          </cell>
          <cell r="E18">
            <v>13205997</v>
          </cell>
          <cell r="F18">
            <v>24586250</v>
          </cell>
          <cell r="G18">
            <v>44622080</v>
          </cell>
          <cell r="H18">
            <v>106151449</v>
          </cell>
        </row>
        <row r="19">
          <cell r="C19">
            <v>6335018</v>
          </cell>
          <cell r="D19">
            <v>9039215</v>
          </cell>
          <cell r="E19">
            <v>15791862</v>
          </cell>
          <cell r="F19">
            <v>19404335</v>
          </cell>
          <cell r="G19">
            <v>33199253</v>
          </cell>
          <cell r="H19">
            <v>19423838</v>
          </cell>
        </row>
        <row r="20">
          <cell r="C20">
            <v>8362329</v>
          </cell>
          <cell r="D20">
            <v>11612854</v>
          </cell>
          <cell r="E20">
            <v>20001425</v>
          </cell>
          <cell r="F20">
            <v>35535169</v>
          </cell>
          <cell r="G20">
            <v>36178716</v>
          </cell>
          <cell r="H20">
            <v>25536851</v>
          </cell>
        </row>
        <row r="21">
          <cell r="C21">
            <v>12516614</v>
          </cell>
          <cell r="D21">
            <v>17069118</v>
          </cell>
          <cell r="E21">
            <v>22037884</v>
          </cell>
          <cell r="F21">
            <v>40003262</v>
          </cell>
          <cell r="G21">
            <v>36946571</v>
          </cell>
          <cell r="H21">
            <v>32256865</v>
          </cell>
        </row>
        <row r="22">
          <cell r="C22">
            <v>13132378</v>
          </cell>
          <cell r="D22">
            <v>15788967</v>
          </cell>
          <cell r="E22">
            <v>19132721</v>
          </cell>
          <cell r="F22">
            <v>68962762</v>
          </cell>
          <cell r="G22">
            <v>24392818</v>
          </cell>
          <cell r="H22">
            <v>29191518</v>
          </cell>
        </row>
        <row r="23">
          <cell r="C23">
            <v>14090298</v>
          </cell>
          <cell r="D23">
            <v>18583512</v>
          </cell>
          <cell r="E23">
            <v>22238559</v>
          </cell>
          <cell r="F23">
            <v>50627219</v>
          </cell>
          <cell r="G23">
            <v>26788234</v>
          </cell>
          <cell r="H23">
            <v>31292995</v>
          </cell>
        </row>
        <row r="24">
          <cell r="C24">
            <v>11333311</v>
          </cell>
          <cell r="D24">
            <v>15245396</v>
          </cell>
          <cell r="E24">
            <v>18091501</v>
          </cell>
          <cell r="F24">
            <v>71879600</v>
          </cell>
          <cell r="G24">
            <v>22363286</v>
          </cell>
          <cell r="H24">
            <v>30560026</v>
          </cell>
        </row>
        <row r="25">
          <cell r="C25">
            <v>10096109</v>
          </cell>
          <cell r="D25">
            <v>17374067</v>
          </cell>
          <cell r="E25">
            <v>23677722</v>
          </cell>
          <cell r="F25">
            <v>62214163</v>
          </cell>
          <cell r="G25">
            <v>27634945</v>
          </cell>
          <cell r="H25">
            <v>26095575</v>
          </cell>
        </row>
        <row r="26">
          <cell r="C26">
            <v>11505566</v>
          </cell>
          <cell r="D26">
            <v>16438840</v>
          </cell>
          <cell r="E26">
            <v>23718336</v>
          </cell>
          <cell r="F26">
            <v>56475669</v>
          </cell>
          <cell r="G26">
            <v>30602355</v>
          </cell>
          <cell r="H26">
            <v>25372374</v>
          </cell>
        </row>
        <row r="27">
          <cell r="C27">
            <v>11418959</v>
          </cell>
          <cell r="D27">
            <v>16750294</v>
          </cell>
          <cell r="E27">
            <v>25070029</v>
          </cell>
          <cell r="F27">
            <v>40943090</v>
          </cell>
          <cell r="G27">
            <v>35238088</v>
          </cell>
          <cell r="H27">
            <v>29684328</v>
          </cell>
        </row>
        <row r="28">
          <cell r="C28">
            <v>10710638</v>
          </cell>
          <cell r="D28">
            <v>18641265</v>
          </cell>
          <cell r="E28">
            <v>30062385</v>
          </cell>
          <cell r="F28">
            <v>59784437</v>
          </cell>
          <cell r="G28">
            <v>28815689</v>
          </cell>
          <cell r="H28">
            <v>33353412</v>
          </cell>
        </row>
        <row r="29">
          <cell r="C29">
            <v>13490560</v>
          </cell>
          <cell r="D29">
            <v>16334589</v>
          </cell>
          <cell r="E29">
            <v>30445752</v>
          </cell>
          <cell r="F29">
            <v>37392091</v>
          </cell>
          <cell r="G29">
            <v>28895007</v>
          </cell>
          <cell r="H29">
            <v>26537697</v>
          </cell>
        </row>
        <row r="30">
          <cell r="C30">
            <v>11330920</v>
          </cell>
          <cell r="D30">
            <v>17458235</v>
          </cell>
          <cell r="E30">
            <v>29501082</v>
          </cell>
          <cell r="F30">
            <v>47370644</v>
          </cell>
          <cell r="G30">
            <v>32502701</v>
          </cell>
          <cell r="H30">
            <v>30797248</v>
          </cell>
        </row>
        <row r="31">
          <cell r="C31">
            <v>19795380</v>
          </cell>
          <cell r="D31">
            <v>30128646</v>
          </cell>
          <cell r="E31">
            <v>50353810</v>
          </cell>
          <cell r="F31">
            <v>88437582</v>
          </cell>
          <cell r="G31">
            <v>64961584</v>
          </cell>
          <cell r="H31">
            <v>38253279</v>
          </cell>
        </row>
        <row r="32">
          <cell r="C32">
            <v>26491799</v>
          </cell>
          <cell r="D32">
            <v>59372773</v>
          </cell>
          <cell r="E32">
            <v>55902966</v>
          </cell>
          <cell r="F32">
            <v>84472151</v>
          </cell>
          <cell r="G32">
            <v>70957370</v>
          </cell>
          <cell r="H32">
            <v>53389837</v>
          </cell>
        </row>
        <row r="33">
          <cell r="C33">
            <v>32903572</v>
          </cell>
          <cell r="D33">
            <v>60108416</v>
          </cell>
          <cell r="E33">
            <v>63273247</v>
          </cell>
          <cell r="F33">
            <v>81187340</v>
          </cell>
          <cell r="G33">
            <v>76748939</v>
          </cell>
          <cell r="H33">
            <v>63580505</v>
          </cell>
        </row>
        <row r="34">
          <cell r="C34">
            <v>38143328</v>
          </cell>
          <cell r="D34">
            <v>49057432</v>
          </cell>
          <cell r="E34">
            <v>63852141</v>
          </cell>
          <cell r="F34">
            <v>118820877</v>
          </cell>
          <cell r="G34">
            <v>55514967</v>
          </cell>
          <cell r="H34">
            <v>58702657</v>
          </cell>
        </row>
        <row r="35">
          <cell r="C35">
            <v>35194484</v>
          </cell>
          <cell r="D35">
            <v>56919884</v>
          </cell>
          <cell r="E35">
            <v>86950443</v>
          </cell>
          <cell r="F35">
            <v>111525355</v>
          </cell>
          <cell r="G35">
            <v>93260051</v>
          </cell>
          <cell r="H35">
            <v>57660743</v>
          </cell>
        </row>
        <row r="36">
          <cell r="C36">
            <v>32009804</v>
          </cell>
          <cell r="D36">
            <v>62456126</v>
          </cell>
          <cell r="E36">
            <v>66104044</v>
          </cell>
          <cell r="F36">
            <v>89125365</v>
          </cell>
          <cell r="G36">
            <v>86122669</v>
          </cell>
          <cell r="H36">
            <v>62226002</v>
          </cell>
        </row>
        <row r="37">
          <cell r="C37">
            <v>34584423</v>
          </cell>
          <cell r="D37">
            <v>55080598</v>
          </cell>
          <cell r="E37">
            <v>76663713</v>
          </cell>
          <cell r="F37">
            <v>99360218</v>
          </cell>
          <cell r="G37">
            <v>58254476</v>
          </cell>
          <cell r="H37">
            <v>57792147</v>
          </cell>
        </row>
        <row r="38">
          <cell r="C38">
            <v>33331798</v>
          </cell>
          <cell r="D38">
            <v>42586530</v>
          </cell>
          <cell r="E38">
            <v>77487935</v>
          </cell>
          <cell r="F38">
            <v>91750338</v>
          </cell>
          <cell r="G38">
            <v>47323711</v>
          </cell>
          <cell r="H38">
            <v>47272338</v>
          </cell>
        </row>
        <row r="39">
          <cell r="C39">
            <v>40204142</v>
          </cell>
          <cell r="D39">
            <v>69634093</v>
          </cell>
          <cell r="E39">
            <v>87398392</v>
          </cell>
          <cell r="F39">
            <v>87287747</v>
          </cell>
          <cell r="G39">
            <v>60902158</v>
          </cell>
          <cell r="H39">
            <v>66503538</v>
          </cell>
        </row>
        <row r="40">
          <cell r="C40">
            <v>39099065</v>
          </cell>
          <cell r="D40">
            <v>64054348</v>
          </cell>
          <cell r="E40">
            <v>110373315</v>
          </cell>
          <cell r="F40">
            <v>141967413</v>
          </cell>
          <cell r="G40">
            <v>54660938</v>
          </cell>
          <cell r="H40">
            <v>60430861</v>
          </cell>
        </row>
        <row r="41">
          <cell r="C41">
            <v>49268898</v>
          </cell>
          <cell r="D41">
            <v>71697182</v>
          </cell>
          <cell r="E41">
            <v>106418468</v>
          </cell>
          <cell r="F41">
            <v>107962522</v>
          </cell>
          <cell r="G41">
            <v>51297909</v>
          </cell>
          <cell r="H41">
            <v>51264521</v>
          </cell>
        </row>
        <row r="42">
          <cell r="C42">
            <v>46003891</v>
          </cell>
          <cell r="D42">
            <v>63413138</v>
          </cell>
          <cell r="E42">
            <v>112531479</v>
          </cell>
          <cell r="F42">
            <v>108601649</v>
          </cell>
          <cell r="G42">
            <v>61088584</v>
          </cell>
          <cell r="H42">
            <v>65737680</v>
          </cell>
        </row>
        <row r="43">
          <cell r="C43">
            <v>37315684</v>
          </cell>
          <cell r="D43">
            <v>46022175</v>
          </cell>
          <cell r="E43">
            <v>51745559</v>
          </cell>
          <cell r="F43">
            <v>49100009</v>
          </cell>
          <cell r="G43">
            <v>61785584</v>
          </cell>
          <cell r="H43">
            <v>38142007</v>
          </cell>
        </row>
        <row r="44">
          <cell r="C44">
            <v>40046906</v>
          </cell>
          <cell r="D44">
            <v>56098175</v>
          </cell>
          <cell r="E44">
            <v>73030209</v>
          </cell>
          <cell r="F44">
            <v>72967084</v>
          </cell>
          <cell r="G44">
            <v>65364385</v>
          </cell>
          <cell r="H44">
            <v>54358974</v>
          </cell>
        </row>
        <row r="45">
          <cell r="C45">
            <v>41055196</v>
          </cell>
          <cell r="D45">
            <v>69446664</v>
          </cell>
          <cell r="E45">
            <v>82844943</v>
          </cell>
          <cell r="F45">
            <v>72331756</v>
          </cell>
          <cell r="G45">
            <v>62430121</v>
          </cell>
          <cell r="H45">
            <v>62692455</v>
          </cell>
        </row>
        <row r="46">
          <cell r="C46">
            <v>57138572</v>
          </cell>
          <cell r="D46">
            <v>59941648</v>
          </cell>
          <cell r="E46">
            <v>75628871</v>
          </cell>
          <cell r="F46">
            <v>77271295</v>
          </cell>
          <cell r="G46">
            <v>52729798</v>
          </cell>
          <cell r="H46">
            <v>66630747</v>
          </cell>
        </row>
        <row r="47">
          <cell r="C47">
            <v>55389189</v>
          </cell>
          <cell r="D47">
            <v>63813511</v>
          </cell>
          <cell r="E47">
            <v>85345544</v>
          </cell>
          <cell r="F47">
            <v>62664108</v>
          </cell>
          <cell r="G47">
            <v>58156406</v>
          </cell>
          <cell r="H47">
            <v>65794838</v>
          </cell>
        </row>
        <row r="48">
          <cell r="C48">
            <v>59936957</v>
          </cell>
          <cell r="D48">
            <v>61650835</v>
          </cell>
          <cell r="E48">
            <v>72828411</v>
          </cell>
          <cell r="F48">
            <v>57565038</v>
          </cell>
          <cell r="G48">
            <v>50618593</v>
          </cell>
          <cell r="H48">
            <v>60764901</v>
          </cell>
        </row>
        <row r="49">
          <cell r="C49">
            <v>63509920</v>
          </cell>
          <cell r="D49">
            <v>62178445</v>
          </cell>
          <cell r="E49">
            <v>86674038</v>
          </cell>
          <cell r="F49">
            <v>85594853</v>
          </cell>
          <cell r="G49">
            <v>56051180</v>
          </cell>
          <cell r="H49">
            <v>46727650</v>
          </cell>
        </row>
        <row r="50">
          <cell r="C50">
            <v>69115159</v>
          </cell>
          <cell r="D50">
            <v>84109072</v>
          </cell>
          <cell r="E50">
            <v>95716435</v>
          </cell>
          <cell r="F50">
            <v>75222326</v>
          </cell>
          <cell r="G50">
            <v>47861930</v>
          </cell>
          <cell r="H50">
            <v>56905190</v>
          </cell>
        </row>
        <row r="51">
          <cell r="C51">
            <v>66181805</v>
          </cell>
          <cell r="D51">
            <v>78446602</v>
          </cell>
          <cell r="E51">
            <v>95087427</v>
          </cell>
          <cell r="F51">
            <v>84516658</v>
          </cell>
          <cell r="G51">
            <v>60162282</v>
          </cell>
          <cell r="H51">
            <v>62574131</v>
          </cell>
        </row>
        <row r="52">
          <cell r="C52">
            <v>52452800</v>
          </cell>
          <cell r="D52">
            <v>77347561</v>
          </cell>
          <cell r="E52">
            <v>97278266</v>
          </cell>
          <cell r="F52">
            <v>95369841</v>
          </cell>
          <cell r="G52">
            <v>54962480</v>
          </cell>
          <cell r="H52">
            <v>59516176</v>
          </cell>
        </row>
        <row r="53">
          <cell r="C53">
            <v>57081417</v>
          </cell>
          <cell r="D53">
            <v>81279759</v>
          </cell>
          <cell r="E53">
            <v>128546715</v>
          </cell>
          <cell r="F53">
            <v>76150389</v>
          </cell>
          <cell r="G53">
            <v>53624661</v>
          </cell>
          <cell r="H53">
            <v>49613410</v>
          </cell>
        </row>
        <row r="54">
          <cell r="C54">
            <v>56510287</v>
          </cell>
          <cell r="D54">
            <v>72585549</v>
          </cell>
          <cell r="E54">
            <v>104308672</v>
          </cell>
          <cell r="F54">
            <v>90768908</v>
          </cell>
          <cell r="G54">
            <v>57841999</v>
          </cell>
          <cell r="H54">
            <v>52165011</v>
          </cell>
        </row>
        <row r="55">
          <cell r="C55">
            <v>10279608</v>
          </cell>
          <cell r="D55">
            <v>14054273</v>
          </cell>
          <cell r="E55">
            <v>21077350</v>
          </cell>
          <cell r="F55">
            <v>30035775</v>
          </cell>
          <cell r="G55">
            <v>30159521</v>
          </cell>
          <cell r="H55">
            <v>33532616</v>
          </cell>
        </row>
        <row r="56">
          <cell r="C56">
            <v>16488683</v>
          </cell>
          <cell r="D56">
            <v>24177564</v>
          </cell>
          <cell r="E56">
            <v>14973604</v>
          </cell>
          <cell r="F56">
            <v>30616865</v>
          </cell>
          <cell r="G56">
            <v>32378881</v>
          </cell>
          <cell r="H56">
            <v>26950436</v>
          </cell>
        </row>
        <row r="57">
          <cell r="C57">
            <v>15400600</v>
          </cell>
          <cell r="D57">
            <v>23203580</v>
          </cell>
          <cell r="E57">
            <v>23958557</v>
          </cell>
          <cell r="F57">
            <v>34710951</v>
          </cell>
          <cell r="G57">
            <v>46140766</v>
          </cell>
          <cell r="H57">
            <v>65729503</v>
          </cell>
        </row>
        <row r="58">
          <cell r="C58">
            <v>19310113</v>
          </cell>
          <cell r="D58">
            <v>18892640</v>
          </cell>
          <cell r="E58">
            <v>19854883</v>
          </cell>
          <cell r="F58">
            <v>43136693</v>
          </cell>
          <cell r="G58">
            <v>41273878</v>
          </cell>
          <cell r="H58">
            <v>26286801</v>
          </cell>
        </row>
        <row r="59">
          <cell r="C59">
            <v>17740974</v>
          </cell>
          <cell r="D59">
            <v>25289725</v>
          </cell>
          <cell r="E59">
            <v>43993975</v>
          </cell>
          <cell r="F59">
            <v>37085005</v>
          </cell>
          <cell r="G59">
            <v>48055851</v>
          </cell>
          <cell r="H59">
            <v>95830191</v>
          </cell>
        </row>
        <row r="60">
          <cell r="C60">
            <v>21676529</v>
          </cell>
          <cell r="D60">
            <v>27866141</v>
          </cell>
          <cell r="E60">
            <v>32212496</v>
          </cell>
          <cell r="F60">
            <v>41742787</v>
          </cell>
          <cell r="G60">
            <v>41666694</v>
          </cell>
          <cell r="H60">
            <v>23911901</v>
          </cell>
        </row>
        <row r="61">
          <cell r="C61">
            <v>24079635</v>
          </cell>
          <cell r="D61">
            <v>22237383</v>
          </cell>
          <cell r="E61">
            <v>27903637</v>
          </cell>
          <cell r="F61">
            <v>54844762</v>
          </cell>
          <cell r="G61">
            <v>47007477</v>
          </cell>
          <cell r="H61">
            <v>27487085</v>
          </cell>
        </row>
        <row r="62">
          <cell r="C62">
            <v>18025142</v>
          </cell>
          <cell r="D62">
            <v>28282615</v>
          </cell>
          <cell r="E62">
            <v>30989426</v>
          </cell>
          <cell r="F62">
            <v>39925062</v>
          </cell>
          <cell r="G62">
            <v>48643236</v>
          </cell>
          <cell r="H62">
            <v>34980018</v>
          </cell>
        </row>
        <row r="63">
          <cell r="C63">
            <v>18685480</v>
          </cell>
          <cell r="D63">
            <v>32079404</v>
          </cell>
          <cell r="E63">
            <v>58307029</v>
          </cell>
          <cell r="F63">
            <v>36599137</v>
          </cell>
          <cell r="G63">
            <v>49429855</v>
          </cell>
          <cell r="H63">
            <v>53882877</v>
          </cell>
        </row>
        <row r="64">
          <cell r="C64">
            <v>18574063</v>
          </cell>
          <cell r="D64">
            <v>35608060</v>
          </cell>
          <cell r="E64">
            <v>28236847</v>
          </cell>
          <cell r="F64">
            <v>68091926</v>
          </cell>
          <cell r="G64">
            <v>41172502</v>
          </cell>
          <cell r="H64">
            <v>45957677</v>
          </cell>
        </row>
        <row r="65">
          <cell r="C65">
            <v>20590647</v>
          </cell>
          <cell r="D65">
            <v>29873828</v>
          </cell>
          <cell r="E65">
            <v>29038112</v>
          </cell>
          <cell r="F65">
            <v>32253189</v>
          </cell>
          <cell r="G65">
            <v>34839721</v>
          </cell>
          <cell r="H65">
            <v>23986134</v>
          </cell>
        </row>
        <row r="66">
          <cell r="C66">
            <v>14760837</v>
          </cell>
          <cell r="D66">
            <v>13794132</v>
          </cell>
          <cell r="E66">
            <v>31542264</v>
          </cell>
          <cell r="F66">
            <v>33707538</v>
          </cell>
          <cell r="G66">
            <v>37997849</v>
          </cell>
          <cell r="H66">
            <v>19519693</v>
          </cell>
        </row>
        <row r="67">
          <cell r="C67">
            <v>5417095</v>
          </cell>
          <cell r="D67">
            <v>11917069</v>
          </cell>
          <cell r="E67">
            <v>8137197</v>
          </cell>
          <cell r="F67">
            <v>11780163</v>
          </cell>
          <cell r="G67">
            <v>13671403</v>
          </cell>
          <cell r="H67">
            <v>5866003</v>
          </cell>
        </row>
        <row r="68">
          <cell r="C68">
            <v>8625999</v>
          </cell>
          <cell r="D68">
            <v>9726829</v>
          </cell>
          <cell r="E68">
            <v>11815770</v>
          </cell>
          <cell r="F68">
            <v>9161297</v>
          </cell>
          <cell r="G68">
            <v>11137116</v>
          </cell>
          <cell r="H68">
            <v>6731197</v>
          </cell>
        </row>
        <row r="69">
          <cell r="C69">
            <v>11002912</v>
          </cell>
          <cell r="D69">
            <v>11556247</v>
          </cell>
          <cell r="E69">
            <v>11285099</v>
          </cell>
          <cell r="F69">
            <v>10505880</v>
          </cell>
          <cell r="G69">
            <v>11971196</v>
          </cell>
          <cell r="H69">
            <v>12808086</v>
          </cell>
        </row>
        <row r="70">
          <cell r="C70">
            <v>11043326</v>
          </cell>
          <cell r="D70">
            <v>13803583</v>
          </cell>
          <cell r="E70">
            <v>9818087</v>
          </cell>
          <cell r="F70">
            <v>9705878</v>
          </cell>
          <cell r="G70">
            <v>9129927</v>
          </cell>
          <cell r="H70">
            <v>9445848</v>
          </cell>
        </row>
        <row r="71">
          <cell r="C71">
            <v>9457656</v>
          </cell>
          <cell r="D71">
            <v>12876897</v>
          </cell>
          <cell r="E71">
            <v>10596409</v>
          </cell>
          <cell r="F71">
            <v>9556307</v>
          </cell>
          <cell r="G71">
            <v>9908205</v>
          </cell>
          <cell r="H71">
            <v>11272168</v>
          </cell>
        </row>
        <row r="72">
          <cell r="C72">
            <v>10706355</v>
          </cell>
          <cell r="D72">
            <v>14035857</v>
          </cell>
          <cell r="E72">
            <v>12980849</v>
          </cell>
          <cell r="F72">
            <v>9072868</v>
          </cell>
          <cell r="G72">
            <v>11214310</v>
          </cell>
          <cell r="H72">
            <v>8111596</v>
          </cell>
        </row>
        <row r="73">
          <cell r="C73">
            <v>8831744</v>
          </cell>
          <cell r="D73">
            <v>13497218</v>
          </cell>
          <cell r="E73">
            <v>11087568</v>
          </cell>
          <cell r="F73">
            <v>10867280</v>
          </cell>
          <cell r="G73">
            <v>9750949</v>
          </cell>
          <cell r="H73">
            <v>10255699</v>
          </cell>
        </row>
        <row r="74">
          <cell r="C74">
            <v>11014563</v>
          </cell>
          <cell r="D74">
            <v>14400610</v>
          </cell>
          <cell r="E74">
            <v>14468371</v>
          </cell>
          <cell r="F74">
            <v>8879534</v>
          </cell>
          <cell r="G74">
            <v>7965178</v>
          </cell>
          <cell r="H74">
            <v>7191278</v>
          </cell>
        </row>
        <row r="75">
          <cell r="C75">
            <v>12310399</v>
          </cell>
          <cell r="D75">
            <v>12764854</v>
          </cell>
          <cell r="E75">
            <v>17735148</v>
          </cell>
          <cell r="F75">
            <v>7195173</v>
          </cell>
          <cell r="G75">
            <v>12164030</v>
          </cell>
          <cell r="H75">
            <v>9135946</v>
          </cell>
        </row>
        <row r="76">
          <cell r="C76">
            <v>10036724</v>
          </cell>
          <cell r="D76">
            <v>10976696</v>
          </cell>
          <cell r="E76">
            <v>16242696</v>
          </cell>
          <cell r="F76">
            <v>15491882</v>
          </cell>
          <cell r="G76">
            <v>8786820</v>
          </cell>
          <cell r="H76">
            <v>8043192</v>
          </cell>
        </row>
        <row r="77">
          <cell r="C77">
            <v>13535099</v>
          </cell>
          <cell r="D77">
            <v>13867157</v>
          </cell>
          <cell r="E77">
            <v>15713896</v>
          </cell>
          <cell r="F77">
            <v>12696107</v>
          </cell>
          <cell r="G77">
            <v>7011250</v>
          </cell>
          <cell r="H77">
            <v>8432852</v>
          </cell>
        </row>
        <row r="78">
          <cell r="C78">
            <v>13067430</v>
          </cell>
          <cell r="D78">
            <v>9694072</v>
          </cell>
          <cell r="E78">
            <v>11633302</v>
          </cell>
          <cell r="F78">
            <v>13577240</v>
          </cell>
          <cell r="G78">
            <v>9108820</v>
          </cell>
          <cell r="H78">
            <v>6728041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princ_paises_tek_P1"/>
    </sheetNames>
    <sheetDataSet>
      <sheetData sheetId="0">
        <row r="7">
          <cell r="C7">
            <v>17402204</v>
          </cell>
          <cell r="D7">
            <v>14330312</v>
          </cell>
          <cell r="E7">
            <v>31232427</v>
          </cell>
          <cell r="F7">
            <v>29577714</v>
          </cell>
          <cell r="G7">
            <v>34077455</v>
          </cell>
          <cell r="H7">
            <v>36334681</v>
          </cell>
        </row>
        <row r="8">
          <cell r="C8">
            <v>23139778</v>
          </cell>
          <cell r="D8">
            <v>41714853</v>
          </cell>
          <cell r="E8">
            <v>25836100</v>
          </cell>
          <cell r="F8">
            <v>38156098</v>
          </cell>
          <cell r="G8">
            <v>32708424</v>
          </cell>
          <cell r="H8">
            <v>33739197</v>
          </cell>
        </row>
        <row r="9">
          <cell r="C9">
            <v>19676853</v>
          </cell>
          <cell r="D9">
            <v>41558375</v>
          </cell>
          <cell r="E9">
            <v>40438069</v>
          </cell>
          <cell r="F9">
            <v>46308016</v>
          </cell>
          <cell r="G9">
            <v>46975644</v>
          </cell>
          <cell r="H9">
            <v>79390640</v>
          </cell>
        </row>
        <row r="10">
          <cell r="C10">
            <v>33535753</v>
          </cell>
          <cell r="D10">
            <v>34338753</v>
          </cell>
          <cell r="E10">
            <v>36170047</v>
          </cell>
          <cell r="F10">
            <v>53817842</v>
          </cell>
          <cell r="G10">
            <v>38498740</v>
          </cell>
          <cell r="H10">
            <v>41696727</v>
          </cell>
        </row>
        <row r="11">
          <cell r="C11">
            <v>36504985</v>
          </cell>
          <cell r="D11">
            <v>33551354</v>
          </cell>
          <cell r="E11">
            <v>59449888</v>
          </cell>
          <cell r="F11">
            <v>45467732</v>
          </cell>
          <cell r="G11">
            <v>49752789</v>
          </cell>
          <cell r="H11">
            <v>99364814</v>
          </cell>
        </row>
        <row r="12">
          <cell r="C12">
            <v>29568233</v>
          </cell>
          <cell r="D12">
            <v>45858323</v>
          </cell>
          <cell r="E12">
            <v>39390357</v>
          </cell>
          <cell r="F12">
            <v>55608925</v>
          </cell>
          <cell r="G12">
            <v>40154916</v>
          </cell>
          <cell r="H12">
            <v>45749232</v>
          </cell>
        </row>
        <row r="13">
          <cell r="C13">
            <v>32084437</v>
          </cell>
          <cell r="D13">
            <v>44733653</v>
          </cell>
          <cell r="E13">
            <v>37234345</v>
          </cell>
          <cell r="F13">
            <v>64232972</v>
          </cell>
          <cell r="G13">
            <v>49545779</v>
          </cell>
          <cell r="H13">
            <v>43396685</v>
          </cell>
        </row>
        <row r="14">
          <cell r="C14">
            <v>25182145</v>
          </cell>
          <cell r="D14">
            <v>34936483</v>
          </cell>
          <cell r="E14">
            <v>32760192</v>
          </cell>
          <cell r="F14">
            <v>57451256</v>
          </cell>
          <cell r="G14">
            <v>34432616</v>
          </cell>
          <cell r="H14">
            <v>65041203</v>
          </cell>
        </row>
        <row r="15">
          <cell r="C15">
            <v>23120768</v>
          </cell>
          <cell r="D15">
            <v>46115181</v>
          </cell>
          <cell r="E15">
            <v>70873686</v>
          </cell>
          <cell r="F15">
            <v>57273556</v>
          </cell>
          <cell r="G15">
            <v>37867397</v>
          </cell>
          <cell r="H15">
            <v>52586646</v>
          </cell>
        </row>
        <row r="16">
          <cell r="C16">
            <v>25662333</v>
          </cell>
          <cell r="D16">
            <v>41576894</v>
          </cell>
          <cell r="E16">
            <v>42882519</v>
          </cell>
          <cell r="F16">
            <v>58268954</v>
          </cell>
          <cell r="G16">
            <v>37332482</v>
          </cell>
          <cell r="H16">
            <v>45276226</v>
          </cell>
        </row>
        <row r="17">
          <cell r="C17">
            <v>27680743</v>
          </cell>
          <cell r="D17">
            <v>38617762</v>
          </cell>
          <cell r="E17">
            <v>52274511</v>
          </cell>
          <cell r="F17">
            <v>32685626</v>
          </cell>
          <cell r="G17">
            <v>37323722</v>
          </cell>
          <cell r="H17">
            <v>73955914</v>
          </cell>
        </row>
        <row r="18">
          <cell r="C18">
            <v>21340571</v>
          </cell>
          <cell r="D18">
            <v>23624081</v>
          </cell>
          <cell r="E18">
            <v>40007123</v>
          </cell>
          <cell r="F18">
            <v>60519283</v>
          </cell>
          <cell r="G18">
            <v>46674696</v>
          </cell>
          <cell r="H18">
            <v>96752867</v>
          </cell>
        </row>
        <row r="32">
          <cell r="C32">
            <v>4575002</v>
          </cell>
          <cell r="D32">
            <v>3622291</v>
          </cell>
          <cell r="E32">
            <v>5885066</v>
          </cell>
          <cell r="F32">
            <v>3363859</v>
          </cell>
          <cell r="G32">
            <v>14791959</v>
          </cell>
          <cell r="H32">
            <v>11965198</v>
          </cell>
        </row>
        <row r="33">
          <cell r="C33">
            <v>2833973</v>
          </cell>
          <cell r="D33">
            <v>9339787</v>
          </cell>
          <cell r="E33">
            <v>6182082</v>
          </cell>
          <cell r="F33">
            <v>9116900</v>
          </cell>
          <cell r="G33">
            <v>11804714</v>
          </cell>
          <cell r="H33">
            <v>18156314</v>
          </cell>
        </row>
        <row r="34">
          <cell r="C34">
            <v>3793502</v>
          </cell>
          <cell r="D34">
            <v>8891275</v>
          </cell>
          <cell r="E34">
            <v>14243134</v>
          </cell>
          <cell r="F34">
            <v>9730027</v>
          </cell>
          <cell r="G34">
            <v>15133212</v>
          </cell>
          <cell r="H34">
            <v>29691217</v>
          </cell>
        </row>
        <row r="35">
          <cell r="C35">
            <v>12910345</v>
          </cell>
          <cell r="D35">
            <v>3941047</v>
          </cell>
          <cell r="E35">
            <v>10185240</v>
          </cell>
          <cell r="F35">
            <v>6309691</v>
          </cell>
          <cell r="G35">
            <v>11393773</v>
          </cell>
          <cell r="H35">
            <v>16276237</v>
          </cell>
        </row>
        <row r="36">
          <cell r="C36">
            <v>17380901</v>
          </cell>
          <cell r="D36">
            <v>4086586</v>
          </cell>
          <cell r="E36">
            <v>4063986</v>
          </cell>
          <cell r="F36">
            <v>3855775</v>
          </cell>
          <cell r="G36">
            <v>14298849</v>
          </cell>
          <cell r="H36">
            <v>64321440</v>
          </cell>
        </row>
        <row r="37">
          <cell r="C37">
            <v>10129081</v>
          </cell>
          <cell r="D37">
            <v>12270814</v>
          </cell>
          <cell r="E37">
            <v>8665754</v>
          </cell>
          <cell r="F37">
            <v>3736924</v>
          </cell>
          <cell r="G37">
            <v>12488568</v>
          </cell>
          <cell r="H37">
            <v>22126890</v>
          </cell>
        </row>
        <row r="38">
          <cell r="C38">
            <v>8735924</v>
          </cell>
          <cell r="D38">
            <v>12419328</v>
          </cell>
          <cell r="E38">
            <v>9040305</v>
          </cell>
          <cell r="F38">
            <v>6821075</v>
          </cell>
          <cell r="G38">
            <v>15493718</v>
          </cell>
          <cell r="H38">
            <v>13573408</v>
          </cell>
        </row>
        <row r="39">
          <cell r="C39">
            <v>5793422</v>
          </cell>
          <cell r="D39">
            <v>5516556</v>
          </cell>
          <cell r="E39">
            <v>4858799</v>
          </cell>
          <cell r="F39">
            <v>4601630</v>
          </cell>
          <cell r="G39">
            <v>11296402</v>
          </cell>
          <cell r="H39">
            <v>33918126</v>
          </cell>
        </row>
        <row r="40">
          <cell r="C40">
            <v>5307447</v>
          </cell>
          <cell r="D40">
            <v>6370169</v>
          </cell>
          <cell r="E40">
            <v>5738903</v>
          </cell>
          <cell r="F40">
            <v>4053874</v>
          </cell>
          <cell r="G40">
            <v>14085979</v>
          </cell>
          <cell r="H40">
            <v>27003792</v>
          </cell>
        </row>
        <row r="41">
          <cell r="C41">
            <v>8769730</v>
          </cell>
          <cell r="D41">
            <v>11663522</v>
          </cell>
          <cell r="E41">
            <v>4573160</v>
          </cell>
          <cell r="F41">
            <v>2528764</v>
          </cell>
          <cell r="G41">
            <v>15188187</v>
          </cell>
          <cell r="H41">
            <v>20424545</v>
          </cell>
        </row>
        <row r="42">
          <cell r="C42">
            <v>8984673</v>
          </cell>
          <cell r="D42">
            <v>3512289</v>
          </cell>
          <cell r="E42">
            <v>6552899</v>
          </cell>
          <cell r="F42">
            <v>6185457</v>
          </cell>
          <cell r="G42">
            <v>20814016</v>
          </cell>
          <cell r="H42">
            <v>48601337</v>
          </cell>
        </row>
        <row r="43">
          <cell r="C43">
            <v>4052330</v>
          </cell>
          <cell r="D43">
            <v>1871533</v>
          </cell>
          <cell r="E43">
            <v>3207899</v>
          </cell>
          <cell r="F43">
            <v>11803823</v>
          </cell>
          <cell r="G43">
            <v>21185670</v>
          </cell>
          <cell r="H43">
            <v>76310954</v>
          </cell>
        </row>
        <row r="57">
          <cell r="C57">
            <v>674705</v>
          </cell>
          <cell r="D57">
            <v>1224265</v>
          </cell>
          <cell r="E57">
            <v>3961768</v>
          </cell>
          <cell r="F57">
            <v>1423426</v>
          </cell>
          <cell r="G57">
            <v>3445049</v>
          </cell>
          <cell r="H57">
            <v>3558824</v>
          </cell>
        </row>
        <row r="58">
          <cell r="C58">
            <v>675010</v>
          </cell>
          <cell r="D58">
            <v>830167</v>
          </cell>
          <cell r="E58">
            <v>4004187</v>
          </cell>
          <cell r="F58">
            <v>2525233</v>
          </cell>
          <cell r="G58">
            <v>3216442</v>
          </cell>
          <cell r="H58">
            <v>4723019</v>
          </cell>
        </row>
        <row r="59">
          <cell r="C59">
            <v>1520117</v>
          </cell>
          <cell r="D59">
            <v>1383744</v>
          </cell>
          <cell r="E59">
            <v>6076482</v>
          </cell>
          <cell r="F59">
            <v>4791627</v>
          </cell>
          <cell r="G59">
            <v>4186913</v>
          </cell>
          <cell r="H59">
            <v>5287280</v>
          </cell>
        </row>
        <row r="60">
          <cell r="C60">
            <v>1313569</v>
          </cell>
          <cell r="D60">
            <v>1269479</v>
          </cell>
          <cell r="E60">
            <v>3578232</v>
          </cell>
          <cell r="F60">
            <v>7918417</v>
          </cell>
          <cell r="G60">
            <v>2716509</v>
          </cell>
          <cell r="H60">
            <v>4726541</v>
          </cell>
        </row>
        <row r="61">
          <cell r="C61">
            <v>980646</v>
          </cell>
          <cell r="D61">
            <v>1344970</v>
          </cell>
          <cell r="E61">
            <v>2664271</v>
          </cell>
          <cell r="F61">
            <v>6458805</v>
          </cell>
          <cell r="G61">
            <v>3210931</v>
          </cell>
          <cell r="H61">
            <v>5432389</v>
          </cell>
        </row>
        <row r="62">
          <cell r="C62">
            <v>956500</v>
          </cell>
          <cell r="D62">
            <v>1389213</v>
          </cell>
          <cell r="E62">
            <v>3234062</v>
          </cell>
          <cell r="F62">
            <v>17784158</v>
          </cell>
          <cell r="G62">
            <v>2338336</v>
          </cell>
          <cell r="H62">
            <v>4830509</v>
          </cell>
        </row>
        <row r="63">
          <cell r="C63">
            <v>1582016</v>
          </cell>
          <cell r="D63">
            <v>2004329</v>
          </cell>
          <cell r="E63">
            <v>4386240</v>
          </cell>
          <cell r="F63">
            <v>7515739</v>
          </cell>
          <cell r="G63">
            <v>3054154</v>
          </cell>
          <cell r="H63">
            <v>6013720</v>
          </cell>
        </row>
        <row r="64">
          <cell r="C64">
            <v>1290917</v>
          </cell>
          <cell r="D64">
            <v>1259809</v>
          </cell>
          <cell r="E64">
            <v>1645788</v>
          </cell>
          <cell r="F64">
            <v>9489171</v>
          </cell>
          <cell r="G64">
            <v>2929579</v>
          </cell>
          <cell r="H64">
            <v>3871822</v>
          </cell>
        </row>
        <row r="65">
          <cell r="C65">
            <v>1304912</v>
          </cell>
          <cell r="D65">
            <v>1319224</v>
          </cell>
          <cell r="E65">
            <v>2432788</v>
          </cell>
          <cell r="F65">
            <v>10697786</v>
          </cell>
          <cell r="G65">
            <v>4745857</v>
          </cell>
          <cell r="H65">
            <v>5214034</v>
          </cell>
        </row>
        <row r="66">
          <cell r="C66">
            <v>1175076</v>
          </cell>
          <cell r="D66">
            <v>2856608</v>
          </cell>
          <cell r="E66">
            <v>5090161</v>
          </cell>
          <cell r="F66">
            <v>5517043</v>
          </cell>
          <cell r="G66">
            <v>3009772</v>
          </cell>
          <cell r="H66">
            <v>5592365</v>
          </cell>
        </row>
        <row r="67">
          <cell r="C67">
            <v>1188612</v>
          </cell>
          <cell r="D67">
            <v>1576095</v>
          </cell>
          <cell r="E67">
            <v>5651401</v>
          </cell>
          <cell r="F67">
            <v>5909613</v>
          </cell>
          <cell r="G67">
            <v>3723785</v>
          </cell>
          <cell r="H67">
            <v>5354792</v>
          </cell>
        </row>
        <row r="68">
          <cell r="C68">
            <v>1437594</v>
          </cell>
          <cell r="D68">
            <v>1531672</v>
          </cell>
          <cell r="E68">
            <v>3175943</v>
          </cell>
          <cell r="F68">
            <v>6351953</v>
          </cell>
          <cell r="G68">
            <v>4567258</v>
          </cell>
          <cell r="H68">
            <v>5160310</v>
          </cell>
        </row>
        <row r="82">
          <cell r="C82">
            <v>3820003</v>
          </cell>
          <cell r="D82">
            <v>3637981</v>
          </cell>
          <cell r="E82">
            <v>16352599</v>
          </cell>
          <cell r="F82">
            <v>10356163</v>
          </cell>
          <cell r="G82">
            <v>7033885</v>
          </cell>
          <cell r="H82">
            <v>5055728</v>
          </cell>
        </row>
        <row r="83">
          <cell r="C83">
            <v>5375202</v>
          </cell>
          <cell r="D83">
            <v>22910449</v>
          </cell>
          <cell r="E83">
            <v>10917587</v>
          </cell>
          <cell r="F83">
            <v>8701807</v>
          </cell>
          <cell r="G83">
            <v>6214742</v>
          </cell>
          <cell r="H83">
            <v>4506452</v>
          </cell>
        </row>
        <row r="84">
          <cell r="C84">
            <v>6014938</v>
          </cell>
          <cell r="D84">
            <v>19574032</v>
          </cell>
          <cell r="E84">
            <v>13880112</v>
          </cell>
          <cell r="F84">
            <v>15340227</v>
          </cell>
          <cell r="G84">
            <v>7120135</v>
          </cell>
          <cell r="H84">
            <v>7699237</v>
          </cell>
        </row>
        <row r="85">
          <cell r="C85">
            <v>8007086</v>
          </cell>
          <cell r="D85">
            <v>15357130</v>
          </cell>
          <cell r="E85">
            <v>13549514</v>
          </cell>
          <cell r="F85">
            <v>13650054</v>
          </cell>
          <cell r="G85">
            <v>6954334</v>
          </cell>
          <cell r="H85">
            <v>8115616</v>
          </cell>
        </row>
        <row r="86">
          <cell r="C86">
            <v>5519098</v>
          </cell>
          <cell r="D86">
            <v>11078096</v>
          </cell>
          <cell r="E86">
            <v>20930021</v>
          </cell>
          <cell r="F86">
            <v>15145621</v>
          </cell>
          <cell r="G86">
            <v>6981396</v>
          </cell>
          <cell r="H86">
            <v>8847398</v>
          </cell>
        </row>
        <row r="87">
          <cell r="C87">
            <v>6001243</v>
          </cell>
          <cell r="D87">
            <v>19469919</v>
          </cell>
          <cell r="E87">
            <v>7307384</v>
          </cell>
          <cell r="F87">
            <v>14902238</v>
          </cell>
          <cell r="G87">
            <v>8386487</v>
          </cell>
          <cell r="H87">
            <v>8816203</v>
          </cell>
        </row>
        <row r="88">
          <cell r="C88">
            <v>6155842</v>
          </cell>
          <cell r="D88">
            <v>16848778</v>
          </cell>
          <cell r="E88">
            <v>11608216</v>
          </cell>
          <cell r="F88">
            <v>21215925</v>
          </cell>
          <cell r="G88">
            <v>7759062</v>
          </cell>
          <cell r="H88">
            <v>8550481</v>
          </cell>
        </row>
        <row r="89">
          <cell r="C89">
            <v>5574202</v>
          </cell>
          <cell r="D89">
            <v>7883811</v>
          </cell>
          <cell r="E89">
            <v>6699058</v>
          </cell>
          <cell r="F89">
            <v>23799163</v>
          </cell>
          <cell r="G89">
            <v>5762303</v>
          </cell>
          <cell r="H89">
            <v>9035894</v>
          </cell>
        </row>
        <row r="90">
          <cell r="C90">
            <v>5772566</v>
          </cell>
          <cell r="D90">
            <v>22111402</v>
          </cell>
          <cell r="E90">
            <v>19461700</v>
          </cell>
          <cell r="F90">
            <v>21270394</v>
          </cell>
          <cell r="G90">
            <v>8348859</v>
          </cell>
          <cell r="H90">
            <v>8491582</v>
          </cell>
        </row>
        <row r="91">
          <cell r="C91">
            <v>6815723</v>
          </cell>
          <cell r="D91">
            <v>10200449</v>
          </cell>
          <cell r="E91">
            <v>12757139</v>
          </cell>
          <cell r="F91">
            <v>17548632</v>
          </cell>
          <cell r="G91">
            <v>5676887</v>
          </cell>
          <cell r="H91">
            <v>9591012</v>
          </cell>
        </row>
        <row r="92">
          <cell r="C92">
            <v>7256825</v>
          </cell>
          <cell r="D92">
            <v>16812313</v>
          </cell>
          <cell r="E92">
            <v>17025520</v>
          </cell>
          <cell r="F92">
            <v>10816036</v>
          </cell>
          <cell r="G92">
            <v>5166005</v>
          </cell>
          <cell r="H92">
            <v>8317599</v>
          </cell>
        </row>
        <row r="93">
          <cell r="C93">
            <v>6312546</v>
          </cell>
          <cell r="D93">
            <v>15196317</v>
          </cell>
          <cell r="E93">
            <v>13539928</v>
          </cell>
          <cell r="F93">
            <v>26941254</v>
          </cell>
          <cell r="G93">
            <v>8563782</v>
          </cell>
          <cell r="H93">
            <v>9120696</v>
          </cell>
        </row>
        <row r="107">
          <cell r="C107">
            <v>4414302</v>
          </cell>
          <cell r="D107">
            <v>2529492</v>
          </cell>
          <cell r="E107">
            <v>1667360</v>
          </cell>
          <cell r="F107">
            <v>4806775</v>
          </cell>
          <cell r="G107">
            <v>3496834</v>
          </cell>
          <cell r="H107">
            <v>4012674</v>
          </cell>
        </row>
        <row r="108">
          <cell r="C108">
            <v>7295040</v>
          </cell>
          <cell r="D108">
            <v>4721570</v>
          </cell>
          <cell r="E108">
            <v>2190410</v>
          </cell>
          <cell r="F108">
            <v>3721414</v>
          </cell>
          <cell r="G108">
            <v>2253428</v>
          </cell>
          <cell r="H108">
            <v>2596526</v>
          </cell>
        </row>
        <row r="109">
          <cell r="C109">
            <v>3594064</v>
          </cell>
          <cell r="D109">
            <v>4558622</v>
          </cell>
          <cell r="E109">
            <v>3215855</v>
          </cell>
          <cell r="F109">
            <v>5743370</v>
          </cell>
          <cell r="G109">
            <v>4180292</v>
          </cell>
          <cell r="H109">
            <v>4176612</v>
          </cell>
        </row>
        <row r="110">
          <cell r="C110">
            <v>7116148</v>
          </cell>
          <cell r="D110">
            <v>7097003</v>
          </cell>
          <cell r="E110">
            <v>3322315</v>
          </cell>
          <cell r="F110">
            <v>9763415</v>
          </cell>
          <cell r="G110">
            <v>1809976</v>
          </cell>
          <cell r="H110">
            <v>3893348</v>
          </cell>
        </row>
        <row r="111">
          <cell r="C111">
            <v>6195563</v>
          </cell>
          <cell r="D111">
            <v>7790688</v>
          </cell>
          <cell r="E111">
            <v>6293275</v>
          </cell>
          <cell r="F111">
            <v>4324498</v>
          </cell>
          <cell r="G111">
            <v>3493303</v>
          </cell>
          <cell r="H111">
            <v>4639475</v>
          </cell>
        </row>
        <row r="112">
          <cell r="C112">
            <v>5261581</v>
          </cell>
          <cell r="D112">
            <v>5027159</v>
          </cell>
          <cell r="E112">
            <v>4887390</v>
          </cell>
          <cell r="F112">
            <v>5007292</v>
          </cell>
          <cell r="G112">
            <v>2867367</v>
          </cell>
          <cell r="H112">
            <v>4811347</v>
          </cell>
        </row>
        <row r="113">
          <cell r="C113">
            <v>6564519</v>
          </cell>
          <cell r="D113">
            <v>6921711</v>
          </cell>
          <cell r="E113">
            <v>4830888</v>
          </cell>
          <cell r="F113">
            <v>5658271</v>
          </cell>
          <cell r="G113">
            <v>4876468</v>
          </cell>
          <cell r="H113">
            <v>2865031</v>
          </cell>
        </row>
        <row r="114">
          <cell r="C114">
            <v>5777573</v>
          </cell>
          <cell r="D114">
            <v>11038417</v>
          </cell>
          <cell r="E114">
            <v>6064210</v>
          </cell>
          <cell r="F114">
            <v>4646014</v>
          </cell>
          <cell r="G114">
            <v>3762246</v>
          </cell>
          <cell r="H114">
            <v>7217539</v>
          </cell>
        </row>
        <row r="115">
          <cell r="C115">
            <v>5803679</v>
          </cell>
          <cell r="D115">
            <v>5533033</v>
          </cell>
          <cell r="E115">
            <v>5061257</v>
          </cell>
          <cell r="F115">
            <v>3954989</v>
          </cell>
          <cell r="G115">
            <v>2165665</v>
          </cell>
          <cell r="H115">
            <v>3677944</v>
          </cell>
        </row>
        <row r="116">
          <cell r="C116">
            <v>3167920</v>
          </cell>
          <cell r="D116">
            <v>5443346</v>
          </cell>
          <cell r="E116">
            <v>6850904</v>
          </cell>
          <cell r="F116">
            <v>3880070</v>
          </cell>
          <cell r="G116">
            <v>3965897</v>
          </cell>
          <cell r="H116">
            <v>6073202</v>
          </cell>
        </row>
        <row r="117">
          <cell r="C117">
            <v>5081138</v>
          </cell>
          <cell r="D117">
            <v>6471212</v>
          </cell>
          <cell r="E117">
            <v>10076952</v>
          </cell>
          <cell r="F117">
            <v>4475154</v>
          </cell>
          <cell r="G117">
            <v>2164124</v>
          </cell>
          <cell r="H117">
            <v>5218327</v>
          </cell>
        </row>
        <row r="118">
          <cell r="C118">
            <v>4056959</v>
          </cell>
          <cell r="D118">
            <v>4031695</v>
          </cell>
          <cell r="E118">
            <v>4828450</v>
          </cell>
          <cell r="F118">
            <v>3018077</v>
          </cell>
          <cell r="G118">
            <v>4922614</v>
          </cell>
          <cell r="H118">
            <v>2018484</v>
          </cell>
        </row>
        <row r="132">
          <cell r="C132">
            <v>2028747</v>
          </cell>
          <cell r="D132">
            <v>2317812</v>
          </cell>
          <cell r="E132">
            <v>2465162</v>
          </cell>
          <cell r="F132">
            <v>8372125</v>
          </cell>
          <cell r="G132">
            <v>2979045</v>
          </cell>
          <cell r="H132">
            <v>10071551</v>
          </cell>
        </row>
        <row r="133">
          <cell r="C133">
            <v>5567988</v>
          </cell>
          <cell r="D133">
            <v>3024589</v>
          </cell>
          <cell r="E133">
            <v>1265695</v>
          </cell>
          <cell r="F133">
            <v>12522149</v>
          </cell>
          <cell r="G133">
            <v>7798719</v>
          </cell>
          <cell r="H133">
            <v>2915018</v>
          </cell>
        </row>
        <row r="134">
          <cell r="C134">
            <v>3836199</v>
          </cell>
          <cell r="D134">
            <v>6310639</v>
          </cell>
          <cell r="E134">
            <v>1303872</v>
          </cell>
          <cell r="F134">
            <v>9784691</v>
          </cell>
          <cell r="G134">
            <v>13710992</v>
          </cell>
          <cell r="H134">
            <v>29616291</v>
          </cell>
        </row>
        <row r="135">
          <cell r="C135">
            <v>3396863</v>
          </cell>
          <cell r="D135">
            <v>5505082</v>
          </cell>
          <cell r="E135">
            <v>4455779</v>
          </cell>
          <cell r="F135">
            <v>15111277</v>
          </cell>
          <cell r="G135">
            <v>14317762</v>
          </cell>
          <cell r="H135">
            <v>7049545</v>
          </cell>
        </row>
        <row r="136">
          <cell r="C136">
            <v>5350279</v>
          </cell>
          <cell r="D136">
            <v>7920400</v>
          </cell>
          <cell r="E136">
            <v>23867545</v>
          </cell>
          <cell r="F136">
            <v>14018670</v>
          </cell>
          <cell r="G136">
            <v>19251729</v>
          </cell>
          <cell r="H136">
            <v>14155046</v>
          </cell>
        </row>
        <row r="137">
          <cell r="C137">
            <v>6239817</v>
          </cell>
          <cell r="D137">
            <v>6629813</v>
          </cell>
          <cell r="E137">
            <v>13160657</v>
          </cell>
          <cell r="F137">
            <v>12866031</v>
          </cell>
          <cell r="G137">
            <v>11376956</v>
          </cell>
          <cell r="H137">
            <v>3762317</v>
          </cell>
        </row>
        <row r="138">
          <cell r="C138">
            <v>8316317</v>
          </cell>
          <cell r="D138">
            <v>5433531</v>
          </cell>
          <cell r="E138">
            <v>5648595</v>
          </cell>
          <cell r="F138">
            <v>21757626</v>
          </cell>
          <cell r="G138">
            <v>16020766</v>
          </cell>
          <cell r="H138">
            <v>9771264</v>
          </cell>
        </row>
        <row r="139">
          <cell r="C139">
            <v>5947123</v>
          </cell>
          <cell r="D139">
            <v>8259025</v>
          </cell>
          <cell r="E139">
            <v>11259478</v>
          </cell>
          <cell r="F139">
            <v>13655066</v>
          </cell>
          <cell r="G139">
            <v>8618128</v>
          </cell>
          <cell r="H139">
            <v>9101012</v>
          </cell>
        </row>
        <row r="140">
          <cell r="C140">
            <v>4185346</v>
          </cell>
          <cell r="D140">
            <v>9989587</v>
          </cell>
          <cell r="E140">
            <v>34337657</v>
          </cell>
          <cell r="F140">
            <v>16190482</v>
          </cell>
          <cell r="G140">
            <v>6476936</v>
          </cell>
          <cell r="H140">
            <v>5191064</v>
          </cell>
        </row>
        <row r="141">
          <cell r="C141">
            <v>4693923</v>
          </cell>
          <cell r="D141">
            <v>10596883</v>
          </cell>
          <cell r="E141">
            <v>10190833</v>
          </cell>
          <cell r="F141">
            <v>26605112</v>
          </cell>
          <cell r="G141">
            <v>7841667</v>
          </cell>
          <cell r="H141">
            <v>1640584</v>
          </cell>
        </row>
        <row r="142">
          <cell r="C142">
            <v>3913420</v>
          </cell>
          <cell r="D142">
            <v>9312722</v>
          </cell>
          <cell r="E142">
            <v>9165045</v>
          </cell>
          <cell r="F142">
            <v>4163027</v>
          </cell>
          <cell r="G142">
            <v>3989848</v>
          </cell>
          <cell r="H142">
            <v>4212582</v>
          </cell>
        </row>
        <row r="143">
          <cell r="C143">
            <v>4086984</v>
          </cell>
          <cell r="D143">
            <v>302315</v>
          </cell>
          <cell r="E143">
            <v>13499096</v>
          </cell>
          <cell r="F143">
            <v>9898306</v>
          </cell>
          <cell r="G143">
            <v>5379157</v>
          </cell>
          <cell r="H143">
            <v>2489600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2"/>
    </sheetNames>
    <sheetDataSet>
      <sheetData sheetId="0">
        <row r="7">
          <cell r="C7">
            <v>15317089</v>
          </cell>
          <cell r="D7">
            <v>19939445</v>
          </cell>
          <cell r="E7">
            <v>20542934</v>
          </cell>
          <cell r="F7">
            <v>21336793</v>
          </cell>
          <cell r="G7">
            <v>31076635</v>
          </cell>
          <cell r="H7">
            <v>19253279</v>
          </cell>
        </row>
        <row r="8">
          <cell r="C8">
            <v>20704948</v>
          </cell>
          <cell r="D8">
            <v>22980227</v>
          </cell>
          <cell r="E8">
            <v>27276871</v>
          </cell>
          <cell r="F8">
            <v>20302807</v>
          </cell>
          <cell r="G8">
            <v>26102098</v>
          </cell>
          <cell r="H8">
            <v>31779671</v>
          </cell>
        </row>
        <row r="9">
          <cell r="C9">
            <v>20863758</v>
          </cell>
          <cell r="D9">
            <v>28747463</v>
          </cell>
          <cell r="E9">
            <v>25727661</v>
          </cell>
          <cell r="F9">
            <v>34709926</v>
          </cell>
          <cell r="G9">
            <v>29061143</v>
          </cell>
          <cell r="H9">
            <v>39865209</v>
          </cell>
        </row>
        <row r="10">
          <cell r="C10">
            <v>21783839</v>
          </cell>
          <cell r="D10">
            <v>23195642</v>
          </cell>
          <cell r="E10">
            <v>28981443</v>
          </cell>
          <cell r="F10">
            <v>32254681</v>
          </cell>
          <cell r="G10">
            <v>28993326</v>
          </cell>
          <cell r="H10">
            <v>39509805</v>
          </cell>
        </row>
        <row r="11">
          <cell r="C11">
            <v>19412503</v>
          </cell>
          <cell r="D11">
            <v>27724884</v>
          </cell>
          <cell r="E11">
            <v>24475068</v>
          </cell>
          <cell r="F11">
            <v>28008064</v>
          </cell>
          <cell r="G11">
            <v>28568130</v>
          </cell>
          <cell r="H11">
            <v>37921468</v>
          </cell>
        </row>
        <row r="12">
          <cell r="C12">
            <v>22597744</v>
          </cell>
          <cell r="D12">
            <v>29511161</v>
          </cell>
          <cell r="E12">
            <v>24044969</v>
          </cell>
          <cell r="F12">
            <v>39348723</v>
          </cell>
          <cell r="G12">
            <v>29806540</v>
          </cell>
          <cell r="H12">
            <v>36452156</v>
          </cell>
        </row>
        <row r="13">
          <cell r="C13">
            <v>24391812</v>
          </cell>
          <cell r="D13">
            <v>27807634</v>
          </cell>
          <cell r="E13">
            <v>25885103</v>
          </cell>
          <cell r="F13">
            <v>41953770</v>
          </cell>
          <cell r="G13">
            <v>27879865</v>
          </cell>
          <cell r="H13">
            <v>33313402</v>
          </cell>
        </row>
        <row r="14">
          <cell r="C14">
            <v>25379841</v>
          </cell>
          <cell r="D14">
            <v>30804992</v>
          </cell>
          <cell r="E14">
            <v>27994317</v>
          </cell>
          <cell r="F14">
            <v>38390971</v>
          </cell>
          <cell r="G14">
            <v>24017787</v>
          </cell>
          <cell r="H14">
            <v>35108282</v>
          </cell>
        </row>
        <row r="15">
          <cell r="C15">
            <v>25896861</v>
          </cell>
          <cell r="D15">
            <v>27028759</v>
          </cell>
          <cell r="E15">
            <v>25225287</v>
          </cell>
          <cell r="F15">
            <v>33883863</v>
          </cell>
          <cell r="G15">
            <v>29529740</v>
          </cell>
          <cell r="H15">
            <v>51125794</v>
          </cell>
        </row>
        <row r="16">
          <cell r="C16">
            <v>22801317</v>
          </cell>
          <cell r="D16">
            <v>31322560</v>
          </cell>
          <cell r="E16">
            <v>25683763</v>
          </cell>
          <cell r="F16">
            <v>47688432</v>
          </cell>
          <cell r="G16">
            <v>30120318</v>
          </cell>
          <cell r="H16">
            <v>63215863</v>
          </cell>
        </row>
        <row r="17">
          <cell r="C17">
            <v>25772033</v>
          </cell>
          <cell r="D17">
            <v>26912770</v>
          </cell>
          <cell r="E17">
            <v>26505005</v>
          </cell>
          <cell r="F17">
            <v>39529816</v>
          </cell>
          <cell r="G17">
            <v>30383335</v>
          </cell>
          <cell r="H17">
            <v>31991367</v>
          </cell>
        </row>
        <row r="18">
          <cell r="C18">
            <v>22756122</v>
          </cell>
          <cell r="D18">
            <v>22860639</v>
          </cell>
          <cell r="E18">
            <v>27686092</v>
          </cell>
          <cell r="F18">
            <v>44139005</v>
          </cell>
          <cell r="G18">
            <v>31940797</v>
          </cell>
          <cell r="H18">
            <v>38501288</v>
          </cell>
        </row>
        <row r="32">
          <cell r="C32">
            <v>82852</v>
          </cell>
          <cell r="D32">
            <v>236824</v>
          </cell>
          <cell r="E32">
            <v>427097</v>
          </cell>
          <cell r="F32">
            <v>508106</v>
          </cell>
          <cell r="G32">
            <v>296196</v>
          </cell>
          <cell r="H32">
            <v>148297</v>
          </cell>
        </row>
        <row r="33">
          <cell r="C33">
            <v>37219</v>
          </cell>
          <cell r="D33">
            <v>238725</v>
          </cell>
          <cell r="E33">
            <v>271416</v>
          </cell>
          <cell r="F33">
            <v>301877</v>
          </cell>
          <cell r="G33">
            <v>153503</v>
          </cell>
          <cell r="H33">
            <v>498612</v>
          </cell>
        </row>
        <row r="34">
          <cell r="C34">
            <v>98002</v>
          </cell>
          <cell r="D34">
            <v>423822</v>
          </cell>
          <cell r="E34">
            <v>115288</v>
          </cell>
          <cell r="F34">
            <v>612344</v>
          </cell>
          <cell r="G34">
            <v>204591</v>
          </cell>
          <cell r="H34">
            <v>363209</v>
          </cell>
        </row>
        <row r="35">
          <cell r="C35">
            <v>28658</v>
          </cell>
          <cell r="D35">
            <v>806766</v>
          </cell>
          <cell r="E35">
            <v>301097</v>
          </cell>
          <cell r="F35">
            <v>497381</v>
          </cell>
          <cell r="G35">
            <v>173084</v>
          </cell>
          <cell r="H35">
            <v>177057</v>
          </cell>
        </row>
        <row r="36">
          <cell r="C36">
            <v>152210</v>
          </cell>
          <cell r="D36">
            <v>212558</v>
          </cell>
          <cell r="E36">
            <v>159451</v>
          </cell>
          <cell r="F36">
            <v>336917</v>
          </cell>
          <cell r="G36">
            <v>72155</v>
          </cell>
          <cell r="H36">
            <v>83187</v>
          </cell>
        </row>
        <row r="37">
          <cell r="C37">
            <v>78700</v>
          </cell>
          <cell r="D37">
            <v>149684</v>
          </cell>
          <cell r="E37">
            <v>499424</v>
          </cell>
          <cell r="F37">
            <v>518634</v>
          </cell>
          <cell r="G37">
            <v>133362</v>
          </cell>
          <cell r="H37">
            <v>226446</v>
          </cell>
        </row>
        <row r="38">
          <cell r="C38">
            <v>120339</v>
          </cell>
          <cell r="D38">
            <v>265534</v>
          </cell>
          <cell r="E38">
            <v>323397</v>
          </cell>
          <cell r="F38">
            <v>314940</v>
          </cell>
          <cell r="G38">
            <v>246943</v>
          </cell>
          <cell r="H38">
            <v>93869</v>
          </cell>
        </row>
        <row r="39">
          <cell r="C39">
            <v>175928</v>
          </cell>
          <cell r="D39">
            <v>940597</v>
          </cell>
          <cell r="E39">
            <v>650292</v>
          </cell>
          <cell r="F39">
            <v>116291</v>
          </cell>
          <cell r="G39">
            <v>186642</v>
          </cell>
          <cell r="H39">
            <v>771531</v>
          </cell>
        </row>
        <row r="40">
          <cell r="C40">
            <v>174220</v>
          </cell>
          <cell r="D40">
            <v>173735</v>
          </cell>
          <cell r="E40">
            <v>484598</v>
          </cell>
          <cell r="F40">
            <v>73286</v>
          </cell>
          <cell r="G40">
            <v>185504</v>
          </cell>
          <cell r="H40">
            <v>715619</v>
          </cell>
        </row>
        <row r="41">
          <cell r="C41">
            <v>314332</v>
          </cell>
          <cell r="D41">
            <v>158736</v>
          </cell>
          <cell r="E41">
            <v>521466</v>
          </cell>
          <cell r="F41">
            <v>357179</v>
          </cell>
          <cell r="G41">
            <v>207148</v>
          </cell>
          <cell r="H41">
            <v>442678</v>
          </cell>
        </row>
        <row r="42">
          <cell r="C42">
            <v>209377</v>
          </cell>
          <cell r="D42">
            <v>233261</v>
          </cell>
          <cell r="E42">
            <v>376025</v>
          </cell>
          <cell r="F42">
            <v>215757</v>
          </cell>
          <cell r="G42">
            <v>169849</v>
          </cell>
          <cell r="H42">
            <v>266460</v>
          </cell>
        </row>
        <row r="43">
          <cell r="C43">
            <v>463329</v>
          </cell>
          <cell r="D43">
            <v>248991</v>
          </cell>
          <cell r="E43">
            <v>199677</v>
          </cell>
          <cell r="F43">
            <v>99281</v>
          </cell>
          <cell r="G43">
            <v>180422</v>
          </cell>
          <cell r="H43">
            <v>537784</v>
          </cell>
        </row>
        <row r="57">
          <cell r="C57">
            <v>1098281</v>
          </cell>
          <cell r="D57">
            <v>932666</v>
          </cell>
          <cell r="E57">
            <v>1468124</v>
          </cell>
          <cell r="F57">
            <v>2095437</v>
          </cell>
          <cell r="G57">
            <v>2953603</v>
          </cell>
          <cell r="H57">
            <v>2383859</v>
          </cell>
        </row>
        <row r="58">
          <cell r="C58">
            <v>1504474</v>
          </cell>
          <cell r="D58">
            <v>1273787</v>
          </cell>
          <cell r="E58">
            <v>1767509</v>
          </cell>
          <cell r="F58">
            <v>1957118</v>
          </cell>
          <cell r="G58">
            <v>3042732</v>
          </cell>
          <cell r="H58">
            <v>2789310</v>
          </cell>
        </row>
        <row r="59">
          <cell r="C59">
            <v>1773462</v>
          </cell>
          <cell r="D59">
            <v>1647144</v>
          </cell>
          <cell r="E59">
            <v>2136381</v>
          </cell>
          <cell r="F59">
            <v>3116564</v>
          </cell>
          <cell r="G59">
            <v>3289759</v>
          </cell>
          <cell r="H59">
            <v>4039583</v>
          </cell>
        </row>
        <row r="60">
          <cell r="C60">
            <v>1904682</v>
          </cell>
          <cell r="D60">
            <v>1650343</v>
          </cell>
          <cell r="E60">
            <v>1855696</v>
          </cell>
          <cell r="F60">
            <v>3939616</v>
          </cell>
          <cell r="G60">
            <v>2621342</v>
          </cell>
          <cell r="H60">
            <v>3984726</v>
          </cell>
        </row>
        <row r="61">
          <cell r="C61">
            <v>1260414</v>
          </cell>
          <cell r="D61">
            <v>2034124</v>
          </cell>
          <cell r="E61">
            <v>2240501</v>
          </cell>
          <cell r="F61">
            <v>4501865</v>
          </cell>
          <cell r="G61">
            <v>3445962</v>
          </cell>
          <cell r="H61">
            <v>3542991</v>
          </cell>
        </row>
        <row r="62">
          <cell r="C62">
            <v>1473086</v>
          </cell>
          <cell r="D62">
            <v>2351413</v>
          </cell>
          <cell r="E62">
            <v>1724564</v>
          </cell>
          <cell r="F62">
            <v>4407207</v>
          </cell>
          <cell r="G62">
            <v>2905655</v>
          </cell>
          <cell r="H62">
            <v>3844881</v>
          </cell>
        </row>
        <row r="63">
          <cell r="C63">
            <v>1773999</v>
          </cell>
          <cell r="D63">
            <v>1674552</v>
          </cell>
          <cell r="E63">
            <v>2189574</v>
          </cell>
          <cell r="F63">
            <v>4660830</v>
          </cell>
          <cell r="G63">
            <v>3795941</v>
          </cell>
          <cell r="H63">
            <v>3563788</v>
          </cell>
        </row>
        <row r="64">
          <cell r="C64">
            <v>1458965</v>
          </cell>
          <cell r="D64">
            <v>1718545</v>
          </cell>
          <cell r="E64">
            <v>2589040</v>
          </cell>
          <cell r="F64">
            <v>3361986</v>
          </cell>
          <cell r="G64">
            <v>2844488</v>
          </cell>
          <cell r="H64">
            <v>3511469</v>
          </cell>
        </row>
        <row r="65">
          <cell r="C65">
            <v>1496694</v>
          </cell>
          <cell r="D65">
            <v>2370316</v>
          </cell>
          <cell r="E65">
            <v>2846294</v>
          </cell>
          <cell r="F65">
            <v>3777172</v>
          </cell>
          <cell r="G65">
            <v>2797939</v>
          </cell>
          <cell r="H65">
            <v>5035848</v>
          </cell>
        </row>
        <row r="66">
          <cell r="C66">
            <v>1070286</v>
          </cell>
          <cell r="D66">
            <v>2080347</v>
          </cell>
          <cell r="E66">
            <v>3678909</v>
          </cell>
          <cell r="F66">
            <v>5910842</v>
          </cell>
          <cell r="G66">
            <v>3632621</v>
          </cell>
          <cell r="H66">
            <v>4551314</v>
          </cell>
        </row>
        <row r="67">
          <cell r="C67">
            <v>1448228</v>
          </cell>
          <cell r="D67">
            <v>2052902</v>
          </cell>
          <cell r="E67">
            <v>3329547</v>
          </cell>
          <cell r="F67">
            <v>3449015</v>
          </cell>
          <cell r="G67">
            <v>3032482</v>
          </cell>
          <cell r="H67">
            <v>3135123</v>
          </cell>
        </row>
        <row r="68">
          <cell r="C68">
            <v>1181012</v>
          </cell>
          <cell r="D68">
            <v>1922774</v>
          </cell>
          <cell r="E68">
            <v>2534174</v>
          </cell>
          <cell r="F68">
            <v>5327194</v>
          </cell>
          <cell r="G68">
            <v>3035290</v>
          </cell>
          <cell r="H68">
            <v>3699366</v>
          </cell>
        </row>
        <row r="82">
          <cell r="C82">
            <v>2783965</v>
          </cell>
          <cell r="D82">
            <v>4280753</v>
          </cell>
          <cell r="E82">
            <v>3457934</v>
          </cell>
          <cell r="F82">
            <v>4697687</v>
          </cell>
          <cell r="G82">
            <v>7311489</v>
          </cell>
          <cell r="H82">
            <v>4878938</v>
          </cell>
        </row>
        <row r="83">
          <cell r="C83">
            <v>4646757</v>
          </cell>
          <cell r="D83">
            <v>4261938</v>
          </cell>
          <cell r="E83">
            <v>5010380</v>
          </cell>
          <cell r="F83">
            <v>4416620</v>
          </cell>
          <cell r="G83">
            <v>7243774</v>
          </cell>
          <cell r="H83">
            <v>8756917</v>
          </cell>
        </row>
        <row r="84">
          <cell r="C84">
            <v>5788551</v>
          </cell>
          <cell r="D84">
            <v>5592013</v>
          </cell>
          <cell r="E84">
            <v>4354654</v>
          </cell>
          <cell r="F84">
            <v>5912715</v>
          </cell>
          <cell r="G84">
            <v>8038217</v>
          </cell>
          <cell r="H84">
            <v>12131340</v>
          </cell>
        </row>
        <row r="85">
          <cell r="C85">
            <v>5813413</v>
          </cell>
          <cell r="D85">
            <v>4694650</v>
          </cell>
          <cell r="E85">
            <v>4442708</v>
          </cell>
          <cell r="F85">
            <v>7313385</v>
          </cell>
          <cell r="G85">
            <v>6470133</v>
          </cell>
          <cell r="H85">
            <v>10810203</v>
          </cell>
        </row>
        <row r="86">
          <cell r="C86">
            <v>5144476</v>
          </cell>
          <cell r="D86">
            <v>4360949</v>
          </cell>
          <cell r="E86">
            <v>5730443</v>
          </cell>
          <cell r="F86">
            <v>6382327</v>
          </cell>
          <cell r="G86">
            <v>6413307</v>
          </cell>
          <cell r="H86">
            <v>8806393</v>
          </cell>
        </row>
        <row r="87">
          <cell r="C87">
            <v>4789617</v>
          </cell>
          <cell r="D87">
            <v>4512376</v>
          </cell>
          <cell r="E87">
            <v>4966880</v>
          </cell>
          <cell r="F87">
            <v>8733881</v>
          </cell>
          <cell r="G87">
            <v>9074990</v>
          </cell>
          <cell r="H87">
            <v>12030016</v>
          </cell>
        </row>
        <row r="88">
          <cell r="C88">
            <v>3796341</v>
          </cell>
          <cell r="D88">
            <v>5180251</v>
          </cell>
          <cell r="E88">
            <v>5281854</v>
          </cell>
          <cell r="F88">
            <v>7664514</v>
          </cell>
          <cell r="G88">
            <v>7414409</v>
          </cell>
          <cell r="H88">
            <v>10745155</v>
          </cell>
        </row>
        <row r="89">
          <cell r="C89">
            <v>4141433</v>
          </cell>
          <cell r="D89">
            <v>4744614</v>
          </cell>
          <cell r="E89">
            <v>5621395</v>
          </cell>
          <cell r="F89">
            <v>7418435</v>
          </cell>
          <cell r="G89">
            <v>4998953</v>
          </cell>
          <cell r="H89">
            <v>8105292</v>
          </cell>
        </row>
        <row r="90">
          <cell r="C90">
            <v>5036321</v>
          </cell>
          <cell r="D90">
            <v>4653092</v>
          </cell>
          <cell r="E90">
            <v>4924663</v>
          </cell>
          <cell r="F90">
            <v>6903878</v>
          </cell>
          <cell r="G90">
            <v>8181400</v>
          </cell>
          <cell r="H90">
            <v>13799014</v>
          </cell>
        </row>
        <row r="91">
          <cell r="C91">
            <v>4347052</v>
          </cell>
          <cell r="D91">
            <v>5906709</v>
          </cell>
          <cell r="E91">
            <v>6752398</v>
          </cell>
          <cell r="F91">
            <v>12937333</v>
          </cell>
          <cell r="G91">
            <v>8244109</v>
          </cell>
          <cell r="H91">
            <v>12257598</v>
          </cell>
        </row>
        <row r="92">
          <cell r="C92">
            <v>6124658</v>
          </cell>
          <cell r="D92">
            <v>5763463</v>
          </cell>
          <cell r="E92">
            <v>6893471</v>
          </cell>
          <cell r="F92">
            <v>12151841</v>
          </cell>
          <cell r="G92">
            <v>7527764</v>
          </cell>
          <cell r="H92">
            <v>10598776</v>
          </cell>
        </row>
        <row r="93">
          <cell r="C93">
            <v>5487889</v>
          </cell>
          <cell r="D93">
            <v>5459092</v>
          </cell>
          <cell r="E93">
            <v>6727211</v>
          </cell>
          <cell r="F93">
            <v>10306513</v>
          </cell>
          <cell r="G93">
            <v>9608103</v>
          </cell>
          <cell r="H93">
            <v>12026448</v>
          </cell>
        </row>
        <row r="107">
          <cell r="C107">
            <v>8755742</v>
          </cell>
          <cell r="D107">
            <v>11916380</v>
          </cell>
          <cell r="E107">
            <v>12508445</v>
          </cell>
          <cell r="F107">
            <v>10084023</v>
          </cell>
          <cell r="G107">
            <v>17658378</v>
          </cell>
          <cell r="H107">
            <v>9139354</v>
          </cell>
        </row>
        <row r="108">
          <cell r="C108">
            <v>11757395</v>
          </cell>
          <cell r="D108">
            <v>14524488</v>
          </cell>
          <cell r="E108">
            <v>16959048</v>
          </cell>
          <cell r="F108">
            <v>9712399</v>
          </cell>
          <cell r="G108">
            <v>11568826</v>
          </cell>
          <cell r="H108">
            <v>16463821</v>
          </cell>
        </row>
        <row r="109">
          <cell r="C109">
            <v>10539097</v>
          </cell>
          <cell r="D109">
            <v>16981100</v>
          </cell>
          <cell r="E109">
            <v>15559501</v>
          </cell>
          <cell r="F109">
            <v>20871107</v>
          </cell>
          <cell r="G109">
            <v>11074103</v>
          </cell>
          <cell r="H109">
            <v>19074097</v>
          </cell>
        </row>
        <row r="110">
          <cell r="C110">
            <v>10832753</v>
          </cell>
          <cell r="D110">
            <v>13302068</v>
          </cell>
          <cell r="E110">
            <v>19382422</v>
          </cell>
          <cell r="F110">
            <v>16424040</v>
          </cell>
          <cell r="G110">
            <v>13188537</v>
          </cell>
          <cell r="H110">
            <v>19415326</v>
          </cell>
        </row>
        <row r="111">
          <cell r="C111">
            <v>9217306</v>
          </cell>
          <cell r="D111">
            <v>14831696</v>
          </cell>
          <cell r="E111">
            <v>12775218</v>
          </cell>
          <cell r="F111">
            <v>13045637</v>
          </cell>
          <cell r="G111">
            <v>11732499</v>
          </cell>
          <cell r="H111">
            <v>20588400</v>
          </cell>
        </row>
        <row r="112">
          <cell r="C112">
            <v>13355444</v>
          </cell>
          <cell r="D112">
            <v>17544200</v>
          </cell>
          <cell r="E112">
            <v>13048442</v>
          </cell>
          <cell r="F112">
            <v>18350307</v>
          </cell>
          <cell r="G112">
            <v>12750400</v>
          </cell>
          <cell r="H112">
            <v>16821865</v>
          </cell>
        </row>
        <row r="113">
          <cell r="C113">
            <v>15859300</v>
          </cell>
          <cell r="D113">
            <v>17245663</v>
          </cell>
          <cell r="E113">
            <v>14528225</v>
          </cell>
          <cell r="F113">
            <v>24340024</v>
          </cell>
          <cell r="G113">
            <v>11754580</v>
          </cell>
          <cell r="H113">
            <v>14662982</v>
          </cell>
        </row>
        <row r="114">
          <cell r="C114">
            <v>16600784</v>
          </cell>
          <cell r="D114">
            <v>18409245</v>
          </cell>
          <cell r="E114">
            <v>16410871</v>
          </cell>
          <cell r="F114">
            <v>22122653</v>
          </cell>
          <cell r="G114">
            <v>10933660</v>
          </cell>
          <cell r="H114">
            <v>17932511</v>
          </cell>
        </row>
        <row r="115">
          <cell r="C115">
            <v>16479294</v>
          </cell>
          <cell r="D115">
            <v>15315001</v>
          </cell>
          <cell r="E115">
            <v>13856594</v>
          </cell>
          <cell r="F115">
            <v>19205293</v>
          </cell>
          <cell r="G115">
            <v>13085792</v>
          </cell>
          <cell r="H115">
            <v>26299855</v>
          </cell>
        </row>
        <row r="116">
          <cell r="C116">
            <v>14702351</v>
          </cell>
          <cell r="D116">
            <v>18100664</v>
          </cell>
          <cell r="E116">
            <v>11532080</v>
          </cell>
          <cell r="F116">
            <v>23554389</v>
          </cell>
          <cell r="G116">
            <v>10977461</v>
          </cell>
          <cell r="H116">
            <v>23100199</v>
          </cell>
        </row>
        <row r="117">
          <cell r="C117">
            <v>14865277</v>
          </cell>
          <cell r="D117">
            <v>14877280</v>
          </cell>
          <cell r="E117">
            <v>12198503</v>
          </cell>
          <cell r="F117">
            <v>19687667</v>
          </cell>
          <cell r="G117">
            <v>14857658</v>
          </cell>
          <cell r="H117">
            <v>12980644</v>
          </cell>
        </row>
        <row r="118">
          <cell r="C118">
            <v>13404549</v>
          </cell>
          <cell r="D118">
            <v>13080959</v>
          </cell>
          <cell r="E118">
            <v>14869692</v>
          </cell>
          <cell r="F118">
            <v>25501836</v>
          </cell>
          <cell r="G118">
            <v>14338450</v>
          </cell>
          <cell r="H118">
            <v>17956003</v>
          </cell>
        </row>
        <row r="132">
          <cell r="C132">
            <v>2012746</v>
          </cell>
          <cell r="D132">
            <v>2000358</v>
          </cell>
          <cell r="E132">
            <v>2153401</v>
          </cell>
          <cell r="F132">
            <v>3182676</v>
          </cell>
          <cell r="G132">
            <v>2137637</v>
          </cell>
          <cell r="H132">
            <v>2216696</v>
          </cell>
        </row>
        <row r="133">
          <cell r="C133">
            <v>2202134</v>
          </cell>
          <cell r="D133">
            <v>2291787</v>
          </cell>
          <cell r="E133">
            <v>2790129</v>
          </cell>
          <cell r="F133">
            <v>3291760</v>
          </cell>
          <cell r="G133">
            <v>3679969</v>
          </cell>
          <cell r="H133">
            <v>2733174</v>
          </cell>
        </row>
        <row r="134">
          <cell r="C134">
            <v>1860900</v>
          </cell>
          <cell r="D134">
            <v>3304634</v>
          </cell>
          <cell r="E134">
            <v>2675478</v>
          </cell>
          <cell r="F134">
            <v>3187438</v>
          </cell>
          <cell r="G134">
            <v>5343353</v>
          </cell>
          <cell r="H134">
            <v>3143577</v>
          </cell>
        </row>
        <row r="135">
          <cell r="C135">
            <v>2499568</v>
          </cell>
          <cell r="D135">
            <v>2137185</v>
          </cell>
          <cell r="E135">
            <v>2479457</v>
          </cell>
          <cell r="F135">
            <v>3546004</v>
          </cell>
          <cell r="G135">
            <v>5982875</v>
          </cell>
          <cell r="H135">
            <v>4030548</v>
          </cell>
        </row>
        <row r="136">
          <cell r="C136">
            <v>3171082</v>
          </cell>
          <cell r="D136">
            <v>5792866</v>
          </cell>
          <cell r="E136">
            <v>2965403</v>
          </cell>
          <cell r="F136">
            <v>2888786</v>
          </cell>
          <cell r="G136">
            <v>6282739</v>
          </cell>
          <cell r="H136">
            <v>4389461</v>
          </cell>
        </row>
        <row r="137">
          <cell r="C137">
            <v>2534765</v>
          </cell>
          <cell r="D137">
            <v>4412962</v>
          </cell>
          <cell r="E137">
            <v>3120289</v>
          </cell>
          <cell r="F137">
            <v>6552857</v>
          </cell>
          <cell r="G137">
            <v>4389294</v>
          </cell>
          <cell r="H137">
            <v>2988717</v>
          </cell>
        </row>
        <row r="138">
          <cell r="C138">
            <v>2197054</v>
          </cell>
          <cell r="D138">
            <v>2926367</v>
          </cell>
          <cell r="E138">
            <v>2842921</v>
          </cell>
          <cell r="F138">
            <v>3897100</v>
          </cell>
          <cell r="G138">
            <v>3877618</v>
          </cell>
          <cell r="H138">
            <v>3582987</v>
          </cell>
        </row>
        <row r="139">
          <cell r="C139">
            <v>2498655</v>
          </cell>
          <cell r="D139">
            <v>4086948</v>
          </cell>
          <cell r="E139">
            <v>1968436</v>
          </cell>
          <cell r="F139">
            <v>4454346</v>
          </cell>
          <cell r="G139">
            <v>4484822</v>
          </cell>
          <cell r="H139">
            <v>4114054</v>
          </cell>
        </row>
        <row r="140">
          <cell r="C140">
            <v>1711664</v>
          </cell>
          <cell r="D140">
            <v>3728329</v>
          </cell>
          <cell r="E140">
            <v>2358374</v>
          </cell>
          <cell r="F140">
            <v>3474115</v>
          </cell>
          <cell r="G140">
            <v>4679661</v>
          </cell>
          <cell r="H140">
            <v>4473187</v>
          </cell>
        </row>
        <row r="141">
          <cell r="C141">
            <v>1963571</v>
          </cell>
          <cell r="D141">
            <v>4704746</v>
          </cell>
          <cell r="E141">
            <v>2544026</v>
          </cell>
          <cell r="F141">
            <v>4163275</v>
          </cell>
          <cell r="G141">
            <v>6057691</v>
          </cell>
          <cell r="H141">
            <v>21938014</v>
          </cell>
        </row>
        <row r="142">
          <cell r="C142">
            <v>2479994</v>
          </cell>
          <cell r="D142">
            <v>3333171</v>
          </cell>
          <cell r="E142">
            <v>3229811</v>
          </cell>
          <cell r="F142">
            <v>3420258</v>
          </cell>
          <cell r="G142">
            <v>4269157</v>
          </cell>
          <cell r="H142">
            <v>4392793</v>
          </cell>
        </row>
        <row r="143">
          <cell r="C143">
            <v>1764959</v>
          </cell>
          <cell r="D143">
            <v>1628895</v>
          </cell>
          <cell r="E143">
            <v>2620045</v>
          </cell>
          <cell r="F143">
            <v>2207718</v>
          </cell>
          <cell r="G143">
            <v>4000203</v>
          </cell>
          <cell r="H143">
            <v>3273293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3"/>
    </sheetNames>
    <sheetDataSet>
      <sheetData sheetId="0">
        <row r="7">
          <cell r="C7">
            <v>28766113</v>
          </cell>
          <cell r="D7">
            <v>38116500</v>
          </cell>
          <cell r="E7">
            <v>57265261</v>
          </cell>
          <cell r="F7">
            <v>92264146</v>
          </cell>
          <cell r="G7">
            <v>73281200</v>
          </cell>
          <cell r="H7">
            <v>21263334</v>
          </cell>
        </row>
        <row r="8">
          <cell r="C8">
            <v>25765600</v>
          </cell>
          <cell r="D8">
            <v>52660129</v>
          </cell>
          <cell r="E8">
            <v>72405431</v>
          </cell>
          <cell r="F8">
            <v>118603459</v>
          </cell>
          <cell r="G8">
            <v>94003272</v>
          </cell>
          <cell r="H8">
            <v>42855172</v>
          </cell>
        </row>
        <row r="9">
          <cell r="C9">
            <v>36668964</v>
          </cell>
          <cell r="D9">
            <v>64177351</v>
          </cell>
          <cell r="E9">
            <v>93527497</v>
          </cell>
          <cell r="F9">
            <v>85772117</v>
          </cell>
          <cell r="G9">
            <v>89293679</v>
          </cell>
          <cell r="H9">
            <v>44252466</v>
          </cell>
        </row>
        <row r="10">
          <cell r="C10">
            <v>46227516</v>
          </cell>
          <cell r="D10">
            <v>46234273</v>
          </cell>
          <cell r="E10">
            <v>76643271</v>
          </cell>
          <cell r="F10">
            <v>135540608</v>
          </cell>
          <cell r="G10">
            <v>58539400</v>
          </cell>
          <cell r="H10">
            <v>33238880</v>
          </cell>
        </row>
        <row r="11">
          <cell r="C11">
            <v>50454498</v>
          </cell>
          <cell r="D11">
            <v>54654679</v>
          </cell>
          <cell r="E11">
            <v>102600295</v>
          </cell>
          <cell r="F11">
            <v>121832396</v>
          </cell>
          <cell r="G11">
            <v>100592893</v>
          </cell>
          <cell r="H11">
            <v>40625332</v>
          </cell>
        </row>
        <row r="12">
          <cell r="C12">
            <v>50478709</v>
          </cell>
          <cell r="D12">
            <v>54846161</v>
          </cell>
          <cell r="E12">
            <v>93007713</v>
          </cell>
          <cell r="F12">
            <v>84867218</v>
          </cell>
          <cell r="G12">
            <v>87970349</v>
          </cell>
          <cell r="H12">
            <v>25824706</v>
          </cell>
        </row>
        <row r="13">
          <cell r="C13">
            <v>50094708</v>
          </cell>
          <cell r="D13">
            <v>53621388</v>
          </cell>
          <cell r="E13">
            <v>109346581</v>
          </cell>
          <cell r="F13">
            <v>108242307</v>
          </cell>
          <cell r="G13">
            <v>55251730</v>
          </cell>
          <cell r="H13">
            <v>23754418</v>
          </cell>
        </row>
        <row r="14">
          <cell r="C14">
            <v>45853136</v>
          </cell>
          <cell r="D14">
            <v>67746296</v>
          </cell>
          <cell r="E14">
            <v>124827345</v>
          </cell>
          <cell r="F14">
            <v>94340114</v>
          </cell>
          <cell r="G14">
            <v>52298253</v>
          </cell>
          <cell r="H14">
            <v>17919188</v>
          </cell>
        </row>
        <row r="15">
          <cell r="C15">
            <v>58410290</v>
          </cell>
          <cell r="D15">
            <v>79182901</v>
          </cell>
          <cell r="E15">
            <v>123912647</v>
          </cell>
          <cell r="F15">
            <v>86753705</v>
          </cell>
          <cell r="G15">
            <v>69132727</v>
          </cell>
          <cell r="H15">
            <v>23856236</v>
          </cell>
        </row>
        <row r="16">
          <cell r="C16">
            <v>48703330</v>
          </cell>
          <cell r="D16">
            <v>79459962</v>
          </cell>
          <cell r="E16">
            <v>141929615</v>
          </cell>
          <cell r="F16">
            <v>156938472</v>
          </cell>
          <cell r="G16">
            <v>53012608</v>
          </cell>
          <cell r="H16">
            <v>22582157</v>
          </cell>
        </row>
        <row r="17">
          <cell r="C17">
            <v>52430442</v>
          </cell>
          <cell r="D17">
            <v>82240725</v>
          </cell>
          <cell r="E17">
            <v>165835136</v>
          </cell>
          <cell r="F17">
            <v>121374878</v>
          </cell>
          <cell r="G17">
            <v>50678723</v>
          </cell>
          <cell r="H17">
            <v>20451154</v>
          </cell>
        </row>
        <row r="18">
          <cell r="C18">
            <v>48209155</v>
          </cell>
          <cell r="D18">
            <v>75307479</v>
          </cell>
          <cell r="E18">
            <v>148021935</v>
          </cell>
          <cell r="F18">
            <v>121742200</v>
          </cell>
          <cell r="G18">
            <v>37412286</v>
          </cell>
          <cell r="H18">
            <v>28757568</v>
          </cell>
        </row>
        <row r="32">
          <cell r="C32">
            <v>3920</v>
          </cell>
          <cell r="D32">
            <v>481360</v>
          </cell>
          <cell r="E32">
            <v>2913653</v>
          </cell>
          <cell r="F32">
            <v>633440</v>
          </cell>
          <cell r="G32">
            <v>1186622</v>
          </cell>
          <cell r="H32">
            <v>0</v>
          </cell>
        </row>
        <row r="33">
          <cell r="C33">
            <v>177400</v>
          </cell>
          <cell r="D33">
            <v>1476968</v>
          </cell>
          <cell r="E33">
            <v>1755409</v>
          </cell>
          <cell r="F33">
            <v>9821483</v>
          </cell>
          <cell r="G33">
            <v>1634524</v>
          </cell>
          <cell r="H33">
            <v>327081</v>
          </cell>
        </row>
        <row r="34">
          <cell r="C34">
            <v>3501204</v>
          </cell>
          <cell r="D34">
            <v>219158</v>
          </cell>
          <cell r="E34">
            <v>2764680</v>
          </cell>
          <cell r="F34">
            <v>6488478</v>
          </cell>
          <cell r="G34">
            <v>1664466</v>
          </cell>
          <cell r="H34">
            <v>247915</v>
          </cell>
        </row>
        <row r="35">
          <cell r="C35">
            <v>1200720</v>
          </cell>
          <cell r="D35">
            <v>730237</v>
          </cell>
          <cell r="E35">
            <v>781440</v>
          </cell>
          <cell r="F35">
            <v>5320051</v>
          </cell>
          <cell r="G35">
            <v>2951472</v>
          </cell>
          <cell r="H35">
            <v>728147</v>
          </cell>
        </row>
        <row r="36">
          <cell r="C36">
            <v>1059063</v>
          </cell>
          <cell r="D36">
            <v>943756</v>
          </cell>
          <cell r="E36">
            <v>1108502</v>
          </cell>
          <cell r="F36">
            <v>14351612</v>
          </cell>
          <cell r="G36">
            <v>2513062</v>
          </cell>
          <cell r="H36">
            <v>601037</v>
          </cell>
        </row>
        <row r="37">
          <cell r="C37">
            <v>726500</v>
          </cell>
          <cell r="D37">
            <v>152025</v>
          </cell>
          <cell r="E37">
            <v>4901444</v>
          </cell>
          <cell r="F37">
            <v>7463220</v>
          </cell>
          <cell r="G37">
            <v>2556629</v>
          </cell>
          <cell r="H37">
            <v>540892</v>
          </cell>
        </row>
        <row r="38">
          <cell r="C38">
            <v>211621</v>
          </cell>
          <cell r="D38">
            <v>2388456</v>
          </cell>
          <cell r="E38">
            <v>3900091</v>
          </cell>
          <cell r="F38">
            <v>9777307</v>
          </cell>
          <cell r="G38">
            <v>843009</v>
          </cell>
          <cell r="H38">
            <v>718690</v>
          </cell>
        </row>
        <row r="39">
          <cell r="C39">
            <v>510411</v>
          </cell>
          <cell r="D39">
            <v>3725002</v>
          </cell>
          <cell r="E39">
            <v>6888814</v>
          </cell>
          <cell r="F39">
            <v>4749429</v>
          </cell>
          <cell r="G39">
            <v>346281</v>
          </cell>
          <cell r="H39">
            <v>51661</v>
          </cell>
        </row>
        <row r="40">
          <cell r="C40">
            <v>484049</v>
          </cell>
          <cell r="D40">
            <v>363769</v>
          </cell>
          <cell r="E40">
            <v>3406340</v>
          </cell>
          <cell r="F40">
            <v>238980</v>
          </cell>
          <cell r="G40">
            <v>40980</v>
          </cell>
          <cell r="H40">
            <v>206</v>
          </cell>
        </row>
        <row r="41">
          <cell r="C41">
            <v>124110</v>
          </cell>
          <cell r="D41">
            <v>5340705</v>
          </cell>
          <cell r="E41">
            <v>2138555</v>
          </cell>
          <cell r="F41">
            <v>1087985</v>
          </cell>
          <cell r="G41">
            <v>820</v>
          </cell>
          <cell r="H41">
            <v>35417</v>
          </cell>
        </row>
        <row r="42">
          <cell r="C42">
            <v>11304</v>
          </cell>
          <cell r="D42">
            <v>174770</v>
          </cell>
          <cell r="E42">
            <v>3047047</v>
          </cell>
          <cell r="F42">
            <v>2010687</v>
          </cell>
          <cell r="G42">
            <v>134616</v>
          </cell>
          <cell r="H42">
            <v>27720</v>
          </cell>
        </row>
        <row r="43">
          <cell r="C43">
            <v>659203</v>
          </cell>
          <cell r="D43">
            <v>3010956</v>
          </cell>
          <cell r="E43">
            <v>1745549</v>
          </cell>
          <cell r="F43">
            <v>3265451</v>
          </cell>
          <cell r="G43">
            <v>397962</v>
          </cell>
          <cell r="H43">
            <v>251720</v>
          </cell>
        </row>
        <row r="57">
          <cell r="C57">
            <v>2193685</v>
          </cell>
          <cell r="D57">
            <v>1693544</v>
          </cell>
          <cell r="E57">
            <v>3303061</v>
          </cell>
          <cell r="F57">
            <v>8622893</v>
          </cell>
          <cell r="G57">
            <v>12005785</v>
          </cell>
          <cell r="H57">
            <v>2974642</v>
          </cell>
        </row>
        <row r="58">
          <cell r="C58">
            <v>2107948</v>
          </cell>
          <cell r="D58">
            <v>2184578</v>
          </cell>
          <cell r="E58">
            <v>6105998</v>
          </cell>
          <cell r="F58">
            <v>9218572</v>
          </cell>
          <cell r="G58">
            <v>16383296</v>
          </cell>
          <cell r="H58">
            <v>5162189</v>
          </cell>
        </row>
        <row r="59">
          <cell r="C59">
            <v>2692436</v>
          </cell>
          <cell r="D59">
            <v>4360674</v>
          </cell>
          <cell r="E59">
            <v>6148931</v>
          </cell>
          <cell r="F59">
            <v>8626310</v>
          </cell>
          <cell r="G59">
            <v>13985530</v>
          </cell>
          <cell r="H59">
            <v>5168092</v>
          </cell>
        </row>
        <row r="60">
          <cell r="C60">
            <v>2027398</v>
          </cell>
          <cell r="D60">
            <v>2565556</v>
          </cell>
          <cell r="E60">
            <v>6266263</v>
          </cell>
          <cell r="F60">
            <v>12563688</v>
          </cell>
          <cell r="G60">
            <v>8148928</v>
          </cell>
          <cell r="H60">
            <v>5250582</v>
          </cell>
        </row>
        <row r="61">
          <cell r="C61">
            <v>3769150</v>
          </cell>
          <cell r="D61">
            <v>3546964</v>
          </cell>
          <cell r="E61">
            <v>7538953</v>
          </cell>
          <cell r="F61">
            <v>12109695</v>
          </cell>
          <cell r="G61">
            <v>8172967</v>
          </cell>
          <cell r="H61">
            <v>4208317</v>
          </cell>
        </row>
        <row r="62">
          <cell r="C62">
            <v>3632602</v>
          </cell>
          <cell r="D62">
            <v>3667194</v>
          </cell>
          <cell r="E62">
            <v>6625641</v>
          </cell>
          <cell r="F62">
            <v>13099189</v>
          </cell>
          <cell r="G62">
            <v>5820862</v>
          </cell>
          <cell r="H62">
            <v>2730370</v>
          </cell>
        </row>
        <row r="63">
          <cell r="C63">
            <v>2475387</v>
          </cell>
          <cell r="D63">
            <v>4655186</v>
          </cell>
          <cell r="E63">
            <v>8616549</v>
          </cell>
          <cell r="F63">
            <v>12994769</v>
          </cell>
          <cell r="G63">
            <v>8361980</v>
          </cell>
          <cell r="H63">
            <v>2977163</v>
          </cell>
        </row>
        <row r="64">
          <cell r="C64">
            <v>2584458</v>
          </cell>
          <cell r="D64">
            <v>5076699</v>
          </cell>
          <cell r="E64">
            <v>9946100</v>
          </cell>
          <cell r="F64">
            <v>13223108</v>
          </cell>
          <cell r="G64">
            <v>8460678</v>
          </cell>
          <cell r="H64">
            <v>3564513</v>
          </cell>
        </row>
        <row r="65">
          <cell r="C65">
            <v>3740948</v>
          </cell>
          <cell r="D65">
            <v>4490186</v>
          </cell>
          <cell r="E65">
            <v>10500412</v>
          </cell>
          <cell r="F65">
            <v>8017440</v>
          </cell>
          <cell r="G65">
            <v>7948374</v>
          </cell>
          <cell r="H65">
            <v>3646039</v>
          </cell>
        </row>
        <row r="66">
          <cell r="C66">
            <v>3404317</v>
          </cell>
          <cell r="D66">
            <v>4316827</v>
          </cell>
          <cell r="E66">
            <v>9654890</v>
          </cell>
          <cell r="F66">
            <v>17400235</v>
          </cell>
          <cell r="G66">
            <v>8026179</v>
          </cell>
          <cell r="H66">
            <v>3396963</v>
          </cell>
        </row>
        <row r="67">
          <cell r="C67">
            <v>4254602</v>
          </cell>
          <cell r="D67">
            <v>5510580</v>
          </cell>
          <cell r="E67">
            <v>9318075</v>
          </cell>
          <cell r="F67">
            <v>16373338</v>
          </cell>
          <cell r="G67">
            <v>6528744</v>
          </cell>
          <cell r="H67">
            <v>2401729</v>
          </cell>
        </row>
        <row r="68">
          <cell r="C68">
            <v>2387981</v>
          </cell>
          <cell r="D68">
            <v>4918343</v>
          </cell>
          <cell r="E68">
            <v>8964759</v>
          </cell>
          <cell r="F68">
            <v>19093315</v>
          </cell>
          <cell r="G68">
            <v>6088909</v>
          </cell>
          <cell r="H68">
            <v>2536096</v>
          </cell>
        </row>
        <row r="82">
          <cell r="C82">
            <v>3760638</v>
          </cell>
          <cell r="D82">
            <v>7282631</v>
          </cell>
          <cell r="E82">
            <v>10167666</v>
          </cell>
          <cell r="F82">
            <v>50889247</v>
          </cell>
          <cell r="G82">
            <v>28408222</v>
          </cell>
          <cell r="H82">
            <v>9622616</v>
          </cell>
        </row>
        <row r="83">
          <cell r="C83">
            <v>4676996</v>
          </cell>
          <cell r="D83">
            <v>12482467</v>
          </cell>
          <cell r="E83">
            <v>16425403</v>
          </cell>
          <cell r="F83">
            <v>46762677</v>
          </cell>
          <cell r="G83">
            <v>39078533</v>
          </cell>
          <cell r="H83">
            <v>20699209</v>
          </cell>
        </row>
        <row r="84">
          <cell r="C84">
            <v>6541707</v>
          </cell>
          <cell r="D84">
            <v>11577421</v>
          </cell>
          <cell r="E84">
            <v>18570090</v>
          </cell>
          <cell r="F84">
            <v>36428279</v>
          </cell>
          <cell r="G84">
            <v>42271303</v>
          </cell>
          <cell r="H84">
            <v>16221740</v>
          </cell>
        </row>
        <row r="85">
          <cell r="C85">
            <v>9128819</v>
          </cell>
          <cell r="D85">
            <v>9774532</v>
          </cell>
          <cell r="E85">
            <v>20531752</v>
          </cell>
          <cell r="F85">
            <v>70206476</v>
          </cell>
          <cell r="G85">
            <v>24278001</v>
          </cell>
          <cell r="H85">
            <v>15395502</v>
          </cell>
        </row>
        <row r="86">
          <cell r="C86">
            <v>8929154</v>
          </cell>
          <cell r="D86">
            <v>13345865</v>
          </cell>
          <cell r="E86">
            <v>26955025</v>
          </cell>
          <cell r="F86">
            <v>61700856</v>
          </cell>
          <cell r="G86">
            <v>59497530</v>
          </cell>
          <cell r="H86">
            <v>17494256</v>
          </cell>
        </row>
        <row r="87">
          <cell r="C87">
            <v>7313267</v>
          </cell>
          <cell r="D87">
            <v>12369767</v>
          </cell>
          <cell r="E87">
            <v>29137049</v>
          </cell>
          <cell r="F87">
            <v>37962815</v>
          </cell>
          <cell r="G87">
            <v>46588824</v>
          </cell>
          <cell r="H87">
            <v>13996482</v>
          </cell>
        </row>
        <row r="88">
          <cell r="C88">
            <v>10080872</v>
          </cell>
          <cell r="D88">
            <v>11825577</v>
          </cell>
          <cell r="E88">
            <v>30783637</v>
          </cell>
          <cell r="F88">
            <v>40736587</v>
          </cell>
          <cell r="G88">
            <v>20968282</v>
          </cell>
          <cell r="H88">
            <v>10395851</v>
          </cell>
        </row>
        <row r="89">
          <cell r="C89">
            <v>8347939</v>
          </cell>
          <cell r="D89">
            <v>9997360</v>
          </cell>
          <cell r="E89">
            <v>38507652</v>
          </cell>
          <cell r="F89">
            <v>35148156</v>
          </cell>
          <cell r="G89">
            <v>18500700</v>
          </cell>
          <cell r="H89">
            <v>8088409</v>
          </cell>
        </row>
        <row r="90">
          <cell r="C90">
            <v>11871836</v>
          </cell>
          <cell r="D90">
            <v>18603433</v>
          </cell>
          <cell r="E90">
            <v>38879240</v>
          </cell>
          <cell r="F90">
            <v>38100867</v>
          </cell>
          <cell r="G90">
            <v>22845218</v>
          </cell>
          <cell r="H90">
            <v>10895821</v>
          </cell>
        </row>
        <row r="91">
          <cell r="C91">
            <v>10815022</v>
          </cell>
          <cell r="D91">
            <v>17977924</v>
          </cell>
          <cell r="E91">
            <v>55963498</v>
          </cell>
          <cell r="F91">
            <v>84634943</v>
          </cell>
          <cell r="G91">
            <v>20427699</v>
          </cell>
          <cell r="H91">
            <v>10285252</v>
          </cell>
        </row>
        <row r="92">
          <cell r="C92">
            <v>14984999</v>
          </cell>
          <cell r="D92">
            <v>20104631</v>
          </cell>
          <cell r="E92">
            <v>53940323</v>
          </cell>
          <cell r="F92">
            <v>52669709</v>
          </cell>
          <cell r="G92">
            <v>16221899</v>
          </cell>
          <cell r="H92">
            <v>9637467</v>
          </cell>
        </row>
        <row r="93">
          <cell r="C93">
            <v>11050774</v>
          </cell>
          <cell r="D93">
            <v>16397179</v>
          </cell>
          <cell r="E93">
            <v>60024967</v>
          </cell>
          <cell r="F93">
            <v>48621292</v>
          </cell>
          <cell r="G93">
            <v>15456796</v>
          </cell>
          <cell r="H93">
            <v>18791055</v>
          </cell>
        </row>
        <row r="107">
          <cell r="C107">
            <v>19236053</v>
          </cell>
          <cell r="D107">
            <v>20914516</v>
          </cell>
          <cell r="E107">
            <v>28600223</v>
          </cell>
          <cell r="F107">
            <v>19870632</v>
          </cell>
          <cell r="G107">
            <v>17946674</v>
          </cell>
          <cell r="H107">
            <v>6433521</v>
          </cell>
        </row>
        <row r="108">
          <cell r="C108">
            <v>14877126</v>
          </cell>
          <cell r="D108">
            <v>28864053</v>
          </cell>
          <cell r="E108">
            <v>42566815</v>
          </cell>
          <cell r="F108">
            <v>42147150</v>
          </cell>
          <cell r="G108">
            <v>20116623</v>
          </cell>
          <cell r="H108">
            <v>9507368</v>
          </cell>
        </row>
        <row r="109">
          <cell r="C109">
            <v>19268194</v>
          </cell>
          <cell r="D109">
            <v>39007918</v>
          </cell>
          <cell r="E109">
            <v>51256910</v>
          </cell>
          <cell r="F109">
            <v>20177594</v>
          </cell>
          <cell r="G109">
            <v>18534061</v>
          </cell>
          <cell r="H109">
            <v>10855348</v>
          </cell>
        </row>
        <row r="110">
          <cell r="C110">
            <v>27919387</v>
          </cell>
          <cell r="D110">
            <v>27188114</v>
          </cell>
          <cell r="E110">
            <v>40765242</v>
          </cell>
          <cell r="F110">
            <v>30916517</v>
          </cell>
          <cell r="G110">
            <v>13474929</v>
          </cell>
          <cell r="H110">
            <v>7390923</v>
          </cell>
        </row>
        <row r="111">
          <cell r="C111">
            <v>32294865</v>
          </cell>
          <cell r="D111">
            <v>31010457</v>
          </cell>
          <cell r="E111">
            <v>52844340</v>
          </cell>
          <cell r="F111">
            <v>22565348</v>
          </cell>
          <cell r="G111">
            <v>17454718</v>
          </cell>
          <cell r="H111">
            <v>9577875</v>
          </cell>
        </row>
        <row r="112">
          <cell r="C112">
            <v>33273116</v>
          </cell>
          <cell r="D112">
            <v>28676780</v>
          </cell>
          <cell r="E112">
            <v>42849939</v>
          </cell>
          <cell r="F112">
            <v>14970253</v>
          </cell>
          <cell r="G112">
            <v>13255458</v>
          </cell>
          <cell r="H112">
            <v>5400807</v>
          </cell>
        </row>
        <row r="113">
          <cell r="C113">
            <v>30866671</v>
          </cell>
          <cell r="D113">
            <v>27981658</v>
          </cell>
          <cell r="E113">
            <v>52571008</v>
          </cell>
          <cell r="F113">
            <v>23292835</v>
          </cell>
          <cell r="G113">
            <v>15068607</v>
          </cell>
          <cell r="H113">
            <v>7696811</v>
          </cell>
        </row>
        <row r="114">
          <cell r="C114">
            <v>28509432</v>
          </cell>
          <cell r="D114">
            <v>39467698</v>
          </cell>
          <cell r="E114">
            <v>57214877</v>
          </cell>
          <cell r="F114">
            <v>26200374</v>
          </cell>
          <cell r="G114">
            <v>11344862</v>
          </cell>
          <cell r="H114">
            <v>4704789</v>
          </cell>
        </row>
        <row r="115">
          <cell r="C115">
            <v>34537480</v>
          </cell>
          <cell r="D115">
            <v>45340681</v>
          </cell>
          <cell r="E115">
            <v>58513153</v>
          </cell>
          <cell r="F115">
            <v>28049347</v>
          </cell>
          <cell r="G115">
            <v>15804333</v>
          </cell>
          <cell r="H115">
            <v>5834042</v>
          </cell>
        </row>
        <row r="116">
          <cell r="C116">
            <v>26680802</v>
          </cell>
          <cell r="D116">
            <v>42482214</v>
          </cell>
          <cell r="E116">
            <v>62165378</v>
          </cell>
          <cell r="F116">
            <v>34682089</v>
          </cell>
          <cell r="G116">
            <v>12493512</v>
          </cell>
          <cell r="H116">
            <v>5154347</v>
          </cell>
        </row>
        <row r="117">
          <cell r="C117">
            <v>25202003</v>
          </cell>
          <cell r="D117">
            <v>46431643</v>
          </cell>
          <cell r="E117">
            <v>87622690</v>
          </cell>
          <cell r="F117">
            <v>31309488</v>
          </cell>
          <cell r="G117">
            <v>10129924</v>
          </cell>
          <cell r="H117">
            <v>5337313</v>
          </cell>
        </row>
        <row r="118">
          <cell r="C118">
            <v>28480978</v>
          </cell>
          <cell r="D118">
            <v>43968998</v>
          </cell>
          <cell r="E118">
            <v>65604074</v>
          </cell>
          <cell r="F118">
            <v>35826558</v>
          </cell>
          <cell r="G118">
            <v>5880196</v>
          </cell>
          <cell r="H118">
            <v>5262203</v>
          </cell>
        </row>
        <row r="132">
          <cell r="C132">
            <v>2627255</v>
          </cell>
          <cell r="D132">
            <v>6578200</v>
          </cell>
          <cell r="E132">
            <v>10806900</v>
          </cell>
          <cell r="F132">
            <v>9118675</v>
          </cell>
          <cell r="G132">
            <v>7449306</v>
          </cell>
          <cell r="H132">
            <v>1245016</v>
          </cell>
        </row>
        <row r="133">
          <cell r="C133">
            <v>3028074</v>
          </cell>
          <cell r="D133">
            <v>6551889</v>
          </cell>
          <cell r="E133">
            <v>3929361</v>
          </cell>
          <cell r="F133">
            <v>8299776</v>
          </cell>
          <cell r="G133">
            <v>13033151</v>
          </cell>
          <cell r="H133">
            <v>5540243</v>
          </cell>
        </row>
        <row r="134">
          <cell r="C134">
            <v>3089522</v>
          </cell>
          <cell r="D134">
            <v>6754701</v>
          </cell>
          <cell r="E134">
            <v>12957986</v>
          </cell>
          <cell r="F134">
            <v>12171727</v>
          </cell>
          <cell r="G134">
            <v>9749004</v>
          </cell>
          <cell r="H134">
            <v>10035141</v>
          </cell>
        </row>
        <row r="135">
          <cell r="C135">
            <v>4859474</v>
          </cell>
          <cell r="D135">
            <v>5146225</v>
          </cell>
          <cell r="E135">
            <v>5529240</v>
          </cell>
          <cell r="F135">
            <v>13461787</v>
          </cell>
          <cell r="G135">
            <v>8000035</v>
          </cell>
          <cell r="H135">
            <v>2822436</v>
          </cell>
        </row>
        <row r="136">
          <cell r="C136">
            <v>3253167</v>
          </cell>
          <cell r="D136">
            <v>4494639</v>
          </cell>
          <cell r="E136">
            <v>10762286</v>
          </cell>
          <cell r="F136">
            <v>8503367</v>
          </cell>
          <cell r="G136">
            <v>9905835</v>
          </cell>
          <cell r="H136">
            <v>4409628</v>
          </cell>
        </row>
        <row r="137">
          <cell r="C137">
            <v>4471193</v>
          </cell>
          <cell r="D137">
            <v>8416334</v>
          </cell>
          <cell r="E137">
            <v>6245342</v>
          </cell>
          <cell r="F137">
            <v>9526927</v>
          </cell>
          <cell r="G137">
            <v>16622056</v>
          </cell>
          <cell r="H137">
            <v>1359053</v>
          </cell>
        </row>
        <row r="138">
          <cell r="C138">
            <v>5682206</v>
          </cell>
          <cell r="D138">
            <v>5744316</v>
          </cell>
          <cell r="E138">
            <v>12007095</v>
          </cell>
          <cell r="F138">
            <v>19117861</v>
          </cell>
          <cell r="G138">
            <v>6632473</v>
          </cell>
          <cell r="H138">
            <v>1294370</v>
          </cell>
        </row>
        <row r="139">
          <cell r="C139">
            <v>5143402</v>
          </cell>
          <cell r="D139">
            <v>8286883</v>
          </cell>
          <cell r="E139">
            <v>9150369</v>
          </cell>
          <cell r="F139">
            <v>11773753</v>
          </cell>
          <cell r="G139">
            <v>11450925</v>
          </cell>
          <cell r="H139">
            <v>1019552</v>
          </cell>
        </row>
        <row r="140">
          <cell r="C140">
            <v>6385628</v>
          </cell>
          <cell r="D140">
            <v>9035485</v>
          </cell>
          <cell r="E140">
            <v>9131900</v>
          </cell>
          <cell r="F140">
            <v>9539940</v>
          </cell>
          <cell r="G140">
            <v>20078134</v>
          </cell>
          <cell r="H140">
            <v>2204692</v>
          </cell>
        </row>
        <row r="141">
          <cell r="C141">
            <v>6646835</v>
          </cell>
          <cell r="D141">
            <v>7569487</v>
          </cell>
          <cell r="E141">
            <v>8305496</v>
          </cell>
          <cell r="F141">
            <v>10865884</v>
          </cell>
          <cell r="G141">
            <v>10417378</v>
          </cell>
          <cell r="H141">
            <v>2900124</v>
          </cell>
        </row>
        <row r="142">
          <cell r="C142">
            <v>6529245</v>
          </cell>
          <cell r="D142">
            <v>7146595</v>
          </cell>
          <cell r="E142">
            <v>8992856</v>
          </cell>
          <cell r="F142">
            <v>13768251</v>
          </cell>
          <cell r="G142">
            <v>16341523</v>
          </cell>
          <cell r="H142">
            <v>2198649</v>
          </cell>
        </row>
        <row r="143">
          <cell r="C143">
            <v>4143838</v>
          </cell>
          <cell r="D143">
            <v>5493648</v>
          </cell>
          <cell r="E143">
            <v>8339052</v>
          </cell>
          <cell r="F143">
            <v>8921418</v>
          </cell>
          <cell r="G143">
            <v>7390294</v>
          </cell>
          <cell r="H143">
            <v>1293642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4"/>
    </sheetNames>
    <sheetDataSet>
      <sheetData sheetId="0">
        <row r="7">
          <cell r="C7">
            <v>1926531</v>
          </cell>
          <cell r="D7">
            <v>4013200</v>
          </cell>
          <cell r="E7">
            <v>5740350</v>
          </cell>
          <cell r="F7">
            <v>8342405</v>
          </cell>
          <cell r="G7">
            <v>11736157</v>
          </cell>
          <cell r="H7">
            <v>8077480</v>
          </cell>
        </row>
        <row r="8">
          <cell r="C8">
            <v>3561454</v>
          </cell>
          <cell r="D8">
            <v>4185219</v>
          </cell>
          <cell r="E8">
            <v>8781841</v>
          </cell>
          <cell r="F8">
            <v>8606670</v>
          </cell>
          <cell r="G8">
            <v>14210262</v>
          </cell>
          <cell r="H8">
            <v>11090766</v>
          </cell>
        </row>
        <row r="9">
          <cell r="C9">
            <v>5321592</v>
          </cell>
          <cell r="D9">
            <v>5193089</v>
          </cell>
          <cell r="E9">
            <v>11146082</v>
          </cell>
          <cell r="F9">
            <v>11225402</v>
          </cell>
          <cell r="G9">
            <v>15501887</v>
          </cell>
          <cell r="H9">
            <v>15380046</v>
          </cell>
        </row>
        <row r="10">
          <cell r="C10">
            <v>3792331</v>
          </cell>
          <cell r="D10">
            <v>5639588</v>
          </cell>
          <cell r="E10">
            <v>8173555</v>
          </cell>
          <cell r="F10">
            <v>8883890</v>
          </cell>
          <cell r="G10">
            <v>13557004</v>
          </cell>
          <cell r="H10">
            <v>11431915</v>
          </cell>
        </row>
        <row r="11">
          <cell r="C11">
            <v>4780296</v>
          </cell>
          <cell r="D11">
            <v>6749767</v>
          </cell>
          <cell r="E11">
            <v>9286432</v>
          </cell>
          <cell r="F11">
            <v>12747664</v>
          </cell>
          <cell r="G11">
            <v>10042947</v>
          </cell>
          <cell r="H11">
            <v>12473111</v>
          </cell>
        </row>
        <row r="12">
          <cell r="C12">
            <v>4357441</v>
          </cell>
          <cell r="D12">
            <v>8599176</v>
          </cell>
          <cell r="E12">
            <v>10313042</v>
          </cell>
          <cell r="F12">
            <v>17042643</v>
          </cell>
          <cell r="G12">
            <v>8933353</v>
          </cell>
          <cell r="H12">
            <v>16859815</v>
          </cell>
        </row>
        <row r="13">
          <cell r="C13">
            <v>5403322</v>
          </cell>
          <cell r="D13">
            <v>6352269</v>
          </cell>
          <cell r="E13">
            <v>9599682</v>
          </cell>
          <cell r="F13">
            <v>12808574</v>
          </cell>
          <cell r="G13">
            <v>11255584</v>
          </cell>
          <cell r="H13">
            <v>12906547</v>
          </cell>
        </row>
        <row r="14">
          <cell r="C14">
            <v>4357708</v>
          </cell>
          <cell r="D14">
            <v>5431048</v>
          </cell>
          <cell r="E14">
            <v>7929458</v>
          </cell>
          <cell r="F14">
            <v>8052494</v>
          </cell>
          <cell r="G14">
            <v>10300591</v>
          </cell>
          <cell r="H14">
            <v>10382035</v>
          </cell>
        </row>
        <row r="15">
          <cell r="C15">
            <v>5241522</v>
          </cell>
          <cell r="D15">
            <v>10471560</v>
          </cell>
          <cell r="E15">
            <v>13008110</v>
          </cell>
          <cell r="F15">
            <v>10830442</v>
          </cell>
          <cell r="G15">
            <v>15996441</v>
          </cell>
          <cell r="H15">
            <v>12737695</v>
          </cell>
        </row>
        <row r="16">
          <cell r="C16">
            <v>5124321</v>
          </cell>
          <cell r="D16">
            <v>8711257</v>
          </cell>
          <cell r="E16">
            <v>10651706</v>
          </cell>
          <cell r="F16">
            <v>14236847</v>
          </cell>
          <cell r="G16">
            <v>18229084</v>
          </cell>
          <cell r="H16">
            <v>11152450</v>
          </cell>
        </row>
        <row r="17">
          <cell r="C17">
            <v>5134925</v>
          </cell>
          <cell r="D17">
            <v>8383375</v>
          </cell>
          <cell r="E17">
            <v>10448141</v>
          </cell>
          <cell r="F17">
            <v>12102952</v>
          </cell>
          <cell r="G17">
            <v>10862661</v>
          </cell>
          <cell r="H17">
            <v>12443973</v>
          </cell>
        </row>
        <row r="18">
          <cell r="C18">
            <v>6333119</v>
          </cell>
          <cell r="D18">
            <v>7672932</v>
          </cell>
          <cell r="E18">
            <v>9226349</v>
          </cell>
          <cell r="F18">
            <v>15657928</v>
          </cell>
          <cell r="G18">
            <v>17062716</v>
          </cell>
          <cell r="H18">
            <v>11282805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>
  <externalBook xmlns:r="http://schemas.openxmlformats.org/officeDocument/2006/relationships" r:id="rId1">
    <sheetNames>
      <sheetName val="principales_paises_p5"/>
    </sheetNames>
    <sheetDataSet>
      <sheetData sheetId="0">
        <row r="7">
          <cell r="C7">
            <v>2559533</v>
          </cell>
          <cell r="D7">
            <v>3942249</v>
          </cell>
          <cell r="E7">
            <v>6054005</v>
          </cell>
          <cell r="F7">
            <v>5724281</v>
          </cell>
          <cell r="G7">
            <v>18452302</v>
          </cell>
          <cell r="H7">
            <v>7203327</v>
          </cell>
        </row>
        <row r="8">
          <cell r="C8">
            <v>2832939</v>
          </cell>
          <cell r="D8">
            <v>6044733</v>
          </cell>
          <cell r="E8">
            <v>8499447</v>
          </cell>
          <cell r="F8">
            <v>7039011</v>
          </cell>
          <cell r="G8">
            <v>8915902</v>
          </cell>
          <cell r="H8">
            <v>7281880</v>
          </cell>
        </row>
        <row r="9">
          <cell r="C9">
            <v>6339176</v>
          </cell>
          <cell r="D9">
            <v>6428969</v>
          </cell>
          <cell r="E9">
            <v>7969852</v>
          </cell>
          <cell r="F9">
            <v>7787779</v>
          </cell>
          <cell r="G9">
            <v>8246342</v>
          </cell>
          <cell r="H9">
            <v>9221220</v>
          </cell>
        </row>
        <row r="10">
          <cell r="C10">
            <v>7780090</v>
          </cell>
          <cell r="D10">
            <v>6116013</v>
          </cell>
          <cell r="E10">
            <v>6269226</v>
          </cell>
          <cell r="F10">
            <v>16493290</v>
          </cell>
          <cell r="G10">
            <v>7122912</v>
          </cell>
          <cell r="H10">
            <v>11439264</v>
          </cell>
        </row>
        <row r="11">
          <cell r="C11">
            <v>6124736</v>
          </cell>
          <cell r="D11">
            <v>6170777</v>
          </cell>
          <cell r="E11">
            <v>7299938</v>
          </cell>
          <cell r="F11">
            <v>14391941</v>
          </cell>
          <cell r="G11">
            <v>8124149</v>
          </cell>
          <cell r="H11">
            <v>8922553</v>
          </cell>
        </row>
        <row r="12">
          <cell r="C12">
            <v>4783422</v>
          </cell>
          <cell r="D12">
            <v>6450616</v>
          </cell>
          <cell r="E12">
            <v>7084601</v>
          </cell>
          <cell r="F12">
            <v>9856386</v>
          </cell>
          <cell r="G12">
            <v>10824272</v>
          </cell>
          <cell r="H12">
            <v>10594553</v>
          </cell>
        </row>
        <row r="13">
          <cell r="C13">
            <v>5216866</v>
          </cell>
          <cell r="D13">
            <v>7370751</v>
          </cell>
          <cell r="E13">
            <v>6410469</v>
          </cell>
          <cell r="F13">
            <v>15449548</v>
          </cell>
          <cell r="G13">
            <v>9430682</v>
          </cell>
          <cell r="H13">
            <v>8807034</v>
          </cell>
        </row>
        <row r="14">
          <cell r="C14">
            <v>4809814</v>
          </cell>
          <cell r="D14">
            <v>8526285</v>
          </cell>
          <cell r="E14">
            <v>8226708</v>
          </cell>
          <cell r="F14">
            <v>8249970</v>
          </cell>
          <cell r="G14">
            <v>8118521</v>
          </cell>
          <cell r="H14">
            <v>10174812</v>
          </cell>
        </row>
        <row r="15">
          <cell r="C15">
            <v>5885984</v>
          </cell>
          <cell r="D15">
            <v>7507712</v>
          </cell>
          <cell r="E15">
            <v>8902056</v>
          </cell>
          <cell r="F15">
            <v>8507418</v>
          </cell>
          <cell r="G15">
            <v>8780175</v>
          </cell>
          <cell r="H15">
            <v>10336625</v>
          </cell>
        </row>
        <row r="16">
          <cell r="C16">
            <v>5679471</v>
          </cell>
          <cell r="D16">
            <v>8850971</v>
          </cell>
          <cell r="E16">
            <v>7503773</v>
          </cell>
          <cell r="F16">
            <v>9161420</v>
          </cell>
          <cell r="G16">
            <v>8758017</v>
          </cell>
          <cell r="H16">
            <v>11158874</v>
          </cell>
        </row>
        <row r="17">
          <cell r="C17">
            <v>7069896</v>
          </cell>
          <cell r="D17">
            <v>9213980</v>
          </cell>
          <cell r="E17">
            <v>8538041</v>
          </cell>
          <cell r="F17">
            <v>9190866</v>
          </cell>
          <cell r="G17">
            <v>9043975</v>
          </cell>
          <cell r="H17">
            <v>10706302</v>
          </cell>
        </row>
        <row r="18">
          <cell r="C18">
            <v>6183935</v>
          </cell>
          <cell r="D18">
            <v>7957157</v>
          </cell>
          <cell r="E18">
            <v>7075531</v>
          </cell>
          <cell r="F18">
            <v>8398705</v>
          </cell>
          <cell r="G18">
            <v>8409168</v>
          </cell>
          <cell r="H18">
            <v>9449053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_ciiu"/>
    </sheetNames>
    <sheetDataSet>
      <sheetData sheetId="0">
        <row r="7">
          <cell r="C7">
            <v>9170020</v>
          </cell>
          <cell r="D7">
            <v>13016725</v>
          </cell>
          <cell r="E7">
            <v>16549565</v>
          </cell>
          <cell r="F7">
            <v>29672389</v>
          </cell>
          <cell r="G7">
            <v>40311923</v>
          </cell>
          <cell r="H7">
            <v>27623922</v>
          </cell>
        </row>
        <row r="8">
          <cell r="C8">
            <v>13444757</v>
          </cell>
          <cell r="D8">
            <v>17624219</v>
          </cell>
          <cell r="E8">
            <v>19968467</v>
          </cell>
          <cell r="F8">
            <v>29225284</v>
          </cell>
          <cell r="G8">
            <v>51953068</v>
          </cell>
          <cell r="H8">
            <v>36528174</v>
          </cell>
        </row>
        <row r="9">
          <cell r="C9">
            <v>12841366</v>
          </cell>
          <cell r="D9">
            <v>22186755</v>
          </cell>
          <cell r="E9">
            <v>25175383</v>
          </cell>
          <cell r="F9">
            <v>44381026</v>
          </cell>
          <cell r="G9">
            <v>46204629</v>
          </cell>
          <cell r="H9">
            <v>48445467</v>
          </cell>
        </row>
        <row r="10">
          <cell r="C10">
            <v>16250483</v>
          </cell>
          <cell r="D10">
            <v>19254027</v>
          </cell>
          <cell r="E10">
            <v>22003748</v>
          </cell>
          <cell r="F10">
            <v>39669980</v>
          </cell>
          <cell r="G10">
            <v>39092593</v>
          </cell>
          <cell r="H10">
            <v>47543592</v>
          </cell>
        </row>
        <row r="11">
          <cell r="C11">
            <v>14620205</v>
          </cell>
          <cell r="D11">
            <v>19309232</v>
          </cell>
          <cell r="E11">
            <v>25723788</v>
          </cell>
          <cell r="F11">
            <v>41867422</v>
          </cell>
          <cell r="G11">
            <v>38036689</v>
          </cell>
          <cell r="H11">
            <v>52718933</v>
          </cell>
        </row>
        <row r="12">
          <cell r="C12">
            <v>18119110</v>
          </cell>
          <cell r="D12">
            <v>22680350</v>
          </cell>
          <cell r="E12">
            <v>26497739</v>
          </cell>
          <cell r="F12">
            <v>35942055</v>
          </cell>
          <cell r="G12">
            <v>39870817</v>
          </cell>
          <cell r="H12">
            <v>43653243</v>
          </cell>
        </row>
        <row r="13">
          <cell r="C13">
            <v>17515864</v>
          </cell>
          <cell r="D13">
            <v>19281672</v>
          </cell>
          <cell r="E13">
            <v>29094804</v>
          </cell>
          <cell r="F13">
            <v>49812008</v>
          </cell>
          <cell r="G13">
            <v>42439561</v>
          </cell>
          <cell r="H13">
            <v>34320559</v>
          </cell>
        </row>
        <row r="14">
          <cell r="C14">
            <v>16182371</v>
          </cell>
          <cell r="D14">
            <v>23901731</v>
          </cell>
          <cell r="E14">
            <v>29856098</v>
          </cell>
          <cell r="F14">
            <v>41293068</v>
          </cell>
          <cell r="G14">
            <v>39108427</v>
          </cell>
          <cell r="H14">
            <v>37471638</v>
          </cell>
        </row>
        <row r="15">
          <cell r="C15">
            <v>17267691</v>
          </cell>
          <cell r="D15">
            <v>26107364</v>
          </cell>
          <cell r="E15">
            <v>32316466</v>
          </cell>
          <cell r="F15">
            <v>29569059</v>
          </cell>
          <cell r="G15">
            <v>61286198</v>
          </cell>
          <cell r="H15">
            <v>38894011</v>
          </cell>
        </row>
        <row r="16">
          <cell r="C16">
            <v>18380408</v>
          </cell>
          <cell r="D16">
            <v>26592503</v>
          </cell>
          <cell r="E16">
            <v>29922704</v>
          </cell>
          <cell r="F16">
            <v>67260820</v>
          </cell>
          <cell r="G16">
            <v>47120090</v>
          </cell>
          <cell r="H16">
            <v>38001062</v>
          </cell>
        </row>
        <row r="17">
          <cell r="C17">
            <v>20305210</v>
          </cell>
          <cell r="D17">
            <v>22893007</v>
          </cell>
          <cell r="E17">
            <v>34225842</v>
          </cell>
          <cell r="F17">
            <v>44710367</v>
          </cell>
          <cell r="G17">
            <v>50283766</v>
          </cell>
          <cell r="H17">
            <v>37400294</v>
          </cell>
        </row>
        <row r="18">
          <cell r="C18">
            <v>15061422</v>
          </cell>
          <cell r="D18">
            <v>17299733</v>
          </cell>
          <cell r="E18">
            <v>29481754</v>
          </cell>
          <cell r="F18">
            <v>53754289</v>
          </cell>
          <cell r="G18">
            <v>44462261</v>
          </cell>
          <cell r="H18">
            <v>42492615</v>
          </cell>
        </row>
        <row r="32">
          <cell r="C32">
            <v>4081130</v>
          </cell>
          <cell r="D32">
            <v>2740823</v>
          </cell>
          <cell r="E32">
            <v>9966202</v>
          </cell>
          <cell r="F32">
            <v>5201268</v>
          </cell>
          <cell r="G32">
            <v>3451291</v>
          </cell>
          <cell r="H32">
            <v>19902960</v>
          </cell>
        </row>
        <row r="33">
          <cell r="C33">
            <v>3478761</v>
          </cell>
          <cell r="D33">
            <v>7600886</v>
          </cell>
          <cell r="E33">
            <v>10617780</v>
          </cell>
          <cell r="F33">
            <v>7415874</v>
          </cell>
          <cell r="G33">
            <v>5029262</v>
          </cell>
          <cell r="H33">
            <v>27320996</v>
          </cell>
        </row>
        <row r="34">
          <cell r="C34">
            <v>7388010</v>
          </cell>
          <cell r="D34">
            <v>6802443</v>
          </cell>
          <cell r="E34">
            <v>18497018</v>
          </cell>
          <cell r="F34">
            <v>7316987</v>
          </cell>
          <cell r="G34">
            <v>10044806</v>
          </cell>
          <cell r="H34">
            <v>40189205</v>
          </cell>
        </row>
        <row r="35">
          <cell r="C35">
            <v>14865958</v>
          </cell>
          <cell r="D35">
            <v>3757968</v>
          </cell>
          <cell r="E35">
            <v>11873377</v>
          </cell>
          <cell r="F35">
            <v>8264354</v>
          </cell>
          <cell r="G35">
            <v>9480835</v>
          </cell>
          <cell r="H35">
            <v>26175540</v>
          </cell>
        </row>
        <row r="36">
          <cell r="C36">
            <v>14751733</v>
          </cell>
          <cell r="D36">
            <v>5974737</v>
          </cell>
          <cell r="E36">
            <v>10540921</v>
          </cell>
          <cell r="F36">
            <v>8576849</v>
          </cell>
          <cell r="G36">
            <v>16189813</v>
          </cell>
          <cell r="H36">
            <v>71439451</v>
          </cell>
        </row>
        <row r="37">
          <cell r="C37">
            <v>8059640</v>
          </cell>
          <cell r="D37">
            <v>12662872</v>
          </cell>
          <cell r="E37">
            <v>12189218</v>
          </cell>
          <cell r="F37">
            <v>9969183</v>
          </cell>
          <cell r="G37">
            <v>8817393</v>
          </cell>
          <cell r="H37">
            <v>25778010</v>
          </cell>
        </row>
        <row r="38">
          <cell r="C38">
            <v>5512183</v>
          </cell>
          <cell r="D38">
            <v>14318306</v>
          </cell>
          <cell r="E38">
            <v>11982619</v>
          </cell>
          <cell r="F38">
            <v>19109221</v>
          </cell>
          <cell r="G38">
            <v>16810918</v>
          </cell>
          <cell r="H38">
            <v>17825308</v>
          </cell>
        </row>
        <row r="39">
          <cell r="C39">
            <v>5285707</v>
          </cell>
          <cell r="D39">
            <v>8064311</v>
          </cell>
          <cell r="E39">
            <v>12474190</v>
          </cell>
          <cell r="F39">
            <v>12345182</v>
          </cell>
          <cell r="G39">
            <v>12559161</v>
          </cell>
          <cell r="H39">
            <v>30136148</v>
          </cell>
        </row>
        <row r="40">
          <cell r="C40">
            <v>4989843</v>
          </cell>
          <cell r="D40">
            <v>6687452</v>
          </cell>
          <cell r="E40">
            <v>9445491</v>
          </cell>
          <cell r="F40">
            <v>3687919</v>
          </cell>
          <cell r="G40">
            <v>18967308</v>
          </cell>
          <cell r="H40">
            <v>32177803</v>
          </cell>
        </row>
        <row r="41">
          <cell r="C41">
            <v>7215212</v>
          </cell>
          <cell r="D41">
            <v>15898830</v>
          </cell>
          <cell r="E41">
            <v>6936487</v>
          </cell>
          <cell r="F41">
            <v>4854311</v>
          </cell>
          <cell r="G41">
            <v>20790450</v>
          </cell>
          <cell r="H41">
            <v>27066264</v>
          </cell>
        </row>
        <row r="42">
          <cell r="C42">
            <v>4329593</v>
          </cell>
          <cell r="D42">
            <v>3828694</v>
          </cell>
          <cell r="E42">
            <v>8236484</v>
          </cell>
          <cell r="F42">
            <v>3347938</v>
          </cell>
          <cell r="G42">
            <v>18894851</v>
          </cell>
          <cell r="H42">
            <v>45112054</v>
          </cell>
        </row>
        <row r="43">
          <cell r="C43">
            <v>1910890</v>
          </cell>
          <cell r="D43">
            <v>4718591</v>
          </cell>
          <cell r="E43">
            <v>6020748</v>
          </cell>
          <cell r="F43">
            <v>4621842</v>
          </cell>
          <cell r="G43">
            <v>23187387</v>
          </cell>
          <cell r="H43">
            <v>78608447</v>
          </cell>
        </row>
        <row r="57">
          <cell r="C57">
            <v>7822744</v>
          </cell>
          <cell r="D57">
            <v>13019004</v>
          </cell>
          <cell r="E57">
            <v>7887519</v>
          </cell>
          <cell r="F57">
            <v>13914702</v>
          </cell>
          <cell r="G57">
            <v>27354028</v>
          </cell>
          <cell r="H57">
            <v>17467524</v>
          </cell>
        </row>
        <row r="58">
          <cell r="C58">
            <v>6542381</v>
          </cell>
          <cell r="D58">
            <v>20943163</v>
          </cell>
          <cell r="E58">
            <v>10899109</v>
          </cell>
          <cell r="F58">
            <v>35410742</v>
          </cell>
          <cell r="G58">
            <v>25914360</v>
          </cell>
          <cell r="H58">
            <v>18251664</v>
          </cell>
        </row>
        <row r="59">
          <cell r="C59">
            <v>7857486</v>
          </cell>
          <cell r="D59">
            <v>20041856</v>
          </cell>
          <cell r="E59">
            <v>10785917</v>
          </cell>
          <cell r="F59">
            <v>37962695</v>
          </cell>
          <cell r="G59">
            <v>28671601</v>
          </cell>
          <cell r="H59">
            <v>25272324</v>
          </cell>
        </row>
        <row r="60">
          <cell r="C60">
            <v>11919226</v>
          </cell>
          <cell r="D60">
            <v>15544005</v>
          </cell>
          <cell r="E60">
            <v>13724750</v>
          </cell>
          <cell r="F60">
            <v>54209410</v>
          </cell>
          <cell r="G60">
            <v>17351477</v>
          </cell>
          <cell r="H60">
            <v>15238353</v>
          </cell>
        </row>
        <row r="61">
          <cell r="C61">
            <v>20123347</v>
          </cell>
          <cell r="D61">
            <v>13233886</v>
          </cell>
          <cell r="E61">
            <v>12137266</v>
          </cell>
          <cell r="F61">
            <v>34611819</v>
          </cell>
          <cell r="G61">
            <v>13740950</v>
          </cell>
          <cell r="H61">
            <v>24409408</v>
          </cell>
        </row>
        <row r="62">
          <cell r="C62">
            <v>17706843</v>
          </cell>
          <cell r="D62">
            <v>12032586</v>
          </cell>
          <cell r="E62">
            <v>16291829</v>
          </cell>
          <cell r="F62">
            <v>42208890</v>
          </cell>
          <cell r="G62">
            <v>21573507</v>
          </cell>
          <cell r="H62">
            <v>21830387</v>
          </cell>
        </row>
        <row r="63">
          <cell r="C63">
            <v>15115901</v>
          </cell>
          <cell r="D63">
            <v>14714440</v>
          </cell>
          <cell r="E63">
            <v>16493798</v>
          </cell>
          <cell r="F63">
            <v>28739377</v>
          </cell>
          <cell r="G63">
            <v>17765389</v>
          </cell>
          <cell r="H63">
            <v>16653056</v>
          </cell>
        </row>
        <row r="64">
          <cell r="C64">
            <v>11753885</v>
          </cell>
          <cell r="D64">
            <v>16057215</v>
          </cell>
          <cell r="E64">
            <v>15205119</v>
          </cell>
          <cell r="F64">
            <v>33777723</v>
          </cell>
          <cell r="G64">
            <v>15582930</v>
          </cell>
          <cell r="H64">
            <v>21271598</v>
          </cell>
        </row>
        <row r="65">
          <cell r="C65">
            <v>11261752</v>
          </cell>
          <cell r="D65">
            <v>12766768</v>
          </cell>
          <cell r="E65">
            <v>15780875</v>
          </cell>
          <cell r="F65">
            <v>15410209</v>
          </cell>
          <cell r="G65">
            <v>13392565</v>
          </cell>
          <cell r="H65">
            <v>19568870</v>
          </cell>
        </row>
        <row r="66">
          <cell r="C66">
            <v>13483383</v>
          </cell>
          <cell r="D66">
            <v>16957977</v>
          </cell>
          <cell r="E66">
            <v>17679446</v>
          </cell>
          <cell r="F66">
            <v>29935989</v>
          </cell>
          <cell r="G66">
            <v>15190681</v>
          </cell>
          <cell r="H66">
            <v>21549043</v>
          </cell>
        </row>
        <row r="67">
          <cell r="C67">
            <v>17425504</v>
          </cell>
          <cell r="D67">
            <v>15242480</v>
          </cell>
          <cell r="E67">
            <v>17351845</v>
          </cell>
          <cell r="F67">
            <v>19940559</v>
          </cell>
          <cell r="G67">
            <v>21608720</v>
          </cell>
          <cell r="H67">
            <v>32105548</v>
          </cell>
        </row>
        <row r="68">
          <cell r="C68">
            <v>16881657</v>
          </cell>
          <cell r="D68">
            <v>12609758</v>
          </cell>
          <cell r="E68">
            <v>14097898</v>
          </cell>
          <cell r="F68">
            <v>23999007</v>
          </cell>
          <cell r="G68">
            <v>21033372</v>
          </cell>
          <cell r="H68">
            <v>29928041</v>
          </cell>
        </row>
        <row r="82">
          <cell r="C82">
            <v>3495206</v>
          </cell>
          <cell r="D82">
            <v>2522241</v>
          </cell>
          <cell r="E82">
            <v>471068</v>
          </cell>
          <cell r="F82">
            <v>7364380</v>
          </cell>
          <cell r="G82">
            <v>6969298</v>
          </cell>
          <cell r="H82">
            <v>11866103</v>
          </cell>
        </row>
        <row r="83">
          <cell r="C83">
            <v>3022064</v>
          </cell>
          <cell r="D83">
            <v>3918950</v>
          </cell>
          <cell r="E83">
            <v>98242</v>
          </cell>
          <cell r="F83">
            <v>9162509</v>
          </cell>
          <cell r="G83">
            <v>3600253</v>
          </cell>
          <cell r="H83">
            <v>8517384</v>
          </cell>
        </row>
        <row r="84">
          <cell r="C84">
            <v>2590610</v>
          </cell>
          <cell r="D84">
            <v>6134306</v>
          </cell>
          <cell r="E84">
            <v>813075</v>
          </cell>
          <cell r="F84">
            <v>7910308</v>
          </cell>
          <cell r="G84">
            <v>11199630</v>
          </cell>
          <cell r="H84">
            <v>37643210</v>
          </cell>
        </row>
        <row r="85">
          <cell r="C85">
            <v>3773738</v>
          </cell>
          <cell r="D85">
            <v>7341641</v>
          </cell>
          <cell r="E85">
            <v>180158</v>
          </cell>
          <cell r="F85">
            <v>19919221</v>
          </cell>
          <cell r="G85">
            <v>5128376</v>
          </cell>
          <cell r="H85">
            <v>4912988</v>
          </cell>
        </row>
        <row r="86">
          <cell r="C86">
            <v>3878497</v>
          </cell>
          <cell r="D86">
            <v>7969435</v>
          </cell>
          <cell r="E86">
            <v>21649982</v>
          </cell>
          <cell r="F86">
            <v>7720230</v>
          </cell>
          <cell r="G86">
            <v>12899760</v>
          </cell>
          <cell r="H86">
            <v>72607372</v>
          </cell>
        </row>
        <row r="87">
          <cell r="C87">
            <v>4023426</v>
          </cell>
          <cell r="D87">
            <v>6565254</v>
          </cell>
          <cell r="E87">
            <v>9129797</v>
          </cell>
          <cell r="F87">
            <v>12041281</v>
          </cell>
          <cell r="G87">
            <v>3880145</v>
          </cell>
          <cell r="H87">
            <v>7350669</v>
          </cell>
        </row>
        <row r="88">
          <cell r="C88">
            <v>3805694</v>
          </cell>
          <cell r="D88">
            <v>7108951</v>
          </cell>
          <cell r="E88">
            <v>5249879</v>
          </cell>
          <cell r="F88">
            <v>19332421</v>
          </cell>
          <cell r="G88">
            <v>12645607</v>
          </cell>
          <cell r="H88">
            <v>2875217</v>
          </cell>
        </row>
        <row r="89">
          <cell r="C89">
            <v>3810227</v>
          </cell>
          <cell r="D89">
            <v>7093175</v>
          </cell>
          <cell r="E89">
            <v>10088126</v>
          </cell>
          <cell r="F89">
            <v>7563000</v>
          </cell>
          <cell r="G89">
            <v>8252152</v>
          </cell>
          <cell r="H89">
            <v>15694654</v>
          </cell>
        </row>
        <row r="90">
          <cell r="C90">
            <v>2595011</v>
          </cell>
          <cell r="D90">
            <v>8244251</v>
          </cell>
          <cell r="E90">
            <v>26583290</v>
          </cell>
          <cell r="F90">
            <v>19243311</v>
          </cell>
          <cell r="G90">
            <v>2938275</v>
          </cell>
          <cell r="H90">
            <v>30408331</v>
          </cell>
        </row>
        <row r="91">
          <cell r="C91">
            <v>3016670</v>
          </cell>
          <cell r="D91">
            <v>8246948</v>
          </cell>
          <cell r="E91">
            <v>11460764</v>
          </cell>
          <cell r="F91">
            <v>36606330</v>
          </cell>
          <cell r="G91">
            <v>3709660</v>
          </cell>
          <cell r="H91">
            <v>26871930</v>
          </cell>
        </row>
        <row r="92">
          <cell r="C92">
            <v>4214691</v>
          </cell>
          <cell r="D92">
            <v>8011652</v>
          </cell>
          <cell r="E92">
            <v>8846031</v>
          </cell>
          <cell r="F92">
            <v>4152238</v>
          </cell>
          <cell r="G92">
            <v>3170012</v>
          </cell>
          <cell r="H92">
            <v>3712762</v>
          </cell>
        </row>
        <row r="93">
          <cell r="C93">
            <v>3883406</v>
          </cell>
          <cell r="D93">
            <v>335738</v>
          </cell>
          <cell r="E93">
            <v>9185359</v>
          </cell>
          <cell r="F93">
            <v>2981790</v>
          </cell>
          <cell r="G93">
            <v>14411545</v>
          </cell>
          <cell r="H93">
            <v>801697</v>
          </cell>
        </row>
        <row r="107">
          <cell r="C107">
            <v>4516099</v>
          </cell>
          <cell r="D107">
            <v>6828809</v>
          </cell>
          <cell r="E107">
            <v>9448348</v>
          </cell>
          <cell r="F107">
            <v>34746639</v>
          </cell>
          <cell r="G107">
            <v>17464483</v>
          </cell>
          <cell r="H107">
            <v>7910066</v>
          </cell>
        </row>
        <row r="108">
          <cell r="C108">
            <v>6059015</v>
          </cell>
          <cell r="D108">
            <v>9486760</v>
          </cell>
          <cell r="E108">
            <v>14496942</v>
          </cell>
          <cell r="F108">
            <v>25488788</v>
          </cell>
          <cell r="G108">
            <v>24209057</v>
          </cell>
          <cell r="H108">
            <v>13327294</v>
          </cell>
        </row>
        <row r="109">
          <cell r="C109">
            <v>7854224</v>
          </cell>
          <cell r="D109">
            <v>9929471</v>
          </cell>
          <cell r="E109">
            <v>14772890</v>
          </cell>
          <cell r="F109">
            <v>24026856</v>
          </cell>
          <cell r="G109">
            <v>26166912</v>
          </cell>
          <cell r="H109">
            <v>16611671</v>
          </cell>
        </row>
        <row r="110">
          <cell r="C110">
            <v>8289470</v>
          </cell>
          <cell r="D110">
            <v>8263286</v>
          </cell>
          <cell r="E110">
            <v>15384784</v>
          </cell>
          <cell r="F110">
            <v>50986641</v>
          </cell>
          <cell r="G110">
            <v>19132869</v>
          </cell>
          <cell r="H110">
            <v>14443977</v>
          </cell>
        </row>
        <row r="111">
          <cell r="C111">
            <v>8250251</v>
          </cell>
          <cell r="D111">
            <v>11616099</v>
          </cell>
          <cell r="E111">
            <v>18449218</v>
          </cell>
          <cell r="F111">
            <v>36104660</v>
          </cell>
          <cell r="G111">
            <v>52389125</v>
          </cell>
          <cell r="H111">
            <v>14452806</v>
          </cell>
        </row>
        <row r="112">
          <cell r="C112">
            <v>7661464</v>
          </cell>
          <cell r="D112">
            <v>10397330</v>
          </cell>
          <cell r="E112">
            <v>18626179</v>
          </cell>
          <cell r="F112">
            <v>21294730</v>
          </cell>
          <cell r="G112">
            <v>43736389</v>
          </cell>
          <cell r="H112">
            <v>15640114</v>
          </cell>
        </row>
        <row r="113">
          <cell r="C113">
            <v>10023552</v>
          </cell>
          <cell r="D113">
            <v>11273265</v>
          </cell>
          <cell r="E113">
            <v>23965816</v>
          </cell>
          <cell r="F113">
            <v>28672234</v>
          </cell>
          <cell r="G113">
            <v>17542523</v>
          </cell>
          <cell r="H113">
            <v>14547666</v>
          </cell>
        </row>
        <row r="114">
          <cell r="C114">
            <v>8681113</v>
          </cell>
          <cell r="D114">
            <v>10244726</v>
          </cell>
          <cell r="E114">
            <v>22166714</v>
          </cell>
          <cell r="F114">
            <v>25745571</v>
          </cell>
          <cell r="G114">
            <v>14145575</v>
          </cell>
          <cell r="H114">
            <v>13106870</v>
          </cell>
        </row>
        <row r="115">
          <cell r="C115">
            <v>8798558</v>
          </cell>
          <cell r="D115">
            <v>14308129</v>
          </cell>
          <cell r="E115">
            <v>21394972</v>
          </cell>
          <cell r="F115">
            <v>22872177</v>
          </cell>
          <cell r="G115">
            <v>16195379</v>
          </cell>
          <cell r="H115">
            <v>19416846</v>
          </cell>
        </row>
        <row r="116">
          <cell r="C116">
            <v>8341568</v>
          </cell>
          <cell r="D116">
            <v>14124781</v>
          </cell>
          <cell r="E116">
            <v>34802069</v>
          </cell>
          <cell r="F116">
            <v>52123729</v>
          </cell>
          <cell r="G116">
            <v>16995074</v>
          </cell>
          <cell r="H116">
            <v>16210316</v>
          </cell>
        </row>
        <row r="117">
          <cell r="C117">
            <v>10387367</v>
          </cell>
          <cell r="D117">
            <v>14154355</v>
          </cell>
          <cell r="E117">
            <v>30820098</v>
          </cell>
          <cell r="F117">
            <v>40032169</v>
          </cell>
          <cell r="G117">
            <v>14968559</v>
          </cell>
          <cell r="H117">
            <v>16439160</v>
          </cell>
        </row>
        <row r="118">
          <cell r="C118">
            <v>8853409</v>
          </cell>
          <cell r="D118">
            <v>12063266</v>
          </cell>
          <cell r="E118">
            <v>30939380</v>
          </cell>
          <cell r="F118">
            <v>32900228</v>
          </cell>
          <cell r="G118">
            <v>13770144</v>
          </cell>
          <cell r="H118">
            <v>16759986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9731865840.8999939</v>
          </cell>
          <cell r="C2">
            <v>10757290918.650007</v>
          </cell>
          <cell r="D2">
            <v>1145604322.3299999</v>
          </cell>
          <cell r="E2">
            <v>1048254223.6800001</v>
          </cell>
        </row>
        <row r="3">
          <cell r="A3" t="str">
            <v>Antioquia</v>
          </cell>
          <cell r="B3">
            <v>4125619293.3299584</v>
          </cell>
          <cell r="C3">
            <v>4714248249.2800417</v>
          </cell>
          <cell r="D3">
            <v>417798267.48000073</v>
          </cell>
          <cell r="E3">
            <v>531293987.98999882</v>
          </cell>
        </row>
        <row r="4">
          <cell r="A4" t="str">
            <v>Bogotá</v>
          </cell>
          <cell r="B4">
            <v>2885349174.8199701</v>
          </cell>
          <cell r="C4">
            <v>2945057125.7999687</v>
          </cell>
          <cell r="D4">
            <v>243162033.36000073</v>
          </cell>
          <cell r="E4">
            <v>281099121.7899999</v>
          </cell>
        </row>
        <row r="5">
          <cell r="A5" t="str">
            <v>Cesar</v>
          </cell>
          <cell r="B5">
            <v>2455907302.2199993</v>
          </cell>
          <cell r="C5">
            <v>2816549141.8000002</v>
          </cell>
          <cell r="D5">
            <v>225802076.62000006</v>
          </cell>
          <cell r="E5">
            <v>155447446.88</v>
          </cell>
        </row>
        <row r="6">
          <cell r="A6" t="str">
            <v>Guajira</v>
          </cell>
          <cell r="B6">
            <v>2865590394.4600034</v>
          </cell>
          <cell r="C6">
            <v>2578166700.5100017</v>
          </cell>
          <cell r="D6">
            <v>199281629.13000003</v>
          </cell>
          <cell r="E6">
            <v>212753270.62999997</v>
          </cell>
        </row>
        <row r="7">
          <cell r="A7" t="str">
            <v>Bolívar</v>
          </cell>
          <cell r="B7">
            <v>1263515194.3600016</v>
          </cell>
          <cell r="C7">
            <v>2445175449.9800119</v>
          </cell>
          <cell r="D7">
            <v>107355602.88999993</v>
          </cell>
          <cell r="E7">
            <v>197794368.55000013</v>
          </cell>
        </row>
        <row r="8">
          <cell r="A8" t="str">
            <v>Valle del Cauca</v>
          </cell>
          <cell r="B8">
            <v>2072561349.0300236</v>
          </cell>
          <cell r="C8">
            <v>2206819406.6400018</v>
          </cell>
          <cell r="D8">
            <v>243360181.54999974</v>
          </cell>
          <cell r="E8">
            <v>207984362.56999967</v>
          </cell>
        </row>
        <row r="9">
          <cell r="A9" t="str">
            <v>Cundinamarca</v>
          </cell>
          <cell r="B9">
            <v>1656726338.4400301</v>
          </cell>
          <cell r="C9">
            <v>1846429210.3300118</v>
          </cell>
          <cell r="D9">
            <v>129217717.6100003</v>
          </cell>
          <cell r="E9">
            <v>190860071.54000077</v>
          </cell>
        </row>
        <row r="10">
          <cell r="A10" t="str">
            <v>Meta</v>
          </cell>
          <cell r="B10">
            <v>3972617.2300000004</v>
          </cell>
          <cell r="C10">
            <v>1318034675.1799998</v>
          </cell>
          <cell r="D10">
            <v>300</v>
          </cell>
          <cell r="E10">
            <v>177326259.55999997</v>
          </cell>
        </row>
        <row r="11">
          <cell r="A11" t="str">
            <v>Casanare</v>
          </cell>
          <cell r="B11">
            <v>306982.7</v>
          </cell>
          <cell r="C11">
            <v>1141645107.7000003</v>
          </cell>
          <cell r="D11">
            <v>0</v>
          </cell>
          <cell r="E11">
            <v>103460120.61</v>
          </cell>
        </row>
        <row r="12">
          <cell r="A12" t="str">
            <v>Atlántico</v>
          </cell>
          <cell r="B12">
            <v>1088232971.1799994</v>
          </cell>
          <cell r="C12">
            <v>1050241772.4500003</v>
          </cell>
          <cell r="D12">
            <v>80829724.239999935</v>
          </cell>
          <cell r="E12">
            <v>104077035.52999994</v>
          </cell>
        </row>
        <row r="13">
          <cell r="A13" t="str">
            <v>Córdoba</v>
          </cell>
          <cell r="B13">
            <v>631656730.15999985</v>
          </cell>
          <cell r="C13">
            <v>990467268.33000004</v>
          </cell>
          <cell r="D13">
            <v>88567029.010000005</v>
          </cell>
          <cell r="E13">
            <v>93819682.569999993</v>
          </cell>
        </row>
        <row r="14">
          <cell r="A14" t="str">
            <v>Aráuca</v>
          </cell>
          <cell r="B14">
            <v>1132624.77</v>
          </cell>
          <cell r="C14">
            <v>795160375.60000002</v>
          </cell>
          <cell r="D14">
            <v>28881.77</v>
          </cell>
          <cell r="E14">
            <v>67865067.850000009</v>
          </cell>
        </row>
        <row r="15">
          <cell r="A15" t="str">
            <v>Huila</v>
          </cell>
          <cell r="B15">
            <v>300911021.70999944</v>
          </cell>
          <cell r="C15">
            <v>738866271.14000106</v>
          </cell>
          <cell r="D15">
            <v>34214997.229999997</v>
          </cell>
          <cell r="E15">
            <v>122934070.44000004</v>
          </cell>
        </row>
        <row r="16">
          <cell r="A16" t="str">
            <v>Caldas</v>
          </cell>
          <cell r="B16">
            <v>601280421.549999</v>
          </cell>
          <cell r="C16">
            <v>620037040.76000154</v>
          </cell>
          <cell r="D16">
            <v>46682141.749999985</v>
          </cell>
          <cell r="E16">
            <v>63698556.87000002</v>
          </cell>
        </row>
        <row r="17">
          <cell r="A17" t="str">
            <v>Risaralda</v>
          </cell>
          <cell r="B17">
            <v>470365500.02000147</v>
          </cell>
          <cell r="C17">
            <v>568427317.7700057</v>
          </cell>
          <cell r="D17">
            <v>49108596.270000018</v>
          </cell>
          <cell r="E17">
            <v>72198491.830000132</v>
          </cell>
        </row>
        <row r="18">
          <cell r="A18" t="str">
            <v>Santander</v>
          </cell>
          <cell r="B18">
            <v>678946432.16999936</v>
          </cell>
          <cell r="C18">
            <v>448020789.4800005</v>
          </cell>
          <cell r="D18">
            <v>38400757.55999998</v>
          </cell>
          <cell r="E18">
            <v>43497552.839999974</v>
          </cell>
        </row>
        <row r="19">
          <cell r="A19" t="str">
            <v>Magdalena</v>
          </cell>
          <cell r="B19">
            <v>379535072.99000067</v>
          </cell>
          <cell r="C19">
            <v>375778774.99000013</v>
          </cell>
          <cell r="D19">
            <v>31442844.800000004</v>
          </cell>
          <cell r="E19">
            <v>18721308.23</v>
          </cell>
        </row>
        <row r="20">
          <cell r="A20" t="str">
            <v>Boyacá</v>
          </cell>
          <cell r="B20">
            <v>196498318.27000007</v>
          </cell>
          <cell r="C20">
            <v>357389472.67999977</v>
          </cell>
          <cell r="D20">
            <v>25682052.470000003</v>
          </cell>
          <cell r="E20">
            <v>23526597.830000002</v>
          </cell>
        </row>
        <row r="21">
          <cell r="A21" t="str">
            <v>Cauca</v>
          </cell>
          <cell r="B21">
            <v>273065893.32000089</v>
          </cell>
          <cell r="C21">
            <v>304097423.63999963</v>
          </cell>
          <cell r="D21">
            <v>37281426.219999954</v>
          </cell>
          <cell r="E21">
            <v>25041386.619999982</v>
          </cell>
        </row>
        <row r="22">
          <cell r="A22" t="str">
            <v>Norte de Santander</v>
          </cell>
          <cell r="B22">
            <v>736108240.73000133</v>
          </cell>
          <cell r="C22">
            <v>286426641.28000021</v>
          </cell>
          <cell r="D22">
            <v>15952137.829999998</v>
          </cell>
          <cell r="E22">
            <v>40887533.350000009</v>
          </cell>
        </row>
        <row r="23">
          <cell r="A23" t="str">
            <v>Tolima</v>
          </cell>
          <cell r="B23">
            <v>112320507.3399999</v>
          </cell>
          <cell r="C23">
            <v>277289492.84999979</v>
          </cell>
          <cell r="D23">
            <v>4453766.9400000004</v>
          </cell>
          <cell r="E23">
            <v>28465749.539999999</v>
          </cell>
        </row>
        <row r="24">
          <cell r="A24" t="str">
            <v>Quindío</v>
          </cell>
          <cell r="B24">
            <v>162150187.90999973</v>
          </cell>
          <cell r="C24">
            <v>119405141.14</v>
          </cell>
          <cell r="D24">
            <v>12189220.840000004</v>
          </cell>
          <cell r="E24">
            <v>18210063.799999997</v>
          </cell>
        </row>
        <row r="25">
          <cell r="A25" t="str">
            <v>Nariño</v>
          </cell>
          <cell r="B25">
            <v>55689762.230000004</v>
          </cell>
          <cell r="C25">
            <v>53023019.810000062</v>
          </cell>
          <cell r="D25">
            <v>5318261.9399999995</v>
          </cell>
          <cell r="E25">
            <v>10542862.559999995</v>
          </cell>
        </row>
        <row r="26">
          <cell r="A26" t="str">
            <v>Sucre</v>
          </cell>
          <cell r="B26">
            <v>86602071.859999999</v>
          </cell>
          <cell r="C26">
            <v>47839451.980000004</v>
          </cell>
          <cell r="D26">
            <v>6460954.7200000007</v>
          </cell>
          <cell r="E26">
            <v>3446788.87</v>
          </cell>
        </row>
        <row r="27">
          <cell r="A27" t="str">
            <v>Chocó</v>
          </cell>
          <cell r="B27">
            <v>14283654.379999997</v>
          </cell>
          <cell r="C27">
            <v>11928364.639999995</v>
          </cell>
          <cell r="D27">
            <v>887542.36</v>
          </cell>
          <cell r="E27">
            <v>462688.3</v>
          </cell>
        </row>
        <row r="28">
          <cell r="A28" t="str">
            <v>San Andrés</v>
          </cell>
          <cell r="B28">
            <v>1434243.2999999998</v>
          </cell>
          <cell r="C28">
            <v>3796652.53</v>
          </cell>
          <cell r="D28">
            <v>361968</v>
          </cell>
          <cell r="E28">
            <v>529625.89</v>
          </cell>
        </row>
        <row r="29">
          <cell r="A29" t="str">
            <v>Putumayo</v>
          </cell>
          <cell r="B29">
            <v>122940.19</v>
          </cell>
          <cell r="C29">
            <v>1484300.63</v>
          </cell>
          <cell r="D29">
            <v>83502.67</v>
          </cell>
          <cell r="E29">
            <v>1244208</v>
          </cell>
        </row>
        <row r="30">
          <cell r="A30" t="str">
            <v>Amazonas</v>
          </cell>
          <cell r="B30">
            <v>23957.88</v>
          </cell>
          <cell r="C30">
            <v>133465.41</v>
          </cell>
          <cell r="D30">
            <v>0</v>
          </cell>
          <cell r="E30">
            <v>0</v>
          </cell>
        </row>
        <row r="31">
          <cell r="A31" t="str">
            <v>Guainía</v>
          </cell>
          <cell r="B31">
            <v>930308.83000000007</v>
          </cell>
          <cell r="C31">
            <v>115913.93000000001</v>
          </cell>
          <cell r="D31">
            <v>21136.240000000002</v>
          </cell>
          <cell r="E31">
            <v>0</v>
          </cell>
        </row>
        <row r="32">
          <cell r="A32" t="str">
            <v>Vaupés</v>
          </cell>
          <cell r="B32">
            <v>208576.74000000002</v>
          </cell>
          <cell r="C32">
            <v>104531.28</v>
          </cell>
          <cell r="D32">
            <v>90997.59</v>
          </cell>
          <cell r="E32">
            <v>88708.08</v>
          </cell>
        </row>
        <row r="33">
          <cell r="A33" t="str">
            <v>Caquetá</v>
          </cell>
          <cell r="B33">
            <v>33848.149999999994</v>
          </cell>
          <cell r="C33">
            <v>61587.21</v>
          </cell>
          <cell r="D33">
            <v>0</v>
          </cell>
          <cell r="E33">
            <v>0</v>
          </cell>
        </row>
        <row r="34">
          <cell r="A34" t="str">
            <v>Vichada</v>
          </cell>
          <cell r="B34">
            <v>0</v>
          </cell>
          <cell r="C34">
            <v>13011.83</v>
          </cell>
          <cell r="D34">
            <v>0</v>
          </cell>
          <cell r="E34">
            <v>0</v>
          </cell>
        </row>
        <row r="35">
          <cell r="A35" t="str">
            <v>Guaviare</v>
          </cell>
          <cell r="B35">
            <v>378.92</v>
          </cell>
          <cell r="C35">
            <v>4574.4399999999996</v>
          </cell>
          <cell r="D35">
            <v>0</v>
          </cell>
          <cell r="E35">
            <v>0</v>
          </cell>
        </row>
      </sheetData>
    </sheetDataSet>
  </externalBook>
</externalLink>
</file>

<file path=xl/externalLinks/externalLink32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9731845854.2999954</v>
          </cell>
          <cell r="C2">
            <v>1145604322.3299999</v>
          </cell>
          <cell r="E2">
            <v>10757285928.649996</v>
          </cell>
          <cell r="F2">
            <v>1048254223.6800002</v>
          </cell>
        </row>
        <row r="3">
          <cell r="A3" t="str">
            <v>Cesar</v>
          </cell>
          <cell r="B3">
            <v>2397973718.6500001</v>
          </cell>
          <cell r="C3">
            <v>225162688.57000005</v>
          </cell>
          <cell r="E3">
            <v>2806626233.5699983</v>
          </cell>
          <cell r="F3">
            <v>155433943.88</v>
          </cell>
        </row>
        <row r="4">
          <cell r="A4" t="str">
            <v>Guajira</v>
          </cell>
          <cell r="B4">
            <v>2853993623.6800056</v>
          </cell>
          <cell r="C4">
            <v>198635114.84999999</v>
          </cell>
          <cell r="E4">
            <v>2571917708.0799994</v>
          </cell>
          <cell r="F4">
            <v>212630303.30999994</v>
          </cell>
        </row>
        <row r="5">
          <cell r="A5" t="str">
            <v>Meta</v>
          </cell>
          <cell r="B5">
            <v>0</v>
          </cell>
          <cell r="C5">
            <v>0</v>
          </cell>
          <cell r="E5">
            <v>1316958127.6299996</v>
          </cell>
          <cell r="F5">
            <v>177212422.16</v>
          </cell>
        </row>
        <row r="6">
          <cell r="A6" t="str">
            <v>Bolívar</v>
          </cell>
          <cell r="B6">
            <v>204384428.13</v>
          </cell>
          <cell r="C6">
            <v>3757308.9200000004</v>
          </cell>
          <cell r="E6">
            <v>1262577180.8400004</v>
          </cell>
          <cell r="F6">
            <v>107918808.87</v>
          </cell>
        </row>
        <row r="7">
          <cell r="A7" t="str">
            <v>Casanare</v>
          </cell>
          <cell r="B7">
            <v>0</v>
          </cell>
          <cell r="C7">
            <v>0</v>
          </cell>
          <cell r="E7">
            <v>1141417821</v>
          </cell>
          <cell r="F7">
            <v>103460120.61000001</v>
          </cell>
        </row>
        <row r="8">
          <cell r="A8" t="str">
            <v>Córdoba</v>
          </cell>
          <cell r="B8">
            <v>546523620.66000009</v>
          </cell>
          <cell r="C8">
            <v>87233767.459999993</v>
          </cell>
          <cell r="E8">
            <v>962953760.2700001</v>
          </cell>
          <cell r="F8">
            <v>93404924.310000017</v>
          </cell>
        </row>
        <row r="9">
          <cell r="A9" t="str">
            <v>Aráuca</v>
          </cell>
          <cell r="B9">
            <v>0</v>
          </cell>
          <cell r="C9">
            <v>0</v>
          </cell>
          <cell r="E9">
            <v>795009811.5999999</v>
          </cell>
          <cell r="F9">
            <v>67862041.219999999</v>
          </cell>
        </row>
        <row r="10">
          <cell r="A10" t="str">
            <v>Huila</v>
          </cell>
          <cell r="B10">
            <v>293193825.69999945</v>
          </cell>
          <cell r="C10">
            <v>33256992.640000012</v>
          </cell>
          <cell r="E10">
            <v>726646232.10000169</v>
          </cell>
          <cell r="F10">
            <v>122557763.57000002</v>
          </cell>
        </row>
        <row r="11">
          <cell r="A11" t="str">
            <v>Risaralda</v>
          </cell>
          <cell r="B11">
            <v>274361791.43000048</v>
          </cell>
          <cell r="C11">
            <v>26589974.459999982</v>
          </cell>
          <cell r="E11">
            <v>403263916.57000023</v>
          </cell>
          <cell r="F11">
            <v>58821845.840000018</v>
          </cell>
        </row>
        <row r="12">
          <cell r="A12" t="str">
            <v>Cundinamarca</v>
          </cell>
          <cell r="B12">
            <v>97188206.240000024</v>
          </cell>
          <cell r="C12">
            <v>14168967.700000005</v>
          </cell>
          <cell r="E12">
            <v>320641629.05000013</v>
          </cell>
          <cell r="F12">
            <v>37246281.939999998</v>
          </cell>
        </row>
        <row r="13">
          <cell r="A13" t="str">
            <v>Santander</v>
          </cell>
          <cell r="B13">
            <v>229335167.52999973</v>
          </cell>
          <cell r="C13">
            <v>23341147.519999981</v>
          </cell>
          <cell r="E13">
            <v>314001526.35000145</v>
          </cell>
          <cell r="F13">
            <v>34272188.279999986</v>
          </cell>
        </row>
        <row r="14">
          <cell r="A14" t="str">
            <v>Caldas</v>
          </cell>
          <cell r="B14">
            <v>186468544.88000003</v>
          </cell>
          <cell r="C14">
            <v>16623525.450000007</v>
          </cell>
          <cell r="E14">
            <v>282018052.59999996</v>
          </cell>
          <cell r="F14">
            <v>34235615.38000001</v>
          </cell>
        </row>
        <row r="15">
          <cell r="A15" t="str">
            <v>Bogotá</v>
          </cell>
          <cell r="B15">
            <v>276879625.72000039</v>
          </cell>
          <cell r="C15">
            <v>23241848.409999996</v>
          </cell>
          <cell r="E15">
            <v>267740121.21000007</v>
          </cell>
          <cell r="F15">
            <v>30091880.680000007</v>
          </cell>
        </row>
        <row r="16">
          <cell r="A16" t="str">
            <v>Tolima</v>
          </cell>
          <cell r="B16">
            <v>79948962.439999998</v>
          </cell>
          <cell r="C16">
            <v>2653368.09</v>
          </cell>
          <cell r="E16">
            <v>253745671.84000021</v>
          </cell>
          <cell r="F16">
            <v>24897318.399999999</v>
          </cell>
        </row>
        <row r="17">
          <cell r="A17" t="str">
            <v>Boyacá</v>
          </cell>
          <cell r="B17">
            <v>101234785.69</v>
          </cell>
          <cell r="C17">
            <v>11049451.359999999</v>
          </cell>
          <cell r="E17">
            <v>242424676.83000001</v>
          </cell>
          <cell r="F17">
            <v>9374221.4499999993</v>
          </cell>
        </row>
        <row r="18">
          <cell r="A18" t="str">
            <v>Antioquia</v>
          </cell>
          <cell r="B18">
            <v>183677578.42000028</v>
          </cell>
          <cell r="C18">
            <v>21201612.970000006</v>
          </cell>
          <cell r="E18">
            <v>213237247.40000069</v>
          </cell>
          <cell r="F18">
            <v>34531818.219999999</v>
          </cell>
        </row>
        <row r="19">
          <cell r="A19" t="str">
            <v>Norte de Santander</v>
          </cell>
          <cell r="B19">
            <v>100222122.79999994</v>
          </cell>
          <cell r="C19">
            <v>9188290.2300000042</v>
          </cell>
          <cell r="E19">
            <v>185556691.12000012</v>
          </cell>
          <cell r="F19">
            <v>26866267.299999982</v>
          </cell>
        </row>
        <row r="20">
          <cell r="A20" t="str">
            <v>Valle del Cauca</v>
          </cell>
          <cell r="B20">
            <v>131923423.51000011</v>
          </cell>
          <cell r="C20">
            <v>18713505.259999994</v>
          </cell>
          <cell r="E20">
            <v>180806088.49000013</v>
          </cell>
          <cell r="F20">
            <v>24512771.389999997</v>
          </cell>
        </row>
        <row r="21">
          <cell r="A21" t="str">
            <v>Cauca</v>
          </cell>
          <cell r="B21">
            <v>62225965.790000014</v>
          </cell>
          <cell r="C21">
            <v>6798988.1199999992</v>
          </cell>
          <cell r="E21">
            <v>104122347.13999991</v>
          </cell>
          <cell r="F21">
            <v>11218227.019999998</v>
          </cell>
        </row>
        <row r="22">
          <cell r="A22" t="str">
            <v>Quindío</v>
          </cell>
          <cell r="B22">
            <v>126590771.70999996</v>
          </cell>
          <cell r="C22">
            <v>11267078.079999998</v>
          </cell>
          <cell r="E22">
            <v>103928376.22000006</v>
          </cell>
          <cell r="F22">
            <v>17163396.640000001</v>
          </cell>
        </row>
        <row r="23">
          <cell r="A23" t="str">
            <v>Magdalena</v>
          </cell>
          <cell r="B23">
            <v>31759141.049999997</v>
          </cell>
          <cell r="C23">
            <v>3282477.28</v>
          </cell>
          <cell r="E23">
            <v>85394610.850000024</v>
          </cell>
          <cell r="F23">
            <v>3161922.49</v>
          </cell>
        </row>
        <row r="24">
          <cell r="A24" t="str">
            <v>Nariño</v>
          </cell>
          <cell r="B24">
            <v>38242664.25</v>
          </cell>
          <cell r="C24">
            <v>2114233.71</v>
          </cell>
          <cell r="E24">
            <v>45864488.749999993</v>
          </cell>
          <cell r="F24">
            <v>10137820.92</v>
          </cell>
        </row>
        <row r="25">
          <cell r="A25" t="str">
            <v>Atlántico</v>
          </cell>
          <cell r="B25">
            <v>4426198.4300000006</v>
          </cell>
          <cell r="C25">
            <v>98967.73</v>
          </cell>
          <cell r="E25">
            <v>5567035.9399999995</v>
          </cell>
          <cell r="F25">
            <v>195250.76</v>
          </cell>
        </row>
        <row r="26">
          <cell r="A26" t="str">
            <v>Putumayo</v>
          </cell>
          <cell r="B26">
            <v>0</v>
          </cell>
          <cell r="C26">
            <v>0</v>
          </cell>
          <cell r="E26">
            <v>1337325.45</v>
          </cell>
          <cell r="F26">
            <v>1244208</v>
          </cell>
        </row>
        <row r="27">
          <cell r="A27" t="str">
            <v>Guainía</v>
          </cell>
          <cell r="B27">
            <v>0</v>
          </cell>
          <cell r="C27">
            <v>0</v>
          </cell>
          <cell r="E27">
            <v>89809.21</v>
          </cell>
          <cell r="F27">
            <v>0</v>
          </cell>
        </row>
        <row r="28">
          <cell r="A28" t="str">
            <v>San Andrés</v>
          </cell>
          <cell r="B28">
            <v>118746.41</v>
          </cell>
          <cell r="C28">
            <v>0</v>
          </cell>
          <cell r="E28">
            <v>28745</v>
          </cell>
          <cell r="F28">
            <v>3000</v>
          </cell>
        </row>
      </sheetData>
    </sheetDataSet>
  </externalBook>
</externalLink>
</file>

<file path=xl/externalLinks/externalLink33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Antioquia</v>
          </cell>
          <cell r="B2">
            <v>3941941714.9099693</v>
          </cell>
          <cell r="C2">
            <v>396596654.51000118</v>
          </cell>
          <cell r="E2">
            <v>4501011001.8799515</v>
          </cell>
          <cell r="F2">
            <v>496762169.77000082</v>
          </cell>
        </row>
        <row r="3">
          <cell r="A3" t="str">
            <v>Bogotá</v>
          </cell>
          <cell r="B3">
            <v>2608469549.0999832</v>
          </cell>
          <cell r="C3">
            <v>219920184.95000094</v>
          </cell>
          <cell r="E3">
            <v>2677317004.5899177</v>
          </cell>
          <cell r="F3">
            <v>251007241.11000013</v>
          </cell>
        </row>
        <row r="4">
          <cell r="A4" t="str">
            <v>Valle del Cauca</v>
          </cell>
          <cell r="B4">
            <v>1940637925.5200114</v>
          </cell>
          <cell r="C4">
            <v>224646676.28999981</v>
          </cell>
          <cell r="E4">
            <v>2026013318.1499903</v>
          </cell>
          <cell r="F4">
            <v>183471591.18000039</v>
          </cell>
        </row>
        <row r="5">
          <cell r="A5" t="str">
            <v>Cundinamarca</v>
          </cell>
          <cell r="B5">
            <v>1559538132.2000072</v>
          </cell>
          <cell r="C5">
            <v>115048749.91000012</v>
          </cell>
          <cell r="E5">
            <v>1525787581.2800043</v>
          </cell>
          <cell r="F5">
            <v>153613789.60000095</v>
          </cell>
        </row>
        <row r="6">
          <cell r="A6" t="str">
            <v>Bolívar</v>
          </cell>
          <cell r="B6">
            <v>1059130766.2300013</v>
          </cell>
          <cell r="C6">
            <v>103598293.96999989</v>
          </cell>
          <cell r="E6">
            <v>1182598269.1400006</v>
          </cell>
          <cell r="F6">
            <v>89875559.680000022</v>
          </cell>
        </row>
        <row r="7">
          <cell r="A7" t="str">
            <v>Atlántico</v>
          </cell>
          <cell r="B7">
            <v>1083806772.7500007</v>
          </cell>
          <cell r="C7">
            <v>80730756.509999901</v>
          </cell>
          <cell r="E7">
            <v>1044674736.509999</v>
          </cell>
          <cell r="F7">
            <v>103881784.77000012</v>
          </cell>
        </row>
        <row r="8">
          <cell r="A8" t="str">
            <v>Caldas</v>
          </cell>
          <cell r="B8">
            <v>414811876.66999978</v>
          </cell>
          <cell r="C8">
            <v>30058616.300000016</v>
          </cell>
          <cell r="E8">
            <v>338018988.15999955</v>
          </cell>
          <cell r="F8">
            <v>29462941.490000024</v>
          </cell>
        </row>
        <row r="9">
          <cell r="A9" t="str">
            <v>Magdalena</v>
          </cell>
          <cell r="B9">
            <v>347775931.94000059</v>
          </cell>
          <cell r="C9">
            <v>28160367.520000014</v>
          </cell>
          <cell r="E9">
            <v>290384164.13999957</v>
          </cell>
          <cell r="F9">
            <v>15559385.739999996</v>
          </cell>
        </row>
        <row r="10">
          <cell r="A10" t="str">
            <v>Cauca</v>
          </cell>
          <cell r="B10">
            <v>210839927.53000066</v>
          </cell>
          <cell r="C10">
            <v>30482438.099999983</v>
          </cell>
          <cell r="E10">
            <v>199975076.49999911</v>
          </cell>
          <cell r="F10">
            <v>13823159.599999994</v>
          </cell>
        </row>
        <row r="11">
          <cell r="A11" t="str">
            <v>Risaralda</v>
          </cell>
          <cell r="B11">
            <v>196003708.59000045</v>
          </cell>
          <cell r="C11">
            <v>22518621.810000014</v>
          </cell>
          <cell r="E11">
            <v>165163401.19999981</v>
          </cell>
          <cell r="F11">
            <v>13376645.989999998</v>
          </cell>
        </row>
        <row r="12">
          <cell r="A12" t="str">
            <v>Santander</v>
          </cell>
          <cell r="B12">
            <v>449611264.63999903</v>
          </cell>
          <cell r="C12">
            <v>15059610.040000007</v>
          </cell>
          <cell r="E12">
            <v>134019263.13000013</v>
          </cell>
          <cell r="F12">
            <v>9225364.5599999931</v>
          </cell>
        </row>
        <row r="13">
          <cell r="A13" t="str">
            <v>Boyacá</v>
          </cell>
          <cell r="B13">
            <v>95263532.580000013</v>
          </cell>
          <cell r="C13">
            <v>14632601.109999999</v>
          </cell>
          <cell r="E13">
            <v>114964795.84999999</v>
          </cell>
          <cell r="F13">
            <v>14152376.380000001</v>
          </cell>
        </row>
        <row r="14">
          <cell r="A14" t="str">
            <v>Norte de Santander</v>
          </cell>
          <cell r="B14">
            <v>635886117.93000102</v>
          </cell>
          <cell r="C14">
            <v>6763847.6000000043</v>
          </cell>
          <cell r="E14">
            <v>100869950.15999982</v>
          </cell>
          <cell r="F14">
            <v>14021266.05000001</v>
          </cell>
        </row>
        <row r="15">
          <cell r="A15" t="str">
            <v>Sucre</v>
          </cell>
          <cell r="B15">
            <v>86602071.860000029</v>
          </cell>
          <cell r="C15">
            <v>6460954.7199999997</v>
          </cell>
          <cell r="E15">
            <v>47839451.980000034</v>
          </cell>
          <cell r="F15">
            <v>3446788.87</v>
          </cell>
        </row>
        <row r="16">
          <cell r="A16" t="str">
            <v>Córdoba</v>
          </cell>
          <cell r="B16">
            <v>85133109.50000006</v>
          </cell>
          <cell r="C16">
            <v>1333261.5499999998</v>
          </cell>
          <cell r="E16">
            <v>27513508.059999991</v>
          </cell>
          <cell r="F16">
            <v>414758.26</v>
          </cell>
        </row>
        <row r="17">
          <cell r="A17" t="str">
            <v>Tolima</v>
          </cell>
          <cell r="B17">
            <v>32371544.899999999</v>
          </cell>
          <cell r="C17">
            <v>1800398.8499999999</v>
          </cell>
          <cell r="E17">
            <v>23543821.009999994</v>
          </cell>
          <cell r="F17">
            <v>3568431.14</v>
          </cell>
        </row>
        <row r="18">
          <cell r="A18" t="str">
            <v>Quindío</v>
          </cell>
          <cell r="B18">
            <v>35559416.20000001</v>
          </cell>
          <cell r="C18">
            <v>922142.76000000024</v>
          </cell>
          <cell r="E18">
            <v>15476764.920000009</v>
          </cell>
          <cell r="F18">
            <v>1046667.16</v>
          </cell>
        </row>
        <row r="19">
          <cell r="A19" t="str">
            <v>Huila</v>
          </cell>
          <cell r="B19">
            <v>7717196.0099999998</v>
          </cell>
          <cell r="C19">
            <v>958004.58999999985</v>
          </cell>
          <cell r="E19">
            <v>12220039.039999997</v>
          </cell>
          <cell r="F19">
            <v>376306.87</v>
          </cell>
        </row>
        <row r="20">
          <cell r="A20" t="str">
            <v>Chocó</v>
          </cell>
          <cell r="B20">
            <v>14283654.379999997</v>
          </cell>
          <cell r="C20">
            <v>887542.3600000001</v>
          </cell>
          <cell r="E20">
            <v>11928364.639999999</v>
          </cell>
          <cell r="F20">
            <v>462688.30000000005</v>
          </cell>
        </row>
        <row r="21">
          <cell r="A21" t="str">
            <v>Cesar</v>
          </cell>
          <cell r="B21">
            <v>57933583.569999985</v>
          </cell>
          <cell r="C21">
            <v>639388.05000000005</v>
          </cell>
          <cell r="E21">
            <v>9922908.2300000004</v>
          </cell>
          <cell r="F21">
            <v>13503</v>
          </cell>
        </row>
        <row r="22">
          <cell r="A22" t="str">
            <v>Nariño</v>
          </cell>
          <cell r="B22">
            <v>17447097.980000015</v>
          </cell>
          <cell r="C22">
            <v>3204028.2300000004</v>
          </cell>
          <cell r="E22">
            <v>7158531.0599999959</v>
          </cell>
          <cell r="F22">
            <v>405041.64000000019</v>
          </cell>
        </row>
        <row r="23">
          <cell r="A23" t="str">
            <v>Guajira</v>
          </cell>
          <cell r="B23">
            <v>11596770.779999997</v>
          </cell>
          <cell r="C23">
            <v>646514.28</v>
          </cell>
          <cell r="E23">
            <v>6248992.4299999997</v>
          </cell>
          <cell r="F23">
            <v>122967.32</v>
          </cell>
        </row>
        <row r="24">
          <cell r="A24" t="str">
            <v>San Andrés</v>
          </cell>
          <cell r="B24">
            <v>1315496.8899999999</v>
          </cell>
          <cell r="C24">
            <v>361968</v>
          </cell>
          <cell r="E24">
            <v>3767907.53</v>
          </cell>
          <cell r="F24">
            <v>526625.89</v>
          </cell>
        </row>
        <row r="25">
          <cell r="A25" t="str">
            <v>Meta</v>
          </cell>
          <cell r="B25">
            <v>3972617.2299999995</v>
          </cell>
          <cell r="C25">
            <v>300</v>
          </cell>
          <cell r="E25">
            <v>1076547.55</v>
          </cell>
          <cell r="F25">
            <v>113837.4</v>
          </cell>
        </row>
        <row r="26">
          <cell r="A26" t="str">
            <v>Casanare</v>
          </cell>
          <cell r="B26">
            <v>306982.7</v>
          </cell>
          <cell r="C26">
            <v>0</v>
          </cell>
          <cell r="E26">
            <v>227286.7</v>
          </cell>
          <cell r="F26">
            <v>0</v>
          </cell>
        </row>
        <row r="27">
          <cell r="A27" t="str">
            <v>Aráuca</v>
          </cell>
          <cell r="B27">
            <v>1132624.77</v>
          </cell>
          <cell r="C27">
            <v>28881.77</v>
          </cell>
          <cell r="E27">
            <v>150563.99999999997</v>
          </cell>
          <cell r="F27">
            <v>3026.63</v>
          </cell>
        </row>
        <row r="28">
          <cell r="A28" t="str">
            <v>Putumayo</v>
          </cell>
          <cell r="B28">
            <v>122940.19</v>
          </cell>
          <cell r="C28">
            <v>83502.67</v>
          </cell>
          <cell r="E28">
            <v>146975.18</v>
          </cell>
          <cell r="F28">
            <v>0</v>
          </cell>
        </row>
        <row r="29">
          <cell r="A29" t="str">
            <v>Amazonas</v>
          </cell>
          <cell r="B29">
            <v>23957.88</v>
          </cell>
          <cell r="C29">
            <v>0</v>
          </cell>
          <cell r="E29">
            <v>133465.41</v>
          </cell>
          <cell r="F29">
            <v>0</v>
          </cell>
        </row>
        <row r="30">
          <cell r="A30" t="str">
            <v>Vaupés</v>
          </cell>
          <cell r="B30">
            <v>208576.74</v>
          </cell>
          <cell r="C30">
            <v>90997.59</v>
          </cell>
          <cell r="E30">
            <v>104531.28</v>
          </cell>
          <cell r="F30">
            <v>88708.08</v>
          </cell>
        </row>
        <row r="31">
          <cell r="A31" t="str">
            <v>Caquetá</v>
          </cell>
          <cell r="B31">
            <v>33848.149999999994</v>
          </cell>
          <cell r="C31">
            <v>0</v>
          </cell>
          <cell r="E31">
            <v>61587.21</v>
          </cell>
          <cell r="F31">
            <v>0</v>
          </cell>
        </row>
        <row r="32">
          <cell r="A32" t="str">
            <v>Guainía</v>
          </cell>
          <cell r="B32">
            <v>930308.83000000007</v>
          </cell>
          <cell r="C32">
            <v>21136.240000000002</v>
          </cell>
          <cell r="E32">
            <v>26104.720000000001</v>
          </cell>
          <cell r="F32">
            <v>0</v>
          </cell>
        </row>
        <row r="33">
          <cell r="A33" t="str">
            <v>Vichada</v>
          </cell>
          <cell r="B33">
            <v>0</v>
          </cell>
          <cell r="C33">
            <v>0</v>
          </cell>
          <cell r="E33">
            <v>13011.83</v>
          </cell>
          <cell r="F33">
            <v>0</v>
          </cell>
        </row>
        <row r="34">
          <cell r="A34" t="str">
            <v>Sin definir</v>
          </cell>
          <cell r="B34">
            <v>19986.599999999999</v>
          </cell>
          <cell r="C34">
            <v>0</v>
          </cell>
          <cell r="E34">
            <v>4990</v>
          </cell>
          <cell r="F34">
            <v>0</v>
          </cell>
        </row>
        <row r="35">
          <cell r="A35" t="str">
            <v>Guaviare</v>
          </cell>
          <cell r="B35">
            <v>378.92</v>
          </cell>
          <cell r="C35">
            <v>0</v>
          </cell>
          <cell r="E35">
            <v>4574.4399999999996</v>
          </cell>
          <cell r="F35">
            <v>0</v>
          </cell>
        </row>
      </sheetData>
    </sheetDataSet>
  </externalBook>
</externalLink>
</file>

<file path=xl/externalLinks/externalLink34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8056813647.1399956</v>
          </cell>
          <cell r="C2">
            <v>964594965.67999995</v>
          </cell>
          <cell r="E2">
            <v>9433779427.9400043</v>
          </cell>
          <cell r="F2">
            <v>943713809.73000014</v>
          </cell>
        </row>
        <row r="3">
          <cell r="A3" t="str">
            <v>Cesar</v>
          </cell>
          <cell r="B3">
            <v>2445286538.570003</v>
          </cell>
          <cell r="C3">
            <v>225162688.57000002</v>
          </cell>
          <cell r="E3">
            <v>2806813256.0499973</v>
          </cell>
          <cell r="F3">
            <v>155433943.88000003</v>
          </cell>
        </row>
        <row r="4">
          <cell r="A4" t="str">
            <v>Guajira</v>
          </cell>
          <cell r="B4">
            <v>2857661662.1100059</v>
          </cell>
          <cell r="C4">
            <v>198903826.13000003</v>
          </cell>
          <cell r="E4">
            <v>2574997760.8200045</v>
          </cell>
          <cell r="F4">
            <v>212749054.30999997</v>
          </cell>
        </row>
        <row r="5">
          <cell r="A5" t="str">
            <v>Meta</v>
          </cell>
          <cell r="B5">
            <v>3509894.84</v>
          </cell>
          <cell r="C5">
            <v>300</v>
          </cell>
          <cell r="E5">
            <v>1317334074.5100002</v>
          </cell>
          <cell r="F5">
            <v>177231422.16</v>
          </cell>
        </row>
        <row r="6">
          <cell r="A6" t="str">
            <v>Casanare</v>
          </cell>
          <cell r="B6">
            <v>39.200000000000003</v>
          </cell>
          <cell r="C6">
            <v>0</v>
          </cell>
          <cell r="E6">
            <v>1141419321</v>
          </cell>
          <cell r="F6">
            <v>103460120.61</v>
          </cell>
        </row>
        <row r="7">
          <cell r="A7" t="str">
            <v>Antioquia</v>
          </cell>
          <cell r="B7">
            <v>1164896016.130002</v>
          </cell>
          <cell r="C7">
            <v>91659896.680000052</v>
          </cell>
          <cell r="E7">
            <v>1128332353.3600028</v>
          </cell>
          <cell r="F7">
            <v>104130665.72000009</v>
          </cell>
        </row>
        <row r="8">
          <cell r="A8" t="str">
            <v>Cundinamarca</v>
          </cell>
          <cell r="B8">
            <v>876726896.10999751</v>
          </cell>
          <cell r="C8">
            <v>55158431.610000007</v>
          </cell>
          <cell r="E8">
            <v>885512113.4699918</v>
          </cell>
          <cell r="F8">
            <v>73788708.990000173</v>
          </cell>
        </row>
        <row r="9">
          <cell r="A9" t="str">
            <v>Aráuca</v>
          </cell>
          <cell r="B9">
            <v>732944.44</v>
          </cell>
          <cell r="C9">
            <v>0</v>
          </cell>
          <cell r="E9">
            <v>795009812.22000015</v>
          </cell>
          <cell r="F9">
            <v>67862041.219999999</v>
          </cell>
        </row>
        <row r="10">
          <cell r="A10" t="str">
            <v>Huila</v>
          </cell>
          <cell r="B10">
            <v>300466805.74999964</v>
          </cell>
          <cell r="C10">
            <v>34201274.229999989</v>
          </cell>
          <cell r="E10">
            <v>738074830.50000226</v>
          </cell>
          <cell r="F10">
            <v>122791088.97</v>
          </cell>
        </row>
        <row r="11">
          <cell r="A11" t="str">
            <v>Bogotá</v>
          </cell>
          <cell r="B11">
            <v>438523298.29000014</v>
          </cell>
          <cell r="C11">
            <v>44622080.470000014</v>
          </cell>
          <cell r="E11">
            <v>664177962.63999248</v>
          </cell>
          <cell r="F11">
            <v>106151448.91000007</v>
          </cell>
        </row>
        <row r="12">
          <cell r="A12" t="str">
            <v>Risaralda</v>
          </cell>
          <cell r="B12">
            <v>295319288.07000077</v>
          </cell>
          <cell r="C12">
            <v>26812271.979999989</v>
          </cell>
          <cell r="E12">
            <v>407888068.51000071</v>
          </cell>
          <cell r="F12">
            <v>59347322.460000046</v>
          </cell>
        </row>
        <row r="13">
          <cell r="A13" t="str">
            <v>Caldas</v>
          </cell>
          <cell r="B13">
            <v>324087657.60000008</v>
          </cell>
          <cell r="C13">
            <v>28995000.739999995</v>
          </cell>
          <cell r="E13">
            <v>401497592.72999996</v>
          </cell>
          <cell r="F13">
            <v>45011631.810000017</v>
          </cell>
        </row>
        <row r="14">
          <cell r="A14" t="str">
            <v>Magdalena</v>
          </cell>
          <cell r="B14">
            <v>230984091.27000013</v>
          </cell>
          <cell r="C14">
            <v>18502866.490000002</v>
          </cell>
          <cell r="E14">
            <v>280790360.32000005</v>
          </cell>
          <cell r="F14">
            <v>16341480.119999997</v>
          </cell>
        </row>
        <row r="15">
          <cell r="A15" t="str">
            <v>Tolima</v>
          </cell>
          <cell r="B15">
            <v>106983005.24999994</v>
          </cell>
          <cell r="C15">
            <v>3568279.2900000005</v>
          </cell>
          <cell r="E15">
            <v>272166255.69</v>
          </cell>
          <cell r="F15">
            <v>28000781.879999999</v>
          </cell>
        </row>
        <row r="16">
          <cell r="A16" t="str">
            <v>Valle del Cauca</v>
          </cell>
          <cell r="B16">
            <v>133728989.42999978</v>
          </cell>
          <cell r="C16">
            <v>15028204.029999996</v>
          </cell>
          <cell r="E16">
            <v>147036207.87000003</v>
          </cell>
          <cell r="F16">
            <v>18213949.870000005</v>
          </cell>
        </row>
        <row r="17">
          <cell r="A17" t="str">
            <v>Bolívar</v>
          </cell>
          <cell r="B17">
            <v>155380035.69999987</v>
          </cell>
          <cell r="C17">
            <v>21811404.400000013</v>
          </cell>
          <cell r="E17">
            <v>135087887.49000007</v>
          </cell>
          <cell r="F17">
            <v>11230868.049999999</v>
          </cell>
        </row>
        <row r="18">
          <cell r="A18" t="str">
            <v>Nte de Santander</v>
          </cell>
          <cell r="B18">
            <v>257083601.32000017</v>
          </cell>
          <cell r="C18">
            <v>6952361.7900000028</v>
          </cell>
          <cell r="E18">
            <v>122295918.88000016</v>
          </cell>
          <cell r="F18">
            <v>11984143.610000003</v>
          </cell>
        </row>
        <row r="19">
          <cell r="A19" t="str">
            <v>Cauca</v>
          </cell>
          <cell r="B19">
            <v>64077619.729999989</v>
          </cell>
          <cell r="C19">
            <v>6918014.5199999996</v>
          </cell>
          <cell r="E19">
            <v>106425413.43999992</v>
          </cell>
          <cell r="F19">
            <v>11292773.269999996</v>
          </cell>
        </row>
        <row r="20">
          <cell r="A20" t="str">
            <v>Quindío</v>
          </cell>
          <cell r="B20">
            <v>127391067.06999995</v>
          </cell>
          <cell r="C20">
            <v>11350895.079999998</v>
          </cell>
          <cell r="E20">
            <v>104652076.72999993</v>
          </cell>
          <cell r="F20">
            <v>17186521.440000001</v>
          </cell>
        </row>
        <row r="21">
          <cell r="A21" t="str">
            <v>Santander</v>
          </cell>
          <cell r="B21">
            <v>353450830.11000061</v>
          </cell>
          <cell r="C21">
            <v>6288048.5500000017</v>
          </cell>
          <cell r="E21">
            <v>79259386.140000001</v>
          </cell>
          <cell r="F21">
            <v>11237141.040000003</v>
          </cell>
        </row>
        <row r="22">
          <cell r="A22" t="str">
            <v>Nariño</v>
          </cell>
          <cell r="B22">
            <v>42200189.899999984</v>
          </cell>
          <cell r="C22">
            <v>2413641.42</v>
          </cell>
          <cell r="E22">
            <v>47188164.530000001</v>
          </cell>
          <cell r="F22">
            <v>10218232.419999998</v>
          </cell>
        </row>
        <row r="23">
          <cell r="A23" t="str">
            <v>Sucre</v>
          </cell>
          <cell r="B23">
            <v>63364993.640000015</v>
          </cell>
          <cell r="C23">
            <v>4536475.26</v>
          </cell>
          <cell r="E23">
            <v>33379755.32</v>
          </cell>
          <cell r="F23">
            <v>1231604.74</v>
          </cell>
        </row>
        <row r="24">
          <cell r="A24" t="str">
            <v>Atlántico</v>
          </cell>
          <cell r="B24">
            <v>104870465.08999994</v>
          </cell>
          <cell r="C24">
            <v>3198125.6599999988</v>
          </cell>
          <cell r="E24">
            <v>32012079.829999957</v>
          </cell>
          <cell r="F24">
            <v>3202004.49</v>
          </cell>
        </row>
        <row r="25">
          <cell r="A25" t="str">
            <v>Boyacá</v>
          </cell>
          <cell r="B25">
            <v>55273723.300000012</v>
          </cell>
          <cell r="C25">
            <v>2064312</v>
          </cell>
          <cell r="E25">
            <v>24567599.23</v>
          </cell>
          <cell r="F25">
            <v>0</v>
          </cell>
        </row>
        <row r="26">
          <cell r="A26" t="str">
            <v>Córdoba</v>
          </cell>
          <cell r="B26">
            <v>64964788.079999998</v>
          </cell>
          <cell r="C26">
            <v>75393</v>
          </cell>
          <cell r="E26">
            <v>11709551.790000003</v>
          </cell>
          <cell r="F26">
            <v>84473.06</v>
          </cell>
        </row>
        <row r="27">
          <cell r="A27" t="str">
            <v>Chocó</v>
          </cell>
          <cell r="B27">
            <v>9618212.0399999991</v>
          </cell>
          <cell r="C27">
            <v>0</v>
          </cell>
          <cell r="E27">
            <v>5997161.1099999994</v>
          </cell>
          <cell r="F27">
            <v>0</v>
          </cell>
        </row>
        <row r="28">
          <cell r="A28" t="str">
            <v>San Andrés</v>
          </cell>
          <cell r="B28">
            <v>1334123.1099999999</v>
          </cell>
          <cell r="C28">
            <v>359968</v>
          </cell>
          <cell r="E28">
            <v>3539905.9</v>
          </cell>
          <cell r="F28">
            <v>526625.89</v>
          </cell>
        </row>
        <row r="29">
          <cell r="A29" t="str">
            <v>Putumayo</v>
          </cell>
          <cell r="B29">
            <v>27490.68</v>
          </cell>
          <cell r="C29">
            <v>0</v>
          </cell>
          <cell r="E29">
            <v>1338059.45</v>
          </cell>
          <cell r="F29">
            <v>1244208</v>
          </cell>
        </row>
        <row r="30">
          <cell r="A30" t="str">
            <v>Guainía</v>
          </cell>
          <cell r="B30">
            <v>786320.78</v>
          </cell>
          <cell r="C30">
            <v>0</v>
          </cell>
          <cell r="E30">
            <v>90193.21</v>
          </cell>
          <cell r="F30">
            <v>0</v>
          </cell>
        </row>
        <row r="31">
          <cell r="A31" t="str">
            <v>Amazonas</v>
          </cell>
          <cell r="B31">
            <v>0</v>
          </cell>
          <cell r="C31">
            <v>0</v>
          </cell>
          <cell r="E31">
            <v>43057.18</v>
          </cell>
          <cell r="F31">
            <v>0</v>
          </cell>
        </row>
        <row r="32">
          <cell r="A32" t="str">
            <v>Caquetá</v>
          </cell>
          <cell r="B32">
            <v>1436</v>
          </cell>
          <cell r="C32">
            <v>0</v>
          </cell>
          <cell r="E32">
            <v>7638.5</v>
          </cell>
          <cell r="F32">
            <v>0</v>
          </cell>
        </row>
        <row r="33">
          <cell r="A33" t="str">
            <v>Guaviare</v>
          </cell>
          <cell r="B33">
            <v>378.92</v>
          </cell>
          <cell r="C33">
            <v>0</v>
          </cell>
          <cell r="E33">
            <v>0</v>
          </cell>
          <cell r="F33">
            <v>0</v>
          </cell>
        </row>
      </sheetData>
    </sheetDataSet>
  </externalBook>
</externalLink>
</file>

<file path=xl/externalLinks/externalLink35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Sin definir</v>
          </cell>
          <cell r="B2">
            <v>1675036653.1599996</v>
          </cell>
          <cell r="C2">
            <v>181009356.64999998</v>
          </cell>
          <cell r="E2">
            <v>1323506500.71</v>
          </cell>
          <cell r="F2">
            <v>104540413.95</v>
          </cell>
        </row>
        <row r="3">
          <cell r="A3" t="str">
            <v>Bolívar</v>
          </cell>
          <cell r="B3">
            <v>68016855.339999989</v>
          </cell>
          <cell r="C3">
            <v>7981049.4800000023</v>
          </cell>
          <cell r="E3">
            <v>1307674041.4899974</v>
          </cell>
          <cell r="F3">
            <v>112332369.06000003</v>
          </cell>
        </row>
        <row r="4">
          <cell r="A4" t="str">
            <v>Valle del Cauca</v>
          </cell>
          <cell r="B4">
            <v>995009399.57999563</v>
          </cell>
          <cell r="C4">
            <v>131170216.84000006</v>
          </cell>
          <cell r="E4">
            <v>1053696355.9999875</v>
          </cell>
          <cell r="F4">
            <v>84450923.580000162</v>
          </cell>
        </row>
        <row r="5">
          <cell r="A5" t="str">
            <v>Cundinamarca</v>
          </cell>
          <cell r="B5">
            <v>219568489.65999949</v>
          </cell>
          <cell r="C5">
            <v>31436602.149999987</v>
          </cell>
          <cell r="E5">
            <v>383831774.85000259</v>
          </cell>
          <cell r="F5">
            <v>50882040.539999977</v>
          </cell>
        </row>
        <row r="6">
          <cell r="A6" t="str">
            <v>Atlántico</v>
          </cell>
          <cell r="B6">
            <v>291878061.07999903</v>
          </cell>
          <cell r="C6">
            <v>27867213.500000007</v>
          </cell>
          <cell r="E6">
            <v>360707204.50000125</v>
          </cell>
          <cell r="F6">
            <v>28754273.089999963</v>
          </cell>
        </row>
        <row r="7">
          <cell r="A7" t="str">
            <v>Bogotá</v>
          </cell>
          <cell r="B7">
            <v>363557663.51999897</v>
          </cell>
          <cell r="C7">
            <v>32502700.99000008</v>
          </cell>
          <cell r="E7">
            <v>340102725.79999828</v>
          </cell>
          <cell r="F7">
            <v>30797247.87000002</v>
          </cell>
        </row>
        <row r="8">
          <cell r="A8" t="str">
            <v>Boyacá</v>
          </cell>
          <cell r="B8">
            <v>134338943.31</v>
          </cell>
          <cell r="C8">
            <v>23272069.850000001</v>
          </cell>
          <cell r="E8">
            <v>328702188.81</v>
          </cell>
          <cell r="F8">
            <v>23495848.619999997</v>
          </cell>
        </row>
        <row r="9">
          <cell r="A9" t="str">
            <v>Antioquia</v>
          </cell>
          <cell r="B9">
            <v>270978924.39000028</v>
          </cell>
          <cell r="C9">
            <v>24154733.379999995</v>
          </cell>
          <cell r="E9">
            <v>308453096.46000218</v>
          </cell>
          <cell r="F9">
            <v>29352774.330000017</v>
          </cell>
        </row>
        <row r="10">
          <cell r="A10" t="str">
            <v>Santander</v>
          </cell>
          <cell r="B10">
            <v>192065477.45000005</v>
          </cell>
          <cell r="C10">
            <v>21687081.620000001</v>
          </cell>
          <cell r="E10">
            <v>282508533.04000026</v>
          </cell>
          <cell r="F10">
            <v>26805531.229999974</v>
          </cell>
        </row>
        <row r="11">
          <cell r="A11" t="str">
            <v>Norte de Santander</v>
          </cell>
          <cell r="B11">
            <v>131640122.73999989</v>
          </cell>
          <cell r="C11">
            <v>5338731.5100000026</v>
          </cell>
          <cell r="E11">
            <v>125032113.77000009</v>
          </cell>
          <cell r="F11">
            <v>20970607.420000006</v>
          </cell>
        </row>
        <row r="12">
          <cell r="A12" t="str">
            <v>Cauca</v>
          </cell>
          <cell r="B12">
            <v>98024640.590000153</v>
          </cell>
          <cell r="C12">
            <v>19313721.75</v>
          </cell>
          <cell r="E12">
            <v>111795972.91</v>
          </cell>
          <cell r="F12">
            <v>6268695.9200000018</v>
          </cell>
        </row>
        <row r="13">
          <cell r="A13" t="str">
            <v>Magdalena</v>
          </cell>
          <cell r="B13">
            <v>139130584.47999996</v>
          </cell>
          <cell r="C13">
            <v>12859395.17</v>
          </cell>
          <cell r="E13">
            <v>81894501.869999945</v>
          </cell>
          <cell r="F13">
            <v>1707618.0600000003</v>
          </cell>
        </row>
        <row r="14">
          <cell r="A14" t="str">
            <v>Risaralda</v>
          </cell>
          <cell r="B14">
            <v>53146690.059999987</v>
          </cell>
          <cell r="C14">
            <v>7812148.8500000006</v>
          </cell>
          <cell r="E14">
            <v>74069858.929999903</v>
          </cell>
          <cell r="F14">
            <v>5728371.4800000004</v>
          </cell>
        </row>
        <row r="15">
          <cell r="A15" t="str">
            <v>Caldas</v>
          </cell>
          <cell r="B15">
            <v>61901428.289999969</v>
          </cell>
          <cell r="C15">
            <v>5401959.1399999987</v>
          </cell>
          <cell r="E15">
            <v>57241843.549999885</v>
          </cell>
          <cell r="F15">
            <v>5047429.4599999953</v>
          </cell>
        </row>
        <row r="16">
          <cell r="A16" t="str">
            <v>Córdoba</v>
          </cell>
          <cell r="B16">
            <v>11225368.370000001</v>
          </cell>
          <cell r="C16">
            <v>1179001.55</v>
          </cell>
          <cell r="E16">
            <v>15713419.110000003</v>
          </cell>
          <cell r="F16">
            <v>303285.2</v>
          </cell>
        </row>
        <row r="17">
          <cell r="A17" t="str">
            <v>Sucre</v>
          </cell>
          <cell r="B17">
            <v>23071025.50999999</v>
          </cell>
          <cell r="C17">
            <v>1891609.46</v>
          </cell>
          <cell r="E17">
            <v>14436969.990000004</v>
          </cell>
          <cell r="F17">
            <v>2213323.46</v>
          </cell>
        </row>
        <row r="18">
          <cell r="A18" t="str">
            <v>Chocó</v>
          </cell>
          <cell r="B18">
            <v>2448408.91</v>
          </cell>
          <cell r="C18">
            <v>887542.36</v>
          </cell>
          <cell r="E18">
            <v>5921700.3400000026</v>
          </cell>
          <cell r="F18">
            <v>462688.30000000005</v>
          </cell>
        </row>
        <row r="19">
          <cell r="A19" t="str">
            <v>Nariño</v>
          </cell>
          <cell r="B19">
            <v>8848536.2999999989</v>
          </cell>
          <cell r="C19">
            <v>1660696.5499999998</v>
          </cell>
          <cell r="E19">
            <v>3032989.24</v>
          </cell>
          <cell r="F19">
            <v>47805.7</v>
          </cell>
        </row>
        <row r="20">
          <cell r="A20" t="str">
            <v>Guajira</v>
          </cell>
          <cell r="B20">
            <v>1722489.7000000002</v>
          </cell>
          <cell r="C20">
            <v>233423</v>
          </cell>
          <cell r="E20">
            <v>2766137.92</v>
          </cell>
          <cell r="F20">
            <v>4216.32</v>
          </cell>
        </row>
        <row r="21">
          <cell r="A21" t="str">
            <v>Cesar</v>
          </cell>
          <cell r="B21">
            <v>4364719.7200000007</v>
          </cell>
          <cell r="C21">
            <v>639088.04999999993</v>
          </cell>
          <cell r="E21">
            <v>2032208.1199999996</v>
          </cell>
          <cell r="F21">
            <v>13303</v>
          </cell>
        </row>
        <row r="22">
          <cell r="A22" t="str">
            <v>Tolima</v>
          </cell>
          <cell r="B22">
            <v>134906.13</v>
          </cell>
          <cell r="C22">
            <v>0</v>
          </cell>
          <cell r="E22">
            <v>1821238.2799999998</v>
          </cell>
          <cell r="F22">
            <v>7092.16</v>
          </cell>
        </row>
        <row r="23">
          <cell r="A23" t="str">
            <v>Quindío</v>
          </cell>
          <cell r="B23">
            <v>14891339.620000003</v>
          </cell>
          <cell r="C23">
            <v>125852.91</v>
          </cell>
          <cell r="E23">
            <v>448445.18000000005</v>
          </cell>
          <cell r="F23">
            <v>43264.7</v>
          </cell>
        </row>
        <row r="24">
          <cell r="A24" t="str">
            <v>Huila</v>
          </cell>
          <cell r="B24">
            <v>106745.23999999999</v>
          </cell>
          <cell r="C24">
            <v>9243</v>
          </cell>
          <cell r="E24">
            <v>339228.5</v>
          </cell>
          <cell r="F24">
            <v>65794.26999999999</v>
          </cell>
        </row>
        <row r="25">
          <cell r="A25" t="str">
            <v>Meta</v>
          </cell>
          <cell r="B25">
            <v>71920.040000000008</v>
          </cell>
          <cell r="C25">
            <v>0</v>
          </cell>
          <cell r="E25">
            <v>228712.48</v>
          </cell>
          <cell r="F25">
            <v>0</v>
          </cell>
        </row>
        <row r="26">
          <cell r="A26" t="str">
            <v>San Andrés</v>
          </cell>
          <cell r="B26">
            <v>21268</v>
          </cell>
          <cell r="C26">
            <v>2000</v>
          </cell>
          <cell r="E26">
            <v>214910.03</v>
          </cell>
          <cell r="F26">
            <v>3000</v>
          </cell>
        </row>
        <row r="27">
          <cell r="A27" t="str">
            <v>Amazonas</v>
          </cell>
          <cell r="B27">
            <v>0</v>
          </cell>
          <cell r="C27">
            <v>0</v>
          </cell>
          <cell r="E27">
            <v>89634.41</v>
          </cell>
          <cell r="F27">
            <v>0</v>
          </cell>
        </row>
        <row r="28">
          <cell r="A28" t="str">
            <v>Putumayo</v>
          </cell>
          <cell r="B28">
            <v>95444.91</v>
          </cell>
          <cell r="C28">
            <v>83502.67</v>
          </cell>
          <cell r="E28">
            <v>83502.679999999993</v>
          </cell>
          <cell r="F28">
            <v>0</v>
          </cell>
        </row>
        <row r="29">
          <cell r="A29" t="str">
            <v>Caquetá</v>
          </cell>
          <cell r="B29">
            <v>32079.98</v>
          </cell>
          <cell r="C29">
            <v>0</v>
          </cell>
          <cell r="E29">
            <v>53444.71</v>
          </cell>
          <cell r="F29">
            <v>0</v>
          </cell>
        </row>
        <row r="30">
          <cell r="A30" t="str">
            <v>Aráuca</v>
          </cell>
          <cell r="B30">
            <v>53387.55</v>
          </cell>
          <cell r="C30">
            <v>1355.79</v>
          </cell>
          <cell r="E30">
            <v>46499.12</v>
          </cell>
          <cell r="F30">
            <v>0</v>
          </cell>
        </row>
        <row r="31">
          <cell r="A31" t="str">
            <v>Guainía</v>
          </cell>
          <cell r="B31">
            <v>21153.640000000003</v>
          </cell>
          <cell r="C31">
            <v>21136.240000000002</v>
          </cell>
          <cell r="E31">
            <v>22029.34</v>
          </cell>
          <cell r="F31">
            <v>0</v>
          </cell>
        </row>
        <row r="32">
          <cell r="A32" t="str">
            <v>Vaupés</v>
          </cell>
          <cell r="B32">
            <v>104512.45999999999</v>
          </cell>
          <cell r="C32">
            <v>0</v>
          </cell>
          <cell r="E32">
            <v>6302.62</v>
          </cell>
          <cell r="F32">
            <v>0</v>
          </cell>
        </row>
        <row r="33">
          <cell r="A33" t="str">
            <v>Casanare</v>
          </cell>
          <cell r="B33">
            <v>355.5</v>
          </cell>
          <cell r="C33">
            <v>0</v>
          </cell>
          <cell r="E33">
            <v>0</v>
          </cell>
          <cell r="F33">
            <v>0</v>
          </cell>
        </row>
      </sheetData>
    </sheetDataSet>
  </externalBook>
</externalLink>
</file>

<file path=xl/externalLinks/externalLink3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Antioquia</v>
          </cell>
          <cell r="B2">
            <v>872349222.13999975</v>
          </cell>
          <cell r="C2">
            <v>73674335.689999804</v>
          </cell>
          <cell r="E2">
            <v>907191936.35999215</v>
          </cell>
          <cell r="F2">
            <v>88394905.630000144</v>
          </cell>
        </row>
        <row r="3">
          <cell r="A3" t="str">
            <v>Bogotá</v>
          </cell>
          <cell r="B3">
            <v>781093357.48000264</v>
          </cell>
          <cell r="C3">
            <v>61088584.489999861</v>
          </cell>
          <cell r="E3">
            <v>682814107.71000028</v>
          </cell>
          <cell r="F3">
            <v>65737679.909999974</v>
          </cell>
        </row>
        <row r="4">
          <cell r="A4" t="str">
            <v>Atlántico</v>
          </cell>
          <cell r="B4">
            <v>294873182.87999934</v>
          </cell>
          <cell r="C4">
            <v>21169023.580000028</v>
          </cell>
          <cell r="E4">
            <v>319308019.28000146</v>
          </cell>
          <cell r="F4">
            <v>23927030.699999999</v>
          </cell>
        </row>
        <row r="5">
          <cell r="A5" t="str">
            <v>Valle del Cauca</v>
          </cell>
          <cell r="B5">
            <v>243715770.71999919</v>
          </cell>
          <cell r="C5">
            <v>20293038.489999976</v>
          </cell>
          <cell r="E5">
            <v>285482069.24000072</v>
          </cell>
          <cell r="F5">
            <v>32287055.630000025</v>
          </cell>
        </row>
        <row r="6">
          <cell r="A6" t="str">
            <v>Cundinamarca</v>
          </cell>
          <cell r="B6">
            <v>240126016.97999927</v>
          </cell>
          <cell r="C6">
            <v>15091558.169999978</v>
          </cell>
          <cell r="E6">
            <v>241315955.92000145</v>
          </cell>
          <cell r="F6">
            <v>22927582.160000045</v>
          </cell>
        </row>
        <row r="7">
          <cell r="A7" t="str">
            <v>Bolívar</v>
          </cell>
          <cell r="B7">
            <v>111928283.71999964</v>
          </cell>
          <cell r="C7">
            <v>6616409.0899999971</v>
          </cell>
          <cell r="E7">
            <v>98612184.019999877</v>
          </cell>
          <cell r="F7">
            <v>8715686.0699999984</v>
          </cell>
        </row>
        <row r="8">
          <cell r="A8" t="str">
            <v>Risaralda</v>
          </cell>
          <cell r="B8">
            <v>48109550.299999997</v>
          </cell>
          <cell r="C8">
            <v>6107216.5000000065</v>
          </cell>
          <cell r="E8">
            <v>47388923.289999872</v>
          </cell>
          <cell r="F8">
            <v>3996776.620000002</v>
          </cell>
        </row>
        <row r="9">
          <cell r="A9" t="str">
            <v>Caldas</v>
          </cell>
          <cell r="B9">
            <v>72345921.639999971</v>
          </cell>
          <cell r="C9">
            <v>3264773.1500000004</v>
          </cell>
          <cell r="E9">
            <v>40240700.890000023</v>
          </cell>
          <cell r="F9">
            <v>4246402.7</v>
          </cell>
        </row>
        <row r="10">
          <cell r="A10" t="str">
            <v>Norte de Santander</v>
          </cell>
          <cell r="B10">
            <v>252144712.40999988</v>
          </cell>
          <cell r="C10">
            <v>3288332.890000002</v>
          </cell>
          <cell r="E10">
            <v>30885797.629999999</v>
          </cell>
          <cell r="F10">
            <v>7292520.4799999986</v>
          </cell>
        </row>
        <row r="11">
          <cell r="A11" t="str">
            <v>Cauca</v>
          </cell>
          <cell r="B11">
            <v>44521905.859999955</v>
          </cell>
          <cell r="C11">
            <v>2978731.0500000007</v>
          </cell>
          <cell r="E11">
            <v>30033829.829999954</v>
          </cell>
          <cell r="F11">
            <v>3244201.2600000012</v>
          </cell>
        </row>
        <row r="12">
          <cell r="A12" t="str">
            <v>Santander</v>
          </cell>
          <cell r="B12">
            <v>41719487.410000116</v>
          </cell>
          <cell r="C12">
            <v>3098333.9899999993</v>
          </cell>
          <cell r="E12">
            <v>24648334.559999984</v>
          </cell>
          <cell r="F12">
            <v>2831043.5300000007</v>
          </cell>
        </row>
        <row r="13">
          <cell r="A13" t="str">
            <v>Quindío</v>
          </cell>
          <cell r="B13">
            <v>18985949.399999991</v>
          </cell>
          <cell r="C13">
            <v>707091.35000000033</v>
          </cell>
          <cell r="E13">
            <v>14135862.310000008</v>
          </cell>
          <cell r="F13">
            <v>969274.62999999989</v>
          </cell>
        </row>
        <row r="14">
          <cell r="A14" t="str">
            <v>Magdalena</v>
          </cell>
          <cell r="B14">
            <v>994606.76000000036</v>
          </cell>
          <cell r="C14">
            <v>53195.039999999994</v>
          </cell>
          <cell r="E14">
            <v>4720737.3899999978</v>
          </cell>
          <cell r="F14">
            <v>17422.079999999998</v>
          </cell>
        </row>
        <row r="15">
          <cell r="A15" t="str">
            <v>Boyacá</v>
          </cell>
          <cell r="B15">
            <v>2971346.8799999994</v>
          </cell>
          <cell r="C15">
            <v>345661.62</v>
          </cell>
          <cell r="E15">
            <v>1597500.3599999999</v>
          </cell>
          <cell r="F15">
            <v>30749.21</v>
          </cell>
        </row>
        <row r="16">
          <cell r="A16" t="str">
            <v>Tolima</v>
          </cell>
          <cell r="B16">
            <v>2630194.4200000004</v>
          </cell>
          <cell r="C16">
            <v>282568.84999999998</v>
          </cell>
          <cell r="E16">
            <v>1344156.2199999997</v>
          </cell>
          <cell r="F16">
            <v>233568.02999999997</v>
          </cell>
        </row>
        <row r="17">
          <cell r="A17" t="str">
            <v>Nariño</v>
          </cell>
          <cell r="B17">
            <v>1676829.7899999996</v>
          </cell>
          <cell r="C17">
            <v>196446.18000000002</v>
          </cell>
          <cell r="E17">
            <v>1232324.6700000004</v>
          </cell>
          <cell r="F17">
            <v>126738.36</v>
          </cell>
        </row>
        <row r="18">
          <cell r="A18" t="str">
            <v>Huila</v>
          </cell>
          <cell r="B18">
            <v>18210.5</v>
          </cell>
          <cell r="C18">
            <v>0</v>
          </cell>
          <cell r="E18">
            <v>394780.13999999996</v>
          </cell>
          <cell r="F18">
            <v>67607.199999999997</v>
          </cell>
        </row>
        <row r="19">
          <cell r="A19" t="str">
            <v>Guajira</v>
          </cell>
          <cell r="B19">
            <v>5407501</v>
          </cell>
          <cell r="C19">
            <v>580</v>
          </cell>
          <cell r="E19">
            <v>227950.07999999999</v>
          </cell>
          <cell r="F19">
            <v>0</v>
          </cell>
        </row>
        <row r="20">
          <cell r="A20" t="str">
            <v>Cesar</v>
          </cell>
          <cell r="B20">
            <v>3838290.32</v>
          </cell>
          <cell r="C20">
            <v>300</v>
          </cell>
          <cell r="E20">
            <v>112789.09</v>
          </cell>
          <cell r="F20">
            <v>0</v>
          </cell>
        </row>
        <row r="21">
          <cell r="A21" t="str">
            <v>Vaupés</v>
          </cell>
          <cell r="B21">
            <v>206.69</v>
          </cell>
          <cell r="C21">
            <v>0</v>
          </cell>
          <cell r="E21">
            <v>95776.2</v>
          </cell>
          <cell r="F21">
            <v>88708.08</v>
          </cell>
        </row>
        <row r="22">
          <cell r="A22" t="str">
            <v>Aráuca</v>
          </cell>
          <cell r="B22">
            <v>285982.3</v>
          </cell>
          <cell r="C22">
            <v>1177.98</v>
          </cell>
          <cell r="E22">
            <v>47588.270000000004</v>
          </cell>
          <cell r="F22">
            <v>1961.71</v>
          </cell>
        </row>
        <row r="23">
          <cell r="A23" t="str">
            <v>Meta</v>
          </cell>
          <cell r="B23">
            <v>7123.4</v>
          </cell>
          <cell r="C23">
            <v>0</v>
          </cell>
          <cell r="E23">
            <v>18244.509999999998</v>
          </cell>
          <cell r="F23">
            <v>0</v>
          </cell>
        </row>
        <row r="24">
          <cell r="A24" t="str">
            <v>Sucre</v>
          </cell>
          <cell r="B24">
            <v>52801.2</v>
          </cell>
          <cell r="C24">
            <v>32870</v>
          </cell>
          <cell r="E24">
            <v>11970</v>
          </cell>
          <cell r="F24">
            <v>0</v>
          </cell>
        </row>
        <row r="25">
          <cell r="A25" t="str">
            <v>Putumayo</v>
          </cell>
          <cell r="B25">
            <v>0</v>
          </cell>
          <cell r="C25">
            <v>0</v>
          </cell>
          <cell r="E25">
            <v>9758.5</v>
          </cell>
          <cell r="F25">
            <v>0</v>
          </cell>
        </row>
        <row r="26">
          <cell r="A26" t="str">
            <v>San Andrés</v>
          </cell>
          <cell r="B26">
            <v>20651.660000000003</v>
          </cell>
          <cell r="C26">
            <v>0</v>
          </cell>
          <cell r="E26">
            <v>4997.6000000000004</v>
          </cell>
          <cell r="F26">
            <v>0</v>
          </cell>
        </row>
        <row r="27">
          <cell r="A27" t="str">
            <v>Guaviare</v>
          </cell>
          <cell r="B27">
            <v>0</v>
          </cell>
          <cell r="C27">
            <v>0</v>
          </cell>
          <cell r="E27">
            <v>4574.4399999999996</v>
          </cell>
          <cell r="F27">
            <v>0</v>
          </cell>
        </row>
        <row r="28">
          <cell r="A28" t="str">
            <v>Córdoba</v>
          </cell>
          <cell r="B28">
            <v>8855079.3000000007</v>
          </cell>
          <cell r="C28">
            <v>10617</v>
          </cell>
          <cell r="E28">
            <v>2775</v>
          </cell>
          <cell r="F28">
            <v>0</v>
          </cell>
        </row>
        <row r="29">
          <cell r="A29" t="str">
            <v>Vichada</v>
          </cell>
          <cell r="B29">
            <v>0</v>
          </cell>
          <cell r="C29">
            <v>0</v>
          </cell>
          <cell r="E29">
            <v>1466.88</v>
          </cell>
          <cell r="F29">
            <v>0</v>
          </cell>
        </row>
        <row r="30">
          <cell r="A30" t="str">
            <v>Chocó</v>
          </cell>
          <cell r="B30">
            <v>0</v>
          </cell>
          <cell r="C30">
            <v>0</v>
          </cell>
          <cell r="E30">
            <v>1377</v>
          </cell>
          <cell r="F30">
            <v>0</v>
          </cell>
        </row>
        <row r="31">
          <cell r="A31" t="str">
            <v>Amazonas</v>
          </cell>
          <cell r="B31">
            <v>23957.88</v>
          </cell>
          <cell r="C31">
            <v>0</v>
          </cell>
          <cell r="E31">
            <v>749.81999999999994</v>
          </cell>
          <cell r="F31">
            <v>0</v>
          </cell>
        </row>
        <row r="32">
          <cell r="A32" t="str">
            <v>Caquetá</v>
          </cell>
          <cell r="B32">
            <v>332.17</v>
          </cell>
          <cell r="C32">
            <v>0</v>
          </cell>
          <cell r="E32">
            <v>504</v>
          </cell>
          <cell r="F32">
            <v>0</v>
          </cell>
        </row>
        <row r="33">
          <cell r="A33" t="str">
            <v>Casanare</v>
          </cell>
          <cell r="B33">
            <v>306388</v>
          </cell>
          <cell r="C33">
            <v>0</v>
          </cell>
          <cell r="E33">
            <v>0</v>
          </cell>
          <cell r="F33">
            <v>0</v>
          </cell>
        </row>
        <row r="34">
          <cell r="A34" t="str">
            <v>Guainía</v>
          </cell>
          <cell r="B34">
            <v>65407.240000000005</v>
          </cell>
          <cell r="C34">
            <v>0</v>
          </cell>
          <cell r="E34">
            <v>0</v>
          </cell>
          <cell r="F34">
            <v>0</v>
          </cell>
        </row>
      </sheetData>
    </sheetDataSet>
  </externalBook>
</externalLink>
</file>

<file path=xl/externalLinks/externalLink37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Córdoba</v>
          </cell>
          <cell r="B2">
            <v>546604274.41000009</v>
          </cell>
          <cell r="C2">
            <v>87302017.460000008</v>
          </cell>
          <cell r="E2">
            <v>963041372.42999995</v>
          </cell>
          <cell r="F2">
            <v>93431924.310000002</v>
          </cell>
        </row>
        <row r="3">
          <cell r="A3" t="str">
            <v>Bolívar</v>
          </cell>
          <cell r="B3">
            <v>923257353.18999934</v>
          </cell>
          <cell r="C3">
            <v>70825563.500000015</v>
          </cell>
          <cell r="E3">
            <v>902091656.15999961</v>
          </cell>
          <cell r="F3">
            <v>65375595.400000013</v>
          </cell>
        </row>
        <row r="4">
          <cell r="A4" t="str">
            <v>Bogotá</v>
          </cell>
          <cell r="B4">
            <v>681589419.65999913</v>
          </cell>
          <cell r="C4">
            <v>57841998.799999967</v>
          </cell>
          <cell r="E4">
            <v>675885489.84999692</v>
          </cell>
          <cell r="F4">
            <v>52165011.019999884</v>
          </cell>
        </row>
        <row r="5">
          <cell r="A5" t="str">
            <v>Antioquia</v>
          </cell>
          <cell r="B5">
            <v>343336051.85000092</v>
          </cell>
          <cell r="C5">
            <v>32606349.789999899</v>
          </cell>
          <cell r="E5">
            <v>406894342.74999809</v>
          </cell>
          <cell r="F5">
            <v>40282784.640000045</v>
          </cell>
        </row>
        <row r="6">
          <cell r="A6" t="str">
            <v>Valle del Cauca</v>
          </cell>
          <cell r="B6">
            <v>334034737.27000016</v>
          </cell>
          <cell r="C6">
            <v>30566090.569999997</v>
          </cell>
          <cell r="E6">
            <v>323319455.25999945</v>
          </cell>
          <cell r="F6">
            <v>27409994.089999955</v>
          </cell>
        </row>
        <row r="7">
          <cell r="A7" t="str">
            <v>Cundinamarca</v>
          </cell>
          <cell r="B7">
            <v>279098358.41999972</v>
          </cell>
          <cell r="C7">
            <v>24568186.269999951</v>
          </cell>
          <cell r="E7">
            <v>310641634.36000043</v>
          </cell>
          <cell r="F7">
            <v>41175817.080000021</v>
          </cell>
        </row>
        <row r="8">
          <cell r="A8" t="str">
            <v>Atlántico</v>
          </cell>
          <cell r="B8">
            <v>312362885.72000021</v>
          </cell>
          <cell r="C8">
            <v>22518238.539999999</v>
          </cell>
          <cell r="E8">
            <v>267267073.61999947</v>
          </cell>
          <cell r="F8">
            <v>36033185.459999949</v>
          </cell>
        </row>
        <row r="9">
          <cell r="A9" t="str">
            <v>Caldas</v>
          </cell>
          <cell r="B9">
            <v>137007149.93999973</v>
          </cell>
          <cell r="C9">
            <v>8290543.6200000038</v>
          </cell>
          <cell r="E9">
            <v>116353176.24000023</v>
          </cell>
          <cell r="F9">
            <v>9120609.2999999989</v>
          </cell>
        </row>
        <row r="10">
          <cell r="A10" t="str">
            <v>Santander</v>
          </cell>
          <cell r="B10">
            <v>41600172.610000059</v>
          </cell>
          <cell r="C10">
            <v>2421292.399999999</v>
          </cell>
          <cell r="E10">
            <v>31718577.539999995</v>
          </cell>
          <cell r="F10">
            <v>2611299.15</v>
          </cell>
        </row>
        <row r="11">
          <cell r="A11" t="str">
            <v>Cauca</v>
          </cell>
          <cell r="B11">
            <v>37628523.150000021</v>
          </cell>
          <cell r="C11">
            <v>4804435.0900000008</v>
          </cell>
          <cell r="E11">
            <v>28650665.040000003</v>
          </cell>
          <cell r="F11">
            <v>2376264.2200000002</v>
          </cell>
        </row>
        <row r="12">
          <cell r="A12" t="str">
            <v>Norte de Santander</v>
          </cell>
          <cell r="B12">
            <v>86849035.230000019</v>
          </cell>
          <cell r="C12">
            <v>358128.74000000005</v>
          </cell>
          <cell r="E12">
            <v>7821814.7399999993</v>
          </cell>
          <cell r="F12">
            <v>488248.64</v>
          </cell>
        </row>
        <row r="13">
          <cell r="A13" t="str">
            <v>Risaralda</v>
          </cell>
          <cell r="B13">
            <v>36041001.900000043</v>
          </cell>
          <cell r="C13">
            <v>4928116.3599999994</v>
          </cell>
          <cell r="E13">
            <v>7431477.2800000031</v>
          </cell>
          <cell r="F13">
            <v>699289.55999999994</v>
          </cell>
        </row>
        <row r="14">
          <cell r="A14" t="str">
            <v>Magdalena</v>
          </cell>
          <cell r="B14">
            <v>7843991.8000000007</v>
          </cell>
          <cell r="C14">
            <v>26336</v>
          </cell>
          <cell r="E14">
            <v>5252177.6399999997</v>
          </cell>
          <cell r="F14">
            <v>646887.97</v>
          </cell>
        </row>
        <row r="15">
          <cell r="A15" t="str">
            <v>Boyacá</v>
          </cell>
          <cell r="B15">
            <v>3645869.0799999996</v>
          </cell>
          <cell r="C15">
            <v>0</v>
          </cell>
          <cell r="E15">
            <v>2364778.0099999998</v>
          </cell>
          <cell r="F15">
            <v>0</v>
          </cell>
        </row>
        <row r="16">
          <cell r="A16" t="str">
            <v>Tolima</v>
          </cell>
          <cell r="B16">
            <v>2512785.0100000002</v>
          </cell>
          <cell r="C16">
            <v>598888.80000000005</v>
          </cell>
          <cell r="E16">
            <v>1886044.23</v>
          </cell>
          <cell r="F16">
            <v>220230.47</v>
          </cell>
        </row>
        <row r="17">
          <cell r="A17" t="str">
            <v>Nariño</v>
          </cell>
          <cell r="B17">
            <v>2065536.2900000012</v>
          </cell>
          <cell r="C17">
            <v>681583.55999999994</v>
          </cell>
          <cell r="E17">
            <v>1286972.7199999997</v>
          </cell>
          <cell r="F17">
            <v>122217.28</v>
          </cell>
        </row>
        <row r="18">
          <cell r="A18" t="str">
            <v>Cesar</v>
          </cell>
          <cell r="B18">
            <v>1980114.31</v>
          </cell>
          <cell r="C18">
            <v>0</v>
          </cell>
          <cell r="E18">
            <v>448981.88000000006</v>
          </cell>
          <cell r="F18">
            <v>200</v>
          </cell>
        </row>
        <row r="19">
          <cell r="A19" t="str">
            <v>Meta</v>
          </cell>
          <cell r="B19">
            <v>183357.2</v>
          </cell>
          <cell r="C19">
            <v>0</v>
          </cell>
          <cell r="E19">
            <v>288706.2</v>
          </cell>
          <cell r="F19">
            <v>63931.4</v>
          </cell>
        </row>
        <row r="20">
          <cell r="A20" t="str">
            <v>Casanare</v>
          </cell>
          <cell r="B20">
            <v>200</v>
          </cell>
          <cell r="C20">
            <v>0</v>
          </cell>
          <cell r="E20">
            <v>213084.5</v>
          </cell>
          <cell r="F20">
            <v>0</v>
          </cell>
        </row>
        <row r="21">
          <cell r="A21" t="str">
            <v>Guajira</v>
          </cell>
          <cell r="B21">
            <v>564461.65</v>
          </cell>
          <cell r="C21">
            <v>0</v>
          </cell>
          <cell r="E21">
            <v>174851.69</v>
          </cell>
          <cell r="F21">
            <v>0</v>
          </cell>
        </row>
        <row r="22">
          <cell r="A22" t="str">
            <v>Quindío</v>
          </cell>
          <cell r="B22">
            <v>553062.79999999993</v>
          </cell>
          <cell r="C22">
            <v>0</v>
          </cell>
          <cell r="E22">
            <v>79940.600000000006</v>
          </cell>
          <cell r="F22">
            <v>0</v>
          </cell>
        </row>
        <row r="23">
          <cell r="A23" t="str">
            <v>Huila</v>
          </cell>
          <cell r="B23">
            <v>86309.09</v>
          </cell>
          <cell r="C23">
            <v>4480</v>
          </cell>
          <cell r="E23">
            <v>57432</v>
          </cell>
          <cell r="F23">
            <v>9580</v>
          </cell>
        </row>
        <row r="24">
          <cell r="A24" t="str">
            <v>Putumayo</v>
          </cell>
          <cell r="B24">
            <v>4.5999999999999996</v>
          </cell>
          <cell r="C24">
            <v>0</v>
          </cell>
          <cell r="E24">
            <v>52980</v>
          </cell>
          <cell r="F24">
            <v>0</v>
          </cell>
        </row>
        <row r="25">
          <cell r="A25" t="str">
            <v>Aráuca</v>
          </cell>
          <cell r="B25">
            <v>25809.38</v>
          </cell>
          <cell r="C25">
            <v>0</v>
          </cell>
          <cell r="E25">
            <v>50326.51</v>
          </cell>
          <cell r="F25">
            <v>1064.92</v>
          </cell>
        </row>
        <row r="26">
          <cell r="A26" t="str">
            <v>San Andrés</v>
          </cell>
          <cell r="B26">
            <v>44125.130000000005</v>
          </cell>
          <cell r="C26">
            <v>0</v>
          </cell>
          <cell r="E26">
            <v>36000</v>
          </cell>
          <cell r="F26">
            <v>0</v>
          </cell>
        </row>
        <row r="27">
          <cell r="A27" t="str">
            <v>Vichada</v>
          </cell>
          <cell r="B27">
            <v>0</v>
          </cell>
          <cell r="C27">
            <v>0</v>
          </cell>
          <cell r="E27">
            <v>9964.5499999999993</v>
          </cell>
          <cell r="F27">
            <v>0</v>
          </cell>
        </row>
        <row r="28">
          <cell r="A28" t="str">
            <v>Chocó</v>
          </cell>
          <cell r="B28">
            <v>0</v>
          </cell>
          <cell r="C28">
            <v>0</v>
          </cell>
          <cell r="E28">
            <v>6800</v>
          </cell>
          <cell r="F28">
            <v>0</v>
          </cell>
        </row>
        <row r="29">
          <cell r="A29" t="str">
            <v>Sucre</v>
          </cell>
          <cell r="B29">
            <v>112880.51</v>
          </cell>
          <cell r="C29">
            <v>0</v>
          </cell>
          <cell r="E29">
            <v>5400.67</v>
          </cell>
          <cell r="F29">
            <v>1800.67</v>
          </cell>
        </row>
        <row r="30">
          <cell r="A30" t="str">
            <v>Sin definir</v>
          </cell>
          <cell r="B30">
            <v>15511.6</v>
          </cell>
          <cell r="C30">
            <v>0</v>
          </cell>
          <cell r="E30">
            <v>4990</v>
          </cell>
          <cell r="F30">
            <v>0</v>
          </cell>
        </row>
        <row r="31">
          <cell r="A31" t="str">
            <v>Guainía</v>
          </cell>
          <cell r="B31">
            <v>56147.56</v>
          </cell>
          <cell r="C31">
            <v>0</v>
          </cell>
          <cell r="E31">
            <v>3691.38</v>
          </cell>
          <cell r="F31">
            <v>0</v>
          </cell>
        </row>
        <row r="32">
          <cell r="A32" t="str">
            <v>Vaupés</v>
          </cell>
          <cell r="B32">
            <v>103605.59</v>
          </cell>
          <cell r="C32">
            <v>90745.59</v>
          </cell>
          <cell r="E32">
            <v>2448</v>
          </cell>
          <cell r="F32">
            <v>0</v>
          </cell>
        </row>
        <row r="33">
          <cell r="A33" t="str">
            <v>Amazonas</v>
          </cell>
          <cell r="B33">
            <v>0</v>
          </cell>
          <cell r="C33">
            <v>0</v>
          </cell>
          <cell r="E33">
            <v>24</v>
          </cell>
          <cell r="F33">
            <v>0</v>
          </cell>
        </row>
      </sheetData>
    </sheetDataSet>
  </externalBook>
</externalLink>
</file>

<file path=xl/externalLinks/externalLink38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</sheetNames>
    <sheetDataSet>
      <sheetData sheetId="0">
        <row r="2">
          <cell r="A2" t="str">
            <v>Bogotá</v>
          </cell>
          <cell r="B2">
            <v>498766230.63999987</v>
          </cell>
          <cell r="C2">
            <v>37997848.639999986</v>
          </cell>
          <cell r="E2">
            <v>478054933.70999944</v>
          </cell>
          <cell r="F2">
            <v>19519693.050000004</v>
          </cell>
        </row>
        <row r="3">
          <cell r="A3" t="str">
            <v>Valle del Cauca</v>
          </cell>
          <cell r="B3">
            <v>168389660.08999985</v>
          </cell>
          <cell r="C3">
            <v>14004559.479999999</v>
          </cell>
          <cell r="E3">
            <v>157822087.83000001</v>
          </cell>
          <cell r="F3">
            <v>9644970.9599999934</v>
          </cell>
        </row>
        <row r="4">
          <cell r="A4" t="str">
            <v>Atlántico</v>
          </cell>
          <cell r="B4">
            <v>78408819.110000059</v>
          </cell>
          <cell r="C4">
            <v>6038413.1599999974</v>
          </cell>
          <cell r="E4">
            <v>70546840.210000038</v>
          </cell>
          <cell r="F4">
            <v>12119429.240000006</v>
          </cell>
        </row>
        <row r="5">
          <cell r="A5" t="str">
            <v>Risaralda</v>
          </cell>
          <cell r="B5">
            <v>37242153.559999995</v>
          </cell>
          <cell r="C5">
            <v>3448189.2800000003</v>
          </cell>
          <cell r="E5">
            <v>31084862.789999999</v>
          </cell>
          <cell r="F5">
            <v>2392916.48</v>
          </cell>
        </row>
        <row r="6">
          <cell r="A6" t="str">
            <v>Cauca</v>
          </cell>
          <cell r="B6">
            <v>28809749.360000186</v>
          </cell>
          <cell r="C6">
            <v>3266513.3300000019</v>
          </cell>
          <cell r="E6">
            <v>27155127.420000155</v>
          </cell>
          <cell r="F6">
            <v>1859045.4500000004</v>
          </cell>
        </row>
        <row r="7">
          <cell r="A7" t="str">
            <v>Antioquia</v>
          </cell>
          <cell r="B7">
            <v>37106956.25000003</v>
          </cell>
          <cell r="C7">
            <v>1896830.0400000003</v>
          </cell>
          <cell r="E7">
            <v>26042320.650000028</v>
          </cell>
          <cell r="F7">
            <v>2220994.4299999988</v>
          </cell>
        </row>
        <row r="8">
          <cell r="A8" t="str">
            <v>Cundinamarca</v>
          </cell>
          <cell r="B8">
            <v>13423374.799999991</v>
          </cell>
          <cell r="C8">
            <v>824982.06000000017</v>
          </cell>
          <cell r="E8">
            <v>8691877.4999999907</v>
          </cell>
          <cell r="F8">
            <v>601618.1399999999</v>
          </cell>
        </row>
        <row r="9">
          <cell r="A9" t="str">
            <v>Cesar</v>
          </cell>
          <cell r="B9">
            <v>437639.29999999993</v>
          </cell>
          <cell r="C9">
            <v>0</v>
          </cell>
          <cell r="E9">
            <v>7141349</v>
          </cell>
          <cell r="F9">
            <v>0</v>
          </cell>
        </row>
        <row r="10">
          <cell r="A10" t="str">
            <v>Caldas</v>
          </cell>
          <cell r="B10">
            <v>5837864.0800000019</v>
          </cell>
          <cell r="C10">
            <v>723234.58</v>
          </cell>
          <cell r="E10">
            <v>4672290.09</v>
          </cell>
          <cell r="F10">
            <v>271097.34999999998</v>
          </cell>
        </row>
        <row r="11">
          <cell r="A11" t="str">
            <v>Magdalena</v>
          </cell>
          <cell r="B11">
            <v>581798.67999999993</v>
          </cell>
          <cell r="C11">
            <v>1052.0999999999999</v>
          </cell>
          <cell r="E11">
            <v>3120997.77</v>
          </cell>
          <cell r="F11">
            <v>7900</v>
          </cell>
        </row>
        <row r="12">
          <cell r="A12" t="str">
            <v>Bolívar</v>
          </cell>
          <cell r="B12">
            <v>4616152.9399999995</v>
          </cell>
          <cell r="C12">
            <v>110649.93999999999</v>
          </cell>
          <cell r="E12">
            <v>1163835.0299999998</v>
          </cell>
          <cell r="F12">
            <v>65565.67</v>
          </cell>
        </row>
        <row r="13">
          <cell r="A13" t="str">
            <v>Norte de Santander</v>
          </cell>
          <cell r="B13">
            <v>5835286.9300000016</v>
          </cell>
          <cell r="C13">
            <v>11342.900000000001</v>
          </cell>
          <cell r="E13">
            <v>259896.26000000004</v>
          </cell>
          <cell r="F13">
            <v>38557</v>
          </cell>
        </row>
        <row r="14">
          <cell r="A14" t="str">
            <v>Nariño</v>
          </cell>
          <cell r="B14">
            <v>360078.40000000008</v>
          </cell>
          <cell r="C14">
            <v>13897</v>
          </cell>
          <cell r="E14">
            <v>152949.19000000003</v>
          </cell>
          <cell r="F14">
            <v>2935.7999999999997</v>
          </cell>
        </row>
        <row r="15">
          <cell r="A15" t="str">
            <v>Meta</v>
          </cell>
          <cell r="B15">
            <v>62879.850000000006</v>
          </cell>
          <cell r="C15">
            <v>0</v>
          </cell>
          <cell r="E15">
            <v>141403.07999999999</v>
          </cell>
          <cell r="F15">
            <v>30906</v>
          </cell>
        </row>
        <row r="16">
          <cell r="A16" t="str">
            <v>Tolima</v>
          </cell>
          <cell r="B16">
            <v>59536.53</v>
          </cell>
          <cell r="C16">
            <v>3950</v>
          </cell>
          <cell r="E16">
            <v>71781.429999999993</v>
          </cell>
          <cell r="F16">
            <v>4075</v>
          </cell>
        </row>
        <row r="17">
          <cell r="A17" t="str">
            <v>Santander</v>
          </cell>
          <cell r="B17">
            <v>245073.59000000003</v>
          </cell>
          <cell r="C17">
            <v>0</v>
          </cell>
          <cell r="E17">
            <v>57007.539999999994</v>
          </cell>
          <cell r="F17">
            <v>2605</v>
          </cell>
        </row>
        <row r="18">
          <cell r="A18" t="str">
            <v>Quindío</v>
          </cell>
          <cell r="B18">
            <v>158423.82</v>
          </cell>
          <cell r="C18">
            <v>1865</v>
          </cell>
          <cell r="E18">
            <v>15319.2</v>
          </cell>
          <cell r="F18">
            <v>11000</v>
          </cell>
        </row>
        <row r="19">
          <cell r="A19" t="str">
            <v>Casanare</v>
          </cell>
          <cell r="B19">
            <v>0</v>
          </cell>
          <cell r="C19">
            <v>0</v>
          </cell>
          <cell r="E19">
            <v>12702.2</v>
          </cell>
          <cell r="F19">
            <v>0</v>
          </cell>
        </row>
        <row r="20">
          <cell r="A20" t="str">
            <v>Aráuca</v>
          </cell>
          <cell r="B20">
            <v>31261.1</v>
          </cell>
          <cell r="C20">
            <v>26348</v>
          </cell>
          <cell r="E20">
            <v>6149.48</v>
          </cell>
          <cell r="F20">
            <v>0</v>
          </cell>
        </row>
        <row r="21">
          <cell r="A21" t="str">
            <v>Vichada</v>
          </cell>
          <cell r="B21">
            <v>0</v>
          </cell>
          <cell r="C21">
            <v>0</v>
          </cell>
          <cell r="E21">
            <v>1580.4</v>
          </cell>
          <cell r="F21">
            <v>0</v>
          </cell>
        </row>
        <row r="22">
          <cell r="A22" t="str">
            <v>Chocó</v>
          </cell>
          <cell r="B22">
            <v>0</v>
          </cell>
          <cell r="C22">
            <v>0</v>
          </cell>
          <cell r="E22">
            <v>1326.19</v>
          </cell>
          <cell r="F22">
            <v>0</v>
          </cell>
        </row>
        <row r="23">
          <cell r="A23" t="str">
            <v>San Andrés</v>
          </cell>
          <cell r="B23">
            <v>14075.4</v>
          </cell>
          <cell r="C23">
            <v>0</v>
          </cell>
          <cell r="E23">
            <v>839</v>
          </cell>
          <cell r="F23">
            <v>0</v>
          </cell>
        </row>
        <row r="24">
          <cell r="A24" t="str">
            <v>Boyacá</v>
          </cell>
          <cell r="B24">
            <v>231965.56000000006</v>
          </cell>
          <cell r="C24">
            <v>9</v>
          </cell>
          <cell r="E24">
            <v>285</v>
          </cell>
          <cell r="F24">
            <v>0</v>
          </cell>
        </row>
        <row r="25">
          <cell r="A25" t="str">
            <v>Córdoba</v>
          </cell>
          <cell r="B25">
            <v>0</v>
          </cell>
          <cell r="C25">
            <v>0</v>
          </cell>
          <cell r="E25">
            <v>150</v>
          </cell>
          <cell r="F25">
            <v>0</v>
          </cell>
        </row>
        <row r="26">
          <cell r="A26" t="str">
            <v>Guainía</v>
          </cell>
          <cell r="B26">
            <v>1279.6099999999999</v>
          </cell>
          <cell r="C26">
            <v>0</v>
          </cell>
          <cell r="E26">
            <v>0</v>
          </cell>
          <cell r="F26">
            <v>0</v>
          </cell>
        </row>
        <row r="27">
          <cell r="A27" t="str">
            <v>Guajira</v>
          </cell>
          <cell r="B27">
            <v>234280</v>
          </cell>
          <cell r="C27">
            <v>143800</v>
          </cell>
          <cell r="E27">
            <v>0</v>
          </cell>
          <cell r="F27">
            <v>0</v>
          </cell>
        </row>
        <row r="28">
          <cell r="A28" t="str">
            <v>Huila</v>
          </cell>
          <cell r="B28">
            <v>232951.13</v>
          </cell>
          <cell r="C28">
            <v>0</v>
          </cell>
          <cell r="E28">
            <v>0</v>
          </cell>
          <cell r="F28">
            <v>0</v>
          </cell>
        </row>
        <row r="29">
          <cell r="A29" t="str">
            <v>Sin definir</v>
          </cell>
          <cell r="B29">
            <v>29</v>
          </cell>
          <cell r="C29">
            <v>0</v>
          </cell>
          <cell r="E29">
            <v>0</v>
          </cell>
          <cell r="F29">
            <v>0</v>
          </cell>
        </row>
        <row r="30">
          <cell r="A30" t="str">
            <v>Sucre</v>
          </cell>
          <cell r="B30">
            <v>371</v>
          </cell>
          <cell r="C30">
            <v>0</v>
          </cell>
          <cell r="E30">
            <v>0</v>
          </cell>
          <cell r="F3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opLeftCell="A4" zoomScale="85" zoomScaleNormal="85" zoomScaleSheetLayoutView="100" zoomScalePageLayoutView="80" workbookViewId="0">
      <selection activeCell="M15" sqref="M15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3.2851562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21" t="s">
        <v>0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36" t="s">
        <v>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37"/>
      <c r="K14" s="114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14" t="s">
        <v>37</v>
      </c>
      <c r="G15" s="114" t="s">
        <v>114</v>
      </c>
      <c r="K15" s="114"/>
      <c r="L15" s="32"/>
      <c r="M15" s="114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14" t="s">
        <v>106</v>
      </c>
      <c r="G16" s="114" t="s">
        <v>119</v>
      </c>
      <c r="K16" s="114"/>
      <c r="M16" s="114" t="s">
        <v>38</v>
      </c>
      <c r="N16" s="29"/>
      <c r="O16" s="32"/>
      <c r="Q16" s="32"/>
      <c r="R16" s="16"/>
      <c r="S16" s="9"/>
    </row>
    <row r="17" spans="1:19" ht="16.5" customHeight="1">
      <c r="A17" s="14"/>
      <c r="C17" s="114" t="s">
        <v>107</v>
      </c>
      <c r="G17" s="114" t="s">
        <v>120</v>
      </c>
      <c r="K17" s="114"/>
      <c r="M17" s="114" t="s">
        <v>39</v>
      </c>
      <c r="N17" s="29"/>
      <c r="P17" s="29"/>
      <c r="Q17" s="29"/>
      <c r="R17" s="16"/>
      <c r="S17" s="9"/>
    </row>
    <row r="18" spans="1:19" ht="16.5" customHeight="1">
      <c r="A18" s="14"/>
      <c r="C18" s="114" t="s">
        <v>108</v>
      </c>
      <c r="G18" s="114" t="s">
        <v>121</v>
      </c>
      <c r="K18" s="114"/>
      <c r="M18" s="114" t="s">
        <v>43</v>
      </c>
      <c r="N18" s="29"/>
      <c r="P18" s="29"/>
      <c r="Q18" s="29"/>
      <c r="R18" s="16"/>
      <c r="S18" s="9"/>
    </row>
    <row r="19" spans="1:19" ht="16.5" customHeight="1">
      <c r="A19" s="14"/>
      <c r="C19" s="114" t="s">
        <v>109</v>
      </c>
      <c r="G19" s="114" t="s">
        <v>123</v>
      </c>
      <c r="K19" s="114"/>
      <c r="M19" s="114" t="s">
        <v>118</v>
      </c>
      <c r="N19" s="29"/>
      <c r="P19" s="29"/>
      <c r="Q19" s="29"/>
      <c r="R19" s="16"/>
      <c r="S19" s="9"/>
    </row>
    <row r="20" spans="1:19" ht="16.5" customHeight="1">
      <c r="A20" s="14"/>
      <c r="C20" s="114" t="s">
        <v>111</v>
      </c>
      <c r="G20" s="114" t="s">
        <v>122</v>
      </c>
      <c r="H20" s="36"/>
      <c r="I20" s="33"/>
      <c r="K20" s="114"/>
      <c r="M20" s="114" t="s">
        <v>112</v>
      </c>
      <c r="N20" s="29"/>
      <c r="P20" s="29"/>
      <c r="Q20" s="29"/>
      <c r="R20" s="16"/>
      <c r="S20" s="9"/>
    </row>
    <row r="21" spans="1:19" ht="16.5" customHeight="1">
      <c r="A21" s="14"/>
      <c r="C21" s="114" t="s">
        <v>110</v>
      </c>
      <c r="G21" s="114" t="s">
        <v>124</v>
      </c>
      <c r="H21" s="36"/>
      <c r="I21" s="33"/>
      <c r="K21" s="114"/>
      <c r="M21" s="114" t="s">
        <v>113</v>
      </c>
      <c r="N21" s="29"/>
      <c r="P21" s="29"/>
      <c r="Q21" s="29"/>
      <c r="R21" s="16"/>
      <c r="S21" s="9"/>
    </row>
    <row r="22" spans="1:19" ht="16.5" customHeight="1">
      <c r="A22" s="14"/>
      <c r="C22" s="114" t="s">
        <v>112</v>
      </c>
      <c r="G22" s="114" t="s">
        <v>125</v>
      </c>
      <c r="H22" s="36"/>
      <c r="I22" s="33"/>
      <c r="K22" s="114"/>
      <c r="L22" s="36"/>
      <c r="M22" s="114" t="s">
        <v>114</v>
      </c>
      <c r="N22" s="29"/>
      <c r="P22" s="29"/>
      <c r="Q22" s="29"/>
      <c r="R22" s="16"/>
      <c r="S22" s="9"/>
    </row>
    <row r="23" spans="1:19" ht="16.5" customHeight="1">
      <c r="A23" s="14"/>
      <c r="C23" s="114" t="s">
        <v>113</v>
      </c>
      <c r="G23" s="114" t="s">
        <v>126</v>
      </c>
      <c r="H23" s="36"/>
      <c r="I23" s="33"/>
      <c r="K23" s="114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14" t="s">
        <v>114</v>
      </c>
      <c r="G24" s="114" t="s">
        <v>127</v>
      </c>
      <c r="H24" s="40"/>
      <c r="I24" s="36"/>
      <c r="K24" s="114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14" t="s">
        <v>95</v>
      </c>
      <c r="G25" s="114" t="s">
        <v>128</v>
      </c>
      <c r="H25" s="40"/>
      <c r="I25" s="36"/>
      <c r="K25" s="114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14" t="s">
        <v>96</v>
      </c>
      <c r="G26" s="114" t="s">
        <v>129</v>
      </c>
      <c r="H26" s="40"/>
      <c r="I26" s="36"/>
      <c r="K26" s="114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14" t="s">
        <v>115</v>
      </c>
      <c r="D27" s="32"/>
      <c r="E27" s="30"/>
      <c r="G27" s="114" t="s">
        <v>130</v>
      </c>
      <c r="H27" s="9"/>
      <c r="I27" s="9"/>
      <c r="K27" s="114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14" t="s">
        <v>131</v>
      </c>
      <c r="I28" s="9"/>
      <c r="K28" s="114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B29" s="28" t="s">
        <v>116</v>
      </c>
      <c r="C29" s="34"/>
      <c r="E29" s="33"/>
      <c r="G29" s="114" t="s">
        <v>132</v>
      </c>
      <c r="I29" s="9"/>
      <c r="K29" s="114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14" t="s">
        <v>56</v>
      </c>
      <c r="D30" s="36"/>
      <c r="E30" s="33"/>
      <c r="G30" s="114" t="s">
        <v>143</v>
      </c>
      <c r="I30" s="9"/>
      <c r="K30" s="114"/>
      <c r="L30" s="1"/>
      <c r="N30" s="26"/>
      <c r="P30" s="26"/>
      <c r="Q30" s="26"/>
      <c r="R30" s="16"/>
      <c r="S30" s="9"/>
    </row>
    <row r="31" spans="1:19" ht="16.5" customHeight="1">
      <c r="A31" s="14"/>
      <c r="C31" s="114" t="s">
        <v>38</v>
      </c>
      <c r="D31" s="36"/>
      <c r="E31" s="33"/>
      <c r="G31" s="114" t="s">
        <v>144</v>
      </c>
      <c r="H31" s="9"/>
      <c r="I31" s="9"/>
      <c r="K31" s="114"/>
      <c r="L31" s="1"/>
      <c r="N31" s="26"/>
      <c r="P31" s="26"/>
      <c r="Q31" s="26"/>
      <c r="R31" s="16"/>
      <c r="S31" s="9"/>
    </row>
    <row r="32" spans="1:19" ht="16.5" customHeight="1">
      <c r="A32" s="14"/>
      <c r="C32" s="114" t="s">
        <v>39</v>
      </c>
      <c r="D32" s="36"/>
      <c r="E32" s="33"/>
      <c r="G32" s="114" t="s">
        <v>145</v>
      </c>
      <c r="H32" s="9"/>
      <c r="I32" s="9"/>
      <c r="K32" s="114"/>
      <c r="L32" s="1"/>
      <c r="N32" s="26"/>
      <c r="P32" s="26"/>
      <c r="Q32" s="26"/>
      <c r="R32" s="16"/>
      <c r="S32" s="9"/>
    </row>
    <row r="33" spans="1:19" ht="16.5" customHeight="1">
      <c r="A33" s="14"/>
      <c r="C33" s="114" t="s">
        <v>117</v>
      </c>
      <c r="D33" s="36"/>
      <c r="E33" s="33"/>
      <c r="G33" s="114" t="s">
        <v>146</v>
      </c>
      <c r="H33" s="9"/>
      <c r="I33" s="9"/>
      <c r="K33" s="114"/>
      <c r="L33" s="1"/>
      <c r="N33" s="26"/>
      <c r="P33" s="26"/>
      <c r="Q33" s="26"/>
      <c r="R33" s="16"/>
      <c r="S33" s="9"/>
    </row>
    <row r="34" spans="1:19" ht="16.5" customHeight="1">
      <c r="A34" s="14"/>
      <c r="C34" s="114" t="s">
        <v>94</v>
      </c>
      <c r="D34" s="36"/>
      <c r="E34" s="33"/>
      <c r="G34" s="114" t="s">
        <v>147</v>
      </c>
      <c r="H34" s="9"/>
      <c r="I34" s="9"/>
      <c r="K34" s="114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14" t="s">
        <v>118</v>
      </c>
      <c r="D35" s="32"/>
      <c r="E35" s="96"/>
      <c r="G35" s="114" t="s">
        <v>133</v>
      </c>
      <c r="H35" s="9"/>
      <c r="I35" s="9"/>
      <c r="K35" s="114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14" t="s">
        <v>112</v>
      </c>
      <c r="D36" s="32"/>
      <c r="E36" s="96"/>
      <c r="G36" s="114" t="s">
        <v>158</v>
      </c>
      <c r="H36" s="9"/>
      <c r="I36" s="9"/>
      <c r="K36" s="114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14" t="s">
        <v>113</v>
      </c>
      <c r="D37" s="32"/>
      <c r="E37" s="30"/>
      <c r="G37" s="114" t="s">
        <v>134</v>
      </c>
      <c r="H37" s="9"/>
      <c r="I37" s="9"/>
      <c r="K37" s="114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14"/>
      <c r="D38" s="32"/>
      <c r="E38" s="30"/>
      <c r="G38" s="114" t="s">
        <v>135</v>
      </c>
      <c r="H38" s="9"/>
      <c r="I38" s="9"/>
      <c r="K38" s="114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14"/>
      <c r="D39" s="32"/>
      <c r="E39" s="30"/>
      <c r="G39" s="114" t="s">
        <v>136</v>
      </c>
      <c r="H39" s="9"/>
      <c r="I39" s="9"/>
      <c r="K39" s="114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7"/>
      <c r="G40" s="114" t="s">
        <v>137</v>
      </c>
      <c r="H40" s="9"/>
      <c r="I40" s="4"/>
      <c r="K40" s="114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7"/>
      <c r="G41" s="114" t="s">
        <v>150</v>
      </c>
      <c r="H41" s="9"/>
      <c r="I41" s="4"/>
      <c r="K41" s="114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26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23" location="'Histórico exportaciones Ecuador'!A1" display="Exportaciones a Ecuador"/>
    <hyperlink ref="G24" location="'Histórico Ecuador primarios'!A1" display="Exportaciones a Ecuador bienes primarios"/>
    <hyperlink ref="G25" location="'Histórico Ecuador rec naturales'!A1" display="Exportaciones a Ecuador maufacturas rec naturales"/>
    <hyperlink ref="G26" location="'Histórico Ecuador baja tek'!A1" display="Exportaciones a Ecuador maufacturas baja tecnología"/>
    <hyperlink ref="G27" location="'Histórico Ecuador media tek'!A1" display="Exportaciones a Ecuador maufacturas tecnología media"/>
    <hyperlink ref="G28" location="'Histórico Ecuador alta tek'!A1" display="Exportaciones a Ecuador maufacturas alta tecnología"/>
    <hyperlink ref="G29" location="'Histórico expo Venezuela total'!A1" display="Exportaciones a Venezuela"/>
    <hyperlink ref="G35:G36" location="'Histórico expo Venezuela total'!A1" display="Exportaciones a Venezuela"/>
    <hyperlink ref="G35" location="'Histórico expo Perú'!A1" display="Exportaciones a Perú"/>
    <hyperlink ref="G36" location="'Histórico expo México'!A1" display="Exportaciones a México"/>
    <hyperlink ref="G37" location="'Histórico productos quimicos'!A1" display="Productos químicos"/>
    <hyperlink ref="G38" location="'Histórico productos agricultura'!A1" display="Productos agricultura"/>
    <hyperlink ref="G39" location="'Histórico equipos transporte'!A1" display="Productos equipo de transporte"/>
    <hyperlink ref="G40" location="'Histórico alimentos'!A1" display="Alimentos y bebidas"/>
    <hyperlink ref="G41" location="'Histórico textiles'!A1" display="Textiles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activeCell="G28" sqref="G28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7" width="10.85546875" style="7"/>
    <col min="18" max="18" width="3.28515625" style="7" customWidth="1"/>
    <col min="19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22"/>
      <c r="D7" s="122"/>
      <c r="E7" s="122"/>
      <c r="F7" s="122"/>
      <c r="G7" s="122"/>
      <c r="H7" s="122"/>
      <c r="I7" s="122"/>
      <c r="J7" s="16"/>
    </row>
    <row r="8" spans="1:13">
      <c r="A8" s="14"/>
      <c r="B8" s="122" t="s">
        <v>34</v>
      </c>
      <c r="C8" s="122"/>
      <c r="D8" s="122"/>
      <c r="E8" s="122"/>
      <c r="F8" s="122"/>
      <c r="G8" s="122"/>
      <c r="H8" s="122"/>
      <c r="I8" s="8"/>
      <c r="J8" s="16"/>
    </row>
    <row r="9" spans="1:13" ht="15.75" customHeight="1">
      <c r="A9" s="14"/>
      <c r="B9" s="122" t="s">
        <v>35</v>
      </c>
      <c r="C9" s="122"/>
      <c r="D9" s="122"/>
      <c r="E9" s="122"/>
      <c r="F9" s="122"/>
      <c r="G9" s="122"/>
      <c r="H9" s="122"/>
      <c r="I9" s="3"/>
      <c r="J9" s="16"/>
    </row>
    <row r="10" spans="1:13">
      <c r="A10" s="14"/>
      <c r="B10" s="9"/>
      <c r="C10" s="42"/>
      <c r="D10" s="42"/>
      <c r="E10" s="42"/>
      <c r="F10" s="42"/>
      <c r="G10" s="42"/>
      <c r="H10" s="42"/>
      <c r="I10" s="42"/>
      <c r="J10" s="16"/>
      <c r="M10" s="2"/>
    </row>
    <row r="11" spans="1:13" ht="12" customHeight="1">
      <c r="A11" s="14"/>
      <c r="B11" s="9"/>
      <c r="C11" s="42"/>
      <c r="D11" s="42"/>
      <c r="E11" s="42"/>
      <c r="F11" s="42"/>
      <c r="G11" s="42"/>
      <c r="H11" s="42"/>
      <c r="I11" s="42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7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7"/>
      <c r="J13" s="16"/>
      <c r="L13" s="20"/>
      <c r="M13" s="88"/>
    </row>
    <row r="14" spans="1:13">
      <c r="A14" s="14"/>
      <c r="B14" s="9"/>
      <c r="C14" s="6"/>
      <c r="D14" s="6"/>
      <c r="E14" s="6"/>
      <c r="F14" s="6"/>
      <c r="G14" s="6"/>
      <c r="H14" s="6"/>
      <c r="I14" s="87"/>
      <c r="J14" s="16"/>
      <c r="L14" s="20"/>
      <c r="M14" s="88"/>
    </row>
    <row r="15" spans="1:13">
      <c r="A15" s="14"/>
      <c r="B15" s="9"/>
      <c r="C15" s="6"/>
      <c r="D15" s="6"/>
      <c r="E15" s="6"/>
      <c r="F15" s="6"/>
      <c r="G15" s="6"/>
      <c r="H15" s="6"/>
      <c r="I15" s="87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7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7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7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7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7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7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7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7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7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7"/>
      <c r="J25" s="16"/>
    </row>
    <row r="26" spans="1:12" ht="14.25" customHeight="1">
      <c r="A26" s="14"/>
      <c r="B26" s="10"/>
      <c r="C26" s="4"/>
      <c r="D26" s="4"/>
      <c r="E26" s="4"/>
      <c r="F26" s="4"/>
      <c r="G26" s="89"/>
      <c r="H26" s="89"/>
      <c r="I26" s="89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tr">
        <f>IF(F27="","",1)</f>
        <v/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tr">
        <f>IF(F28="","",1)</f>
        <v/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tr">
        <f>IF(F29="","",1)</f>
        <v/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tr">
        <f>IF(F30="","",1)</f>
        <v/>
      </c>
    </row>
    <row r="31" spans="1:12">
      <c r="A31" s="14"/>
      <c r="B31" s="90" t="s">
        <v>151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0" t="s">
        <v>154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0" t="s">
        <v>155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0" t="s">
        <v>152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153</v>
      </c>
      <c r="C35" s="91"/>
      <c r="D35" s="91"/>
      <c r="E35" s="91"/>
      <c r="F35" s="91"/>
      <c r="G35" s="91"/>
      <c r="H35" s="92"/>
      <c r="I35" s="92"/>
      <c r="J35" s="93"/>
      <c r="K35" s="94"/>
      <c r="L35" s="94"/>
    </row>
    <row r="36" spans="1:12">
      <c r="B36" s="20"/>
      <c r="C36" s="20"/>
      <c r="D36" s="20"/>
      <c r="E36" s="20"/>
      <c r="F36" s="95"/>
      <c r="G36" s="95"/>
      <c r="H36" s="94"/>
      <c r="I36" s="94"/>
      <c r="J36" s="94"/>
      <c r="K36" s="94"/>
      <c r="L36" s="94"/>
    </row>
    <row r="37" spans="1:12">
      <c r="B37" s="20"/>
      <c r="C37" s="20"/>
      <c r="D37" s="20"/>
      <c r="E37" s="20"/>
      <c r="F37" s="95"/>
      <c r="G37" s="95"/>
      <c r="H37" s="94"/>
      <c r="I37" s="94"/>
      <c r="J37" s="94"/>
      <c r="K37" s="94"/>
      <c r="L37" s="94"/>
    </row>
    <row r="38" spans="1:12">
      <c r="B38" s="95"/>
      <c r="C38" s="95"/>
      <c r="D38" s="95"/>
      <c r="E38" s="95"/>
      <c r="F38" s="95"/>
      <c r="G38" s="95"/>
      <c r="H38" s="94"/>
      <c r="I38" s="94"/>
      <c r="J38" s="94"/>
      <c r="K38" s="94"/>
      <c r="L38" s="94"/>
    </row>
    <row r="39" spans="1:12">
      <c r="B39" s="95"/>
      <c r="C39" s="95"/>
      <c r="D39" s="95"/>
      <c r="E39" s="95"/>
      <c r="F39" s="95"/>
      <c r="G39" s="95"/>
      <c r="H39" s="94"/>
      <c r="I39" s="94"/>
      <c r="J39" s="94"/>
      <c r="K39" s="94"/>
      <c r="L39" s="94"/>
    </row>
    <row r="40" spans="1:12">
      <c r="B40" s="95"/>
      <c r="C40" s="95"/>
      <c r="D40" s="95"/>
      <c r="E40" s="95"/>
      <c r="F40" s="95"/>
      <c r="G40" s="95"/>
      <c r="H40" s="94"/>
      <c r="I40" s="94"/>
      <c r="J40" s="94"/>
      <c r="K40" s="94"/>
      <c r="L40" s="94"/>
    </row>
    <row r="41" spans="1:12">
      <c r="B41" s="94"/>
      <c r="C41" s="94"/>
      <c r="D41" s="94"/>
      <c r="E41" s="94"/>
      <c r="F41" s="94"/>
      <c r="G41" s="94"/>
      <c r="H41" s="94"/>
      <c r="I41" s="94"/>
      <c r="J41" s="94"/>
      <c r="K41" s="94"/>
      <c r="L41" s="94"/>
    </row>
    <row r="42" spans="1:12"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</row>
    <row r="43" spans="1:12">
      <c r="B43" s="94"/>
      <c r="C43" s="94"/>
      <c r="D43" s="94"/>
      <c r="E43" s="94"/>
      <c r="F43" s="94"/>
      <c r="G43" s="94"/>
      <c r="H43" s="94"/>
      <c r="I43" s="94"/>
      <c r="J43" s="94"/>
      <c r="K43" s="94"/>
      <c r="L43" s="94"/>
    </row>
    <row r="44" spans="1:12">
      <c r="B44" s="94"/>
      <c r="C44" s="94"/>
      <c r="D44" s="94"/>
      <c r="E44" s="94"/>
      <c r="F44" s="94"/>
      <c r="G44" s="94"/>
      <c r="H44" s="94"/>
      <c r="I44" s="94"/>
      <c r="J44" s="94"/>
      <c r="K44" s="94"/>
      <c r="L44" s="94"/>
    </row>
    <row r="45" spans="1:12">
      <c r="B45" s="94"/>
      <c r="C45" s="94"/>
      <c r="D45" s="94"/>
      <c r="E45" s="94"/>
      <c r="F45" s="94"/>
      <c r="G45" s="94"/>
      <c r="H45" s="94"/>
      <c r="I45" s="94"/>
      <c r="J45" s="94"/>
      <c r="K45" s="94"/>
      <c r="L45" s="94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" style="7" customWidth="1"/>
    <col min="3" max="4" width="12.7109375" style="7" customWidth="1"/>
    <col min="5" max="5" width="10.42578125" style="7" customWidth="1"/>
    <col min="6" max="6" width="10" style="7" customWidth="1"/>
    <col min="7" max="7" width="8.5703125" style="7" customWidth="1"/>
    <col min="8" max="8" width="8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78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23"/>
      <c r="F11" s="123"/>
      <c r="G11" s="41">
        <v>2009</v>
      </c>
      <c r="H11" s="41">
        <v>2010</v>
      </c>
      <c r="I11" s="123"/>
      <c r="J11" s="123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29</v>
      </c>
      <c r="C13" s="23">
        <f>+C14+C15</f>
        <v>2885.3491748199885</v>
      </c>
      <c r="D13" s="23">
        <f>+D14+D15</f>
        <v>2945.0571258000468</v>
      </c>
      <c r="E13" s="25">
        <f>IF(OR(OR(D13=0,C13=0),D13=""),"",(D13/C13-1)*100)</f>
        <v>2.0693492316673723</v>
      </c>
      <c r="F13" s="23">
        <f>(D13/D$13)*100</f>
        <v>100</v>
      </c>
      <c r="G13" s="23">
        <f>+G14+G15</f>
        <v>243.16203335999964</v>
      </c>
      <c r="H13" s="23">
        <f t="shared" ref="H13" si="0">+H14+H15</f>
        <v>281.09912179000025</v>
      </c>
      <c r="I13" s="25">
        <f>IF(OR(OR(H13=0,G13=0),H13=""),"",(H13/G13-1)*100)</f>
        <v>15.601567360573521</v>
      </c>
      <c r="J13" s="23">
        <f>(H13/H$13)*100</f>
        <v>100</v>
      </c>
      <c r="K13" s="16"/>
    </row>
    <row r="14" spans="1:14">
      <c r="A14" s="14"/>
      <c r="B14" s="9" t="s">
        <v>27</v>
      </c>
      <c r="C14" s="21">
        <f>+[6]Tipo_exportacion!$C$2/1000000</f>
        <v>276.87962572000032</v>
      </c>
      <c r="D14" s="23">
        <f>+[6]Tipo_exportacion!$C$4/1000000</f>
        <v>267.74012121000067</v>
      </c>
      <c r="E14" s="22">
        <f t="shared" ref="E14:E21" si="1">IF(OR(OR(D14=0,C14=0),D14=""),"",(D14/C14-1)*100)</f>
        <v>-3.300894562477541</v>
      </c>
      <c r="F14" s="22">
        <f t="shared" ref="F14:F15" si="2">(D14/D$13)*100</f>
        <v>9.0911690257032642</v>
      </c>
      <c r="G14" s="22">
        <f>+[6]Tipo_exportacion!$D$2/1000000</f>
        <v>23.241848409999999</v>
      </c>
      <c r="H14" s="25">
        <f>+[6]Tipo_exportacion!$D$4/1000000</f>
        <v>30.091880679999996</v>
      </c>
      <c r="I14" s="22">
        <f t="shared" ref="I14:I20" si="3">IF(OR(OR(H14=0,G14=0),H14=""),"",(H14/G14-1)*100)</f>
        <v>29.472837741479772</v>
      </c>
      <c r="J14" s="22">
        <f>(H14/H$13)*100</f>
        <v>10.705078154772975</v>
      </c>
      <c r="K14" s="16"/>
    </row>
    <row r="15" spans="1:14">
      <c r="A15" s="14"/>
      <c r="B15" s="9" t="s">
        <v>28</v>
      </c>
      <c r="C15" s="21">
        <f>+[6]Tipo_exportacion!$C$3/1000000</f>
        <v>2608.4695490999884</v>
      </c>
      <c r="D15" s="23">
        <f>+[6]Tipo_exportacion!$C$5/1000000</f>
        <v>2677.3170045900461</v>
      </c>
      <c r="E15" s="22">
        <f t="shared" si="1"/>
        <v>2.6393812231318758</v>
      </c>
      <c r="F15" s="22">
        <f t="shared" si="2"/>
        <v>90.908830974296734</v>
      </c>
      <c r="G15" s="22">
        <f>+[6]Tipo_exportacion!$D$3/1000000</f>
        <v>219.92018494999965</v>
      </c>
      <c r="H15" s="25">
        <f>+[6]Tipo_exportacion!$D$5/1000000</f>
        <v>251.00724111000028</v>
      </c>
      <c r="I15" s="22">
        <f t="shared" si="3"/>
        <v>14.135608410418744</v>
      </c>
      <c r="J15" s="22">
        <f t="shared" ref="J15" si="4">(H15/H$13)*100</f>
        <v>89.294921845227037</v>
      </c>
      <c r="K15" s="16"/>
    </row>
    <row r="16" spans="1:14">
      <c r="A16" s="14" t="s">
        <v>86</v>
      </c>
      <c r="B16" s="101" t="str">
        <f>CONCATENATE(A16,[7]XX!E2)</f>
        <v xml:space="preserve">   Productos quimicos</v>
      </c>
      <c r="C16" s="21">
        <f>+[7]XX!C2/1000000</f>
        <v>540.17002281999817</v>
      </c>
      <c r="D16" s="23">
        <f>+[7]XX!G2/1000000</f>
        <v>485.09351039999945</v>
      </c>
      <c r="E16" s="22">
        <f t="shared" si="1"/>
        <v>-10.196143823840442</v>
      </c>
      <c r="F16" s="22">
        <f>(D16/D$15)*100</f>
        <v>18.11864301344762</v>
      </c>
      <c r="G16" s="21">
        <f>+[7]XX!D2/1000000</f>
        <v>44.462261259999963</v>
      </c>
      <c r="H16" s="23">
        <f>+[7]XX!H2/1000000</f>
        <v>42.492614719999892</v>
      </c>
      <c r="I16" s="22">
        <f t="shared" si="3"/>
        <v>-4.4299288524311864</v>
      </c>
      <c r="J16" s="22">
        <f>(H16/H$15)*100</f>
        <v>16.928840192852494</v>
      </c>
      <c r="K16" s="16"/>
    </row>
    <row r="17" spans="1:13">
      <c r="A17" s="14" t="s">
        <v>86</v>
      </c>
      <c r="B17" s="101" t="str">
        <f>CONCATENATE(A17,[7]XX!E3)</f>
        <v xml:space="preserve">   Agricultura</v>
      </c>
      <c r="C17" s="21">
        <f>+[7]XX!C3/1000000</f>
        <v>164.22347725000023</v>
      </c>
      <c r="D17" s="23">
        <f>+[7]XX!G3/1000000</f>
        <v>441.73218553000089</v>
      </c>
      <c r="E17" s="22">
        <f t="shared" si="1"/>
        <v>168.98236045601715</v>
      </c>
      <c r="F17" s="22">
        <f t="shared" ref="F17:F21" si="5">(D17/D$15)*100</f>
        <v>16.499061738773793</v>
      </c>
      <c r="G17" s="22">
        <f>+[7]XX!D3/1000000</f>
        <v>23.187387370000003</v>
      </c>
      <c r="H17" s="23">
        <f>+[7]XX!H3/1000000</f>
        <v>78.608446719999989</v>
      </c>
      <c r="I17" s="22">
        <f t="shared" si="3"/>
        <v>239.01381585449394</v>
      </c>
      <c r="J17" s="22">
        <f>(H17/H$15)*100</f>
        <v>31.317202791592369</v>
      </c>
      <c r="K17" s="16"/>
    </row>
    <row r="18" spans="1:13" ht="15.75" customHeight="1">
      <c r="A18" s="14" t="s">
        <v>86</v>
      </c>
      <c r="B18" s="101" t="str">
        <f>CONCATENATE(A18,[7]XX!E4)</f>
        <v xml:space="preserve">   Alimentos y bebidas</v>
      </c>
      <c r="C18" s="21">
        <f>+[7]XX!C4/1000000</f>
        <v>239.1795794300003</v>
      </c>
      <c r="D18" s="23">
        <f>+[7]XX!G4/1000000</f>
        <v>263.54581571000091</v>
      </c>
      <c r="E18" s="22">
        <f t="shared" si="1"/>
        <v>10.187423331903545</v>
      </c>
      <c r="F18" s="22">
        <f t="shared" si="5"/>
        <v>9.8436537495624403</v>
      </c>
      <c r="G18" s="22">
        <f>+[7]XX!D4/1000000</f>
        <v>21.033372180000011</v>
      </c>
      <c r="H18" s="23">
        <f>+[7]XX!H4/1000000</f>
        <v>29.928040759999995</v>
      </c>
      <c r="I18" s="22">
        <f t="shared" si="3"/>
        <v>42.288362055693817</v>
      </c>
      <c r="J18" s="22">
        <f>(H18/H$15)*100</f>
        <v>11.923178242847769</v>
      </c>
      <c r="K18" s="16"/>
    </row>
    <row r="19" spans="1:13" ht="31.5">
      <c r="A19" s="14" t="s">
        <v>86</v>
      </c>
      <c r="B19" s="101" t="str">
        <f>CONCATENATE(A19,[7]XX!E5)</f>
        <v xml:space="preserve">   Equipos de transporte</v>
      </c>
      <c r="C19" s="21">
        <f>+[7]XX!C5/1000000</f>
        <v>88.804713230000019</v>
      </c>
      <c r="D19" s="23">
        <f>+[7]XX!G5/1000000</f>
        <v>223.26231513000002</v>
      </c>
      <c r="E19" s="22">
        <f t="shared" si="1"/>
        <v>151.40818207673408</v>
      </c>
      <c r="F19" s="22">
        <f t="shared" si="5"/>
        <v>8.3390317525804605</v>
      </c>
      <c r="G19" s="22">
        <f>+[7]XX!D5/1000000</f>
        <v>14.411545030000003</v>
      </c>
      <c r="H19" s="23">
        <f>+[7]XX!H5/1000000</f>
        <v>0.80169714999999997</v>
      </c>
      <c r="I19" s="22">
        <f t="shared" si="3"/>
        <v>-94.437118655001001</v>
      </c>
      <c r="J19" s="22">
        <f>(H19/H$15)*100</f>
        <v>0.31939204082509626</v>
      </c>
      <c r="K19" s="16"/>
    </row>
    <row r="20" spans="1:13">
      <c r="A20" s="14" t="s">
        <v>86</v>
      </c>
      <c r="B20" s="101" t="str">
        <f>CONCATENATE(A20,[7]XX!E6)</f>
        <v xml:space="preserve">   Textiles</v>
      </c>
      <c r="C20" s="21">
        <f>+[7]XX!C6/1000000</f>
        <v>276.71608751000167</v>
      </c>
      <c r="D20" s="23">
        <f>+[7]XX!G6/1000000</f>
        <v>178.86677078999867</v>
      </c>
      <c r="E20" s="22">
        <f t="shared" si="1"/>
        <v>-35.360906407895897</v>
      </c>
      <c r="F20" s="22">
        <f t="shared" si="5"/>
        <v>6.6808215270491269</v>
      </c>
      <c r="G20" s="22">
        <f>+[7]XX!D6/1000000</f>
        <v>13.770143540000022</v>
      </c>
      <c r="H20" s="23">
        <f>+[7]XX!H6/1000000</f>
        <v>16.759985760000003</v>
      </c>
      <c r="I20" s="22">
        <f t="shared" si="3"/>
        <v>21.712498575740891</v>
      </c>
      <c r="J20" s="22">
        <f t="shared" ref="J20:J21" si="6">(H20/H$15)*100</f>
        <v>6.6770925356114255</v>
      </c>
      <c r="K20" s="16"/>
    </row>
    <row r="21" spans="1:13">
      <c r="A21" s="14" t="s">
        <v>86</v>
      </c>
      <c r="B21" s="9" t="s">
        <v>87</v>
      </c>
      <c r="C21" s="21">
        <f>+C15-C16-C17-C18-C19-C20</f>
        <v>1299.3756688599881</v>
      </c>
      <c r="D21" s="23">
        <f>+D15-D16-D17-D18-D19-D20</f>
        <v>1084.8164070300463</v>
      </c>
      <c r="E21" s="22">
        <f t="shared" si="1"/>
        <v>-16.512488803040782</v>
      </c>
      <c r="F21" s="22">
        <f t="shared" si="5"/>
        <v>40.518788218586565</v>
      </c>
      <c r="G21" s="21">
        <f t="shared" ref="G21" si="7">+G15-G16-G17-G18-G19-G20</f>
        <v>103.05547556999964</v>
      </c>
      <c r="H21" s="23">
        <f>+H15-H16-H17-H18-H19-H20</f>
        <v>82.416456000000409</v>
      </c>
      <c r="I21" s="22">
        <f t="shared" ref="I21" si="8">IF(OR(OR(H21=0,G21=0),H21=""),"",(H21/G21-1)*100)</f>
        <v>-20.027096528199838</v>
      </c>
      <c r="J21" s="22">
        <f t="shared" si="6"/>
        <v>32.834294196270854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tr">
        <f>IF(F22="","",1)</f>
        <v/>
      </c>
    </row>
    <row r="23" spans="1:13">
      <c r="A23" s="14"/>
      <c r="B23" s="10" t="s">
        <v>29</v>
      </c>
      <c r="C23" s="23">
        <f>+C13</f>
        <v>2885.3491748199885</v>
      </c>
      <c r="D23" s="23">
        <f>+D13</f>
        <v>2945.0571258000468</v>
      </c>
      <c r="E23" s="25">
        <f>IF(OR(OR(D23=0,C23=0),D23=""),"",(D23/C23-1)*100)</f>
        <v>2.0693492316673723</v>
      </c>
      <c r="F23" s="23">
        <f>(D23/D$23)*100</f>
        <v>100</v>
      </c>
      <c r="G23" s="25">
        <f t="shared" ref="G23:H23" si="9">+G13</f>
        <v>243.16203335999964</v>
      </c>
      <c r="H23" s="25">
        <f t="shared" si="9"/>
        <v>281.09912179000025</v>
      </c>
      <c r="I23" s="25">
        <f>IF(OR(OR(H23=0,G23=0),H23=""),"",(H23/G23-1)*100)</f>
        <v>15.601567360573521</v>
      </c>
      <c r="J23" s="23">
        <f>(H23/H$23)*100</f>
        <v>100</v>
      </c>
      <c r="K23" s="16"/>
    </row>
    <row r="24" spans="1:13">
      <c r="A24" s="14"/>
      <c r="B24" s="9" t="s">
        <v>48</v>
      </c>
      <c r="C24" s="21">
        <f>+[6]Tek!D2/1000000</f>
        <v>438.52329828999683</v>
      </c>
      <c r="D24" s="23">
        <f>+[6]Tek!$D$8/1000000</f>
        <v>664.17796263999287</v>
      </c>
      <c r="E24" s="22">
        <f t="shared" ref="E24:E30" si="10">IF(OR(OR(D24=0,C24=0),D24=""),"",(D24/C24-1)*100)</f>
        <v>51.457850752725555</v>
      </c>
      <c r="F24" s="22">
        <f>(D24/D$23)*100</f>
        <v>22.552294718546893</v>
      </c>
      <c r="G24" s="22">
        <f>+[6]Tek!E2/1000000</f>
        <v>44.622080470000014</v>
      </c>
      <c r="H24" s="25">
        <f>+[6]Tek!$E$8/1000000</f>
        <v>106.15144891</v>
      </c>
      <c r="I24" s="22">
        <f t="shared" ref="I24:I30" si="11">IF(OR(OR(H24=0,G24=0),H24=""),"",(H24/G24-1)*100)</f>
        <v>137.88995894390661</v>
      </c>
      <c r="J24" s="22">
        <f>(H24/H$23)*100</f>
        <v>37.76299557040317</v>
      </c>
      <c r="K24" s="16"/>
    </row>
    <row r="25" spans="1:13">
      <c r="A25" s="14"/>
      <c r="B25" s="9" t="s">
        <v>49</v>
      </c>
      <c r="C25" s="21">
        <f>SUM(C26:C29)</f>
        <v>2325.0066712999833</v>
      </c>
      <c r="D25" s="23">
        <f>SUM(D26:D29)</f>
        <v>2176.8572570699962</v>
      </c>
      <c r="E25" s="22">
        <f t="shared" si="10"/>
        <v>-6.371999532678851</v>
      </c>
      <c r="F25" s="22">
        <f t="shared" ref="F25:F30" si="12">(D25/D$23)*100</f>
        <v>73.915620787105667</v>
      </c>
      <c r="G25" s="22">
        <f t="shared" ref="G25:H25" si="13">SUM(G26:G29)</f>
        <v>189.43113292000007</v>
      </c>
      <c r="H25" s="25">
        <f t="shared" si="13"/>
        <v>168.21963185000027</v>
      </c>
      <c r="I25" s="22">
        <f t="shared" si="11"/>
        <v>-11.197473584744788</v>
      </c>
      <c r="J25" s="22">
        <f>(H25/H$23)*100</f>
        <v>59.843528068960502</v>
      </c>
      <c r="K25" s="16"/>
    </row>
    <row r="26" spans="1:13">
      <c r="A26" s="14"/>
      <c r="B26" s="9" t="s">
        <v>81</v>
      </c>
      <c r="C26" s="21">
        <f>+[6]Tek!D3/1000000</f>
        <v>363.55766351999864</v>
      </c>
      <c r="D26" s="23">
        <f>+[6]Tek!D9/1000000</f>
        <v>340.10272580000151</v>
      </c>
      <c r="E26" s="22">
        <f t="shared" si="10"/>
        <v>-6.4515041418476198</v>
      </c>
      <c r="F26" s="22">
        <f t="shared" si="12"/>
        <v>11.548255645724021</v>
      </c>
      <c r="G26" s="22">
        <f>+[6]Tek!E3/1000000</f>
        <v>32.502700990000001</v>
      </c>
      <c r="H26" s="25">
        <f>+[6]Tek!E9/1000000</f>
        <v>30.79724787</v>
      </c>
      <c r="I26" s="22">
        <f t="shared" si="11"/>
        <v>-5.2471119877843808</v>
      </c>
      <c r="J26" s="22">
        <f>(H26/H$23)*100</f>
        <v>10.956009991737929</v>
      </c>
      <c r="K26" s="16"/>
    </row>
    <row r="27" spans="1:13">
      <c r="A27" s="14"/>
      <c r="B27" s="9" t="s">
        <v>82</v>
      </c>
      <c r="C27" s="21">
        <f>+[6]Tek!D4/1000000</f>
        <v>781.09335747998523</v>
      </c>
      <c r="D27" s="23">
        <f>+[6]Tek!D10/1000000</f>
        <v>682.81410770999992</v>
      </c>
      <c r="E27" s="22">
        <f t="shared" si="10"/>
        <v>-12.582266745560389</v>
      </c>
      <c r="F27" s="22">
        <f t="shared" si="12"/>
        <v>23.185088728100929</v>
      </c>
      <c r="G27" s="22">
        <f>+[6]Tek!E4/1000000</f>
        <v>61.088584490000059</v>
      </c>
      <c r="H27" s="25">
        <f>+[6]Tek!E10/1000000</f>
        <v>65.737679910000253</v>
      </c>
      <c r="I27" s="22">
        <f t="shared" si="11"/>
        <v>7.6104160193157355</v>
      </c>
      <c r="J27" s="22">
        <f t="shared" ref="J27:J30" si="14">(H27/H$23)*100</f>
        <v>23.385942827352793</v>
      </c>
      <c r="K27" s="16"/>
    </row>
    <row r="28" spans="1:13">
      <c r="A28" s="14"/>
      <c r="B28" s="9" t="s">
        <v>83</v>
      </c>
      <c r="C28" s="21">
        <f>+[6]Tek!D5/1000000</f>
        <v>681.58941965999941</v>
      </c>
      <c r="D28" s="23">
        <f>+[6]Tek!D11/1000000</f>
        <v>675.88548984999818</v>
      </c>
      <c r="E28" s="22">
        <f t="shared" si="10"/>
        <v>-0.8368571526310542</v>
      </c>
      <c r="F28" s="22">
        <f t="shared" si="12"/>
        <v>22.949826131687985</v>
      </c>
      <c r="G28" s="22">
        <f>+[6]Tek!E5/1000000</f>
        <v>57.841998800000006</v>
      </c>
      <c r="H28" s="25">
        <f>+[6]Tek!E11/1000000</f>
        <v>52.165011019999994</v>
      </c>
      <c r="I28" s="22">
        <f t="shared" si="11"/>
        <v>-9.8146466197153828</v>
      </c>
      <c r="J28" s="22">
        <f t="shared" si="14"/>
        <v>18.557514761277243</v>
      </c>
      <c r="K28" s="16"/>
    </row>
    <row r="29" spans="1:13">
      <c r="A29" s="14"/>
      <c r="B29" s="9" t="s">
        <v>84</v>
      </c>
      <c r="C29" s="21">
        <f>+[6]Tek!D6/1000000</f>
        <v>498.76623064000029</v>
      </c>
      <c r="D29" s="23">
        <f>+[6]Tek!D12/1000000</f>
        <v>478.05493370999653</v>
      </c>
      <c r="E29" s="22">
        <f t="shared" si="10"/>
        <v>-4.1525058549829463</v>
      </c>
      <c r="F29" s="22">
        <f t="shared" si="12"/>
        <v>16.232450281592733</v>
      </c>
      <c r="G29" s="22">
        <f>+[6]Tek!E6/1000000</f>
        <v>37.997848640000001</v>
      </c>
      <c r="H29" s="25">
        <f>+[6]Tek!E12/1000000</f>
        <v>19.519693049999997</v>
      </c>
      <c r="I29" s="22">
        <f t="shared" si="11"/>
        <v>-48.629478381963473</v>
      </c>
      <c r="J29" s="22">
        <f t="shared" si="14"/>
        <v>6.9440604885925277</v>
      </c>
      <c r="K29" s="16"/>
    </row>
    <row r="30" spans="1:13">
      <c r="A30" s="14"/>
      <c r="B30" s="9" t="s">
        <v>85</v>
      </c>
      <c r="C30" s="21">
        <f>+[6]Tek!D7/1000000</f>
        <v>121.81920522999981</v>
      </c>
      <c r="D30" s="23">
        <f>+[6]Tek!D13/1000000</f>
        <v>104.02190609000007</v>
      </c>
      <c r="E30" s="22">
        <f t="shared" si="10"/>
        <v>-14.609600437301884</v>
      </c>
      <c r="F30" s="22">
        <f t="shared" si="12"/>
        <v>3.5320844943454786</v>
      </c>
      <c r="G30" s="22">
        <f>+[6]Tek!E7/1000000</f>
        <v>9.108819969999999</v>
      </c>
      <c r="H30" s="25">
        <f>+[6]Tek!E13/1000000</f>
        <v>6.7280410299999946</v>
      </c>
      <c r="I30" s="22">
        <f t="shared" si="11"/>
        <v>-26.137073164703295</v>
      </c>
      <c r="J30" s="22">
        <f t="shared" si="14"/>
        <v>2.3934763606363343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tr">
        <f>IF(F31="","",1)</f>
        <v/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26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50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51</v>
      </c>
      <c r="D44" s="88">
        <f>D24</f>
        <v>664.17796263999287</v>
      </c>
      <c r="E44" s="20"/>
      <c r="G44" s="20" t="str">
        <f>+B14</f>
        <v>Tradicionales</v>
      </c>
      <c r="H44" s="88">
        <f>+D14</f>
        <v>267.74012121000067</v>
      </c>
    </row>
    <row r="45" spans="1:11">
      <c r="B45" s="20"/>
      <c r="C45" s="20" t="s">
        <v>52</v>
      </c>
      <c r="D45" s="88">
        <f>D25</f>
        <v>2176.8572570699962</v>
      </c>
      <c r="E45" s="20"/>
      <c r="G45" s="20" t="str">
        <f>+B15</f>
        <v>No tradicionales</v>
      </c>
      <c r="H45" s="88">
        <f>+D15</f>
        <v>2677.3170045900461</v>
      </c>
    </row>
    <row r="46" spans="1:11">
      <c r="C46" s="20" t="s">
        <v>53</v>
      </c>
      <c r="D46" s="88">
        <f>D30</f>
        <v>104.02190609000007</v>
      </c>
      <c r="G46" s="20"/>
      <c r="H46" s="88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23"/>
      <c r="F11" s="123"/>
      <c r="G11" s="41">
        <v>2009</v>
      </c>
      <c r="H11" s="41">
        <v>2010</v>
      </c>
      <c r="I11" s="123"/>
      <c r="J11" s="123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29</v>
      </c>
      <c r="C13" s="23">
        <f>+'Resumen exportaciones totales'!C13</f>
        <v>2885.3491748199885</v>
      </c>
      <c r="D13" s="23">
        <f>+'Resumen exportaciones totales'!D13</f>
        <v>2945.0571258000468</v>
      </c>
      <c r="E13" s="25">
        <f>IF(OR(OR(D13=0,C13=0),D13=""),"",(D13/C13-1)*100)</f>
        <v>2.0693492316673723</v>
      </c>
      <c r="F13" s="25">
        <f>(D13/D$13)*100</f>
        <v>100</v>
      </c>
      <c r="G13" s="23">
        <f>+'Resumen exportaciones totales'!G13</f>
        <v>243.16203335999964</v>
      </c>
      <c r="H13" s="23">
        <f>+'Resumen exportaciones totales'!H13</f>
        <v>281.09912179000025</v>
      </c>
      <c r="I13" s="25">
        <f>IF(OR(OR(H13=0,G13=0),H13=""),"",(H13/G13-1)*100)</f>
        <v>15.601567360573521</v>
      </c>
      <c r="J13" s="25">
        <f>(H13/H$13)*100</f>
        <v>100</v>
      </c>
      <c r="K13" s="16"/>
    </row>
    <row r="14" spans="1:14">
      <c r="A14" s="14"/>
      <c r="B14" s="9" t="s">
        <v>30</v>
      </c>
      <c r="C14" s="21">
        <f>+C13-[8]resumen_venezuela1!B8/1000000</f>
        <v>2063.8820558199886</v>
      </c>
      <c r="D14" s="23">
        <f>+D13-[8]resumen_venezuela1!C8/1000000</f>
        <v>2599.676512800047</v>
      </c>
      <c r="E14" s="22">
        <f t="shared" ref="E14:E35" si="0">IF(OR(OR(D14=0,C14=0),D14=""),"",(D14/C14-1)*100)</f>
        <v>25.960517243180604</v>
      </c>
      <c r="F14" s="22">
        <f t="shared" ref="F14:F34" si="1">(D14/D$13)*100</f>
        <v>88.272532645485626</v>
      </c>
      <c r="G14" s="21">
        <f>+G13-[8]resumen_venezuela1!D8/1000000</f>
        <v>205.74974735999965</v>
      </c>
      <c r="H14" s="23">
        <f>+H13-[8]resumen_venezuela1!E8/1000000</f>
        <v>252.34155379000026</v>
      </c>
      <c r="I14" s="22">
        <f t="shared" ref="I14:I35" si="2">IF(OR(OR(H14=0,G14=0),H14=""),"",(H14/G14-1)*100)</f>
        <v>22.644891198082039</v>
      </c>
      <c r="J14" s="22">
        <f t="shared" ref="J14:J35" si="3">(H14/H$13)*100</f>
        <v>89.769598774668609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31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tr">
        <f>+[9]XX!A2</f>
        <v>Venezuela</v>
      </c>
      <c r="C17" s="21">
        <f>[9]XX!B2/1000000</f>
        <v>821.46711945000311</v>
      </c>
      <c r="D17" s="23">
        <f>[9]XX!D2/1000000</f>
        <v>345.38061275999792</v>
      </c>
      <c r="E17" s="22">
        <f t="shared" si="0"/>
        <v>-57.955637592501496</v>
      </c>
      <c r="F17" s="22">
        <f t="shared" si="1"/>
        <v>11.727467346365062</v>
      </c>
      <c r="G17" s="21">
        <f>[9]XX!C2/1000000</f>
        <v>37.412285840000017</v>
      </c>
      <c r="H17" s="23">
        <f>[9]XX!E2/1000000</f>
        <v>28.757568089999992</v>
      </c>
      <c r="I17" s="22">
        <f t="shared" si="2"/>
        <v>-23.133357280048038</v>
      </c>
      <c r="J17" s="22">
        <f t="shared" si="3"/>
        <v>10.230401257348575</v>
      </c>
      <c r="K17" s="16"/>
    </row>
    <row r="18" spans="1:11">
      <c r="A18" s="14"/>
      <c r="B18" s="9" t="str">
        <f>+[9]XX!A3</f>
        <v>Suiza</v>
      </c>
      <c r="C18" s="21">
        <f>[9]XX!B3/1000000</f>
        <v>125.06452679999998</v>
      </c>
      <c r="D18" s="23">
        <f>[9]XX!D3/1000000</f>
        <v>95.235552229999925</v>
      </c>
      <c r="E18" s="22">
        <f t="shared" si="0"/>
        <v>-23.850867494746765</v>
      </c>
      <c r="F18" s="22">
        <f t="shared" si="1"/>
        <v>3.2337421028506697</v>
      </c>
      <c r="G18" s="21">
        <f>[9]XX!C3/1000000</f>
        <v>16.581730719999999</v>
      </c>
      <c r="H18" s="23">
        <f>[9]XX!E3/1000000</f>
        <v>8.0230375500000015</v>
      </c>
      <c r="I18" s="22">
        <f t="shared" ref="I18:I34" si="4">IF(OR(OR(H18=0,G18=0),H18=""),"",(H18/G18-1)*100)</f>
        <v>-51.615198163102228</v>
      </c>
      <c r="J18" s="22">
        <f t="shared" ref="J18:J34" si="5">(H18/H$13)*100</f>
        <v>2.8541667077827957</v>
      </c>
      <c r="K18" s="16"/>
    </row>
    <row r="19" spans="1:11">
      <c r="A19" s="14"/>
      <c r="B19" s="9" t="str">
        <f>+[9]XX!A4</f>
        <v>Costa Rica</v>
      </c>
      <c r="C19" s="21">
        <f>[9]XX!B4/1000000</f>
        <v>52.003638190000167</v>
      </c>
      <c r="D19" s="23">
        <f>[9]XX!D4/1000000</f>
        <v>40.142317589999962</v>
      </c>
      <c r="E19" s="22">
        <f t="shared" si="0"/>
        <v>-22.808636112465365</v>
      </c>
      <c r="F19" s="22">
        <f t="shared" si="1"/>
        <v>1.3630403715545925</v>
      </c>
      <c r="G19" s="21">
        <f>[9]XX!C4/1000000</f>
        <v>4.6889398100000026</v>
      </c>
      <c r="H19" s="23">
        <f>[9]XX!E4/1000000</f>
        <v>4.2359557400000023</v>
      </c>
      <c r="I19" s="22">
        <f t="shared" si="4"/>
        <v>-9.6606927867559875</v>
      </c>
      <c r="J19" s="22">
        <f t="shared" si="5"/>
        <v>1.5069259957220866</v>
      </c>
      <c r="K19" s="16"/>
    </row>
    <row r="20" spans="1:11">
      <c r="A20" s="14"/>
      <c r="B20" s="9" t="str">
        <f>+[9]XX!A5</f>
        <v>Perú</v>
      </c>
      <c r="C20" s="21">
        <f>[9]XX!B5/1000000</f>
        <v>157.68868809000062</v>
      </c>
      <c r="D20" s="23">
        <f>[9]XX!D5/1000000</f>
        <v>146.21863834999985</v>
      </c>
      <c r="E20" s="22">
        <f t="shared" si="0"/>
        <v>-7.2738570400524001</v>
      </c>
      <c r="F20" s="22">
        <f t="shared" si="1"/>
        <v>4.9648829243092685</v>
      </c>
      <c r="G20" s="21">
        <f>[9]XX!C5/1000000</f>
        <v>17.06271636000001</v>
      </c>
      <c r="H20" s="23">
        <f>[9]XX!E5/1000000</f>
        <v>11.282804739999994</v>
      </c>
      <c r="I20" s="22">
        <f t="shared" si="4"/>
        <v>-33.874510353754793</v>
      </c>
      <c r="J20" s="22">
        <f t="shared" si="5"/>
        <v>4.0138171432741077</v>
      </c>
      <c r="K20" s="16"/>
    </row>
    <row r="21" spans="1:11">
      <c r="A21" s="14"/>
      <c r="B21" s="9" t="str">
        <f>+[9]XX!A6</f>
        <v>Bolivia</v>
      </c>
      <c r="C21" s="21">
        <f>[9]XX!B6/1000000</f>
        <v>24.068660850000025</v>
      </c>
      <c r="D21" s="23">
        <f>[9]XX!D6/1000000</f>
        <v>13.552935770000005</v>
      </c>
      <c r="E21" s="22">
        <f t="shared" si="0"/>
        <v>-43.690528299583441</v>
      </c>
      <c r="F21" s="22">
        <f t="shared" si="1"/>
        <v>0.46019262754769991</v>
      </c>
      <c r="G21" s="21">
        <f>[9]XX!C6/1000000</f>
        <v>1.0608565899999998</v>
      </c>
      <c r="H21" s="23">
        <f>[9]XX!E6/1000000</f>
        <v>1.1132567099999999</v>
      </c>
      <c r="I21" s="22">
        <f t="shared" si="4"/>
        <v>4.9394159864718512</v>
      </c>
      <c r="J21" s="22">
        <f t="shared" si="5"/>
        <v>0.39603706440309572</v>
      </c>
      <c r="K21" s="16"/>
    </row>
    <row r="22" spans="1:11">
      <c r="A22" s="14"/>
      <c r="B22" s="9" t="str">
        <f>+[9]XX!A7</f>
        <v>Alemania</v>
      </c>
      <c r="C22" s="21">
        <f>[9]XX!B7/1000000</f>
        <v>25.551284919999997</v>
      </c>
      <c r="D22" s="23">
        <f>[9]XX!D7/1000000</f>
        <v>19.974581399999991</v>
      </c>
      <c r="E22" s="22">
        <f t="shared" si="0"/>
        <v>-21.825530643411597</v>
      </c>
      <c r="F22" s="22">
        <f t="shared" si="1"/>
        <v>0.67824088113651604</v>
      </c>
      <c r="G22" s="21">
        <f>[9]XX!C7/1000000</f>
        <v>1.9519229099999995</v>
      </c>
      <c r="H22" s="23">
        <f>[9]XX!E7/1000000</f>
        <v>0.98743044999999963</v>
      </c>
      <c r="I22" s="22">
        <f t="shared" si="4"/>
        <v>-49.412425821673466</v>
      </c>
      <c r="J22" s="22">
        <f t="shared" si="5"/>
        <v>0.35127482566013701</v>
      </c>
      <c r="K22" s="16"/>
    </row>
    <row r="23" spans="1:11">
      <c r="A23" s="14"/>
      <c r="B23" s="9" t="str">
        <f>+[9]XX!A8</f>
        <v>Portugal</v>
      </c>
      <c r="C23" s="21">
        <f>[9]XX!B8/1000000</f>
        <v>5.1570356400000019</v>
      </c>
      <c r="D23" s="23">
        <f>[9]XX!D8/1000000</f>
        <v>2.4000797600000006</v>
      </c>
      <c r="E23" s="22">
        <f t="shared" si="0"/>
        <v>-53.460089719294636</v>
      </c>
      <c r="F23" s="22">
        <f t="shared" si="1"/>
        <v>8.1495185236788947E-2</v>
      </c>
      <c r="G23" s="21">
        <f>[9]XX!C8/1000000</f>
        <v>0.25090912000000004</v>
      </c>
      <c r="H23" s="23">
        <f>[9]XX!E8/1000000</f>
        <v>0.18153698999999998</v>
      </c>
      <c r="I23" s="22">
        <f t="shared" si="4"/>
        <v>-27.648309475558342</v>
      </c>
      <c r="J23" s="22">
        <f t="shared" si="5"/>
        <v>6.4581130258962602E-2</v>
      </c>
      <c r="K23" s="16"/>
    </row>
    <row r="24" spans="1:11">
      <c r="A24" s="14"/>
      <c r="B24" s="9" t="str">
        <f>+[9]XX!A9</f>
        <v>Puerto Rico</v>
      </c>
      <c r="C24" s="21">
        <f>[9]XX!B9/1000000</f>
        <v>24.189142140000008</v>
      </c>
      <c r="D24" s="23">
        <f>[9]XX!D9/1000000</f>
        <v>21.659169729999956</v>
      </c>
      <c r="E24" s="22">
        <f t="shared" si="0"/>
        <v>-10.45912416139968</v>
      </c>
      <c r="F24" s="22">
        <f t="shared" si="1"/>
        <v>0.73544141267263463</v>
      </c>
      <c r="G24" s="21">
        <f>[9]XX!C9/1000000</f>
        <v>1.7918654099999995</v>
      </c>
      <c r="H24" s="23">
        <f>[9]XX!E9/1000000</f>
        <v>1.6732753699999996</v>
      </c>
      <c r="I24" s="22">
        <f t="shared" si="4"/>
        <v>-6.6182448379312087</v>
      </c>
      <c r="J24" s="22">
        <f t="shared" si="5"/>
        <v>0.59526168539581836</v>
      </c>
      <c r="K24" s="16"/>
    </row>
    <row r="25" spans="1:11">
      <c r="A25" s="14"/>
      <c r="B25" s="9" t="str">
        <f>+[9]XX!A10</f>
        <v>España</v>
      </c>
      <c r="C25" s="21">
        <f>[9]XX!B10/1000000</f>
        <v>38.71133539999996</v>
      </c>
      <c r="D25" s="23">
        <f>[9]XX!D10/1000000</f>
        <v>38.195223609999928</v>
      </c>
      <c r="E25" s="22">
        <f t="shared" si="0"/>
        <v>-1.3332316869648309</v>
      </c>
      <c r="F25" s="22">
        <f t="shared" si="1"/>
        <v>1.2969264085029899</v>
      </c>
      <c r="G25" s="21">
        <f>[9]XX!C10/1000000</f>
        <v>4.4763109899999982</v>
      </c>
      <c r="H25" s="23">
        <f>[9]XX!E10/1000000</f>
        <v>3.9431415000000034</v>
      </c>
      <c r="I25" s="22">
        <f t="shared" si="4"/>
        <v>-11.910912606185908</v>
      </c>
      <c r="J25" s="22">
        <f t="shared" si="5"/>
        <v>1.4027583846191425</v>
      </c>
      <c r="K25" s="16"/>
    </row>
    <row r="26" spans="1:11">
      <c r="A26" s="14"/>
      <c r="B26" s="9" t="str">
        <f>+[9]XX!A11</f>
        <v>Bulgaria</v>
      </c>
      <c r="C26" s="21">
        <f>[9]XX!B11/1000000</f>
        <v>0.28060808999999998</v>
      </c>
      <c r="D26" s="23">
        <f>[9]XX!D11/1000000</f>
        <v>1.8714499999999998E-2</v>
      </c>
      <c r="E26" s="22">
        <f t="shared" si="0"/>
        <v>-93.330733978482229</v>
      </c>
      <c r="F26" s="22">
        <f t="shared" si="1"/>
        <v>6.3545456677401686E-4</v>
      </c>
      <c r="G26" s="21">
        <f>[9]XX!C11/1000000</f>
        <v>1.22525E-2</v>
      </c>
      <c r="H26" s="23">
        <f>[9]XX!E11/1000000</f>
        <v>3.3576000000000001E-3</v>
      </c>
      <c r="I26" s="22">
        <f t="shared" si="4"/>
        <v>-72.596612936135486</v>
      </c>
      <c r="J26" s="22">
        <f t="shared" si="5"/>
        <v>1.1944541052349323E-3</v>
      </c>
      <c r="K26" s="16"/>
    </row>
    <row r="27" spans="1:11">
      <c r="A27" s="14"/>
      <c r="B27" s="9" t="str">
        <f>+[9]XX!A12</f>
        <v>Dinamarca</v>
      </c>
      <c r="C27" s="21">
        <f>[9]XX!B12/1000000</f>
        <v>0.61582457999999995</v>
      </c>
      <c r="D27" s="23">
        <f>[9]XX!D12/1000000</f>
        <v>0.39162709000000007</v>
      </c>
      <c r="E27" s="22">
        <f t="shared" si="0"/>
        <v>-36.406063882672548</v>
      </c>
      <c r="F27" s="22">
        <f t="shared" si="1"/>
        <v>1.3297775671961255E-2</v>
      </c>
      <c r="G27" s="21">
        <f>[9]XX!C12/1000000</f>
        <v>1.88071E-2</v>
      </c>
      <c r="H27" s="23">
        <f>[9]XX!E12/1000000</f>
        <v>2.3304499999999999E-2</v>
      </c>
      <c r="I27" s="22">
        <f t="shared" si="4"/>
        <v>23.913309335304223</v>
      </c>
      <c r="J27" s="22">
        <f t="shared" si="5"/>
        <v>8.2904919274027506E-3</v>
      </c>
      <c r="K27" s="16"/>
    </row>
    <row r="28" spans="1:11">
      <c r="A28" s="14"/>
      <c r="B28" s="9" t="str">
        <f>+[9]XX!A13</f>
        <v>Rumania</v>
      </c>
      <c r="C28" s="21">
        <f>[9]XX!B13/1000000</f>
        <v>0.15006051000000001</v>
      </c>
      <c r="D28" s="23">
        <f>[9]XX!D13/1000000</f>
        <v>6.7865190000000006E-2</v>
      </c>
      <c r="E28" s="22">
        <f t="shared" si="0"/>
        <v>-54.774783852194034</v>
      </c>
      <c r="F28" s="22">
        <f t="shared" si="1"/>
        <v>2.3043760138120894E-3</v>
      </c>
      <c r="G28" s="21">
        <f>[9]XX!C13/1000000</f>
        <v>2.4066509999999999E-2</v>
      </c>
      <c r="H28" s="23">
        <f>[9]XX!E13/1000000</f>
        <v>7.6863000000000001E-3</v>
      </c>
      <c r="I28" s="22">
        <f t="shared" si="4"/>
        <v>-68.06225746898906</v>
      </c>
      <c r="J28" s="22">
        <f t="shared" si="5"/>
        <v>2.7343735373681378E-3</v>
      </c>
      <c r="K28" s="16"/>
    </row>
    <row r="29" spans="1:11">
      <c r="A29" s="14"/>
      <c r="B29" s="9" t="str">
        <f>+[9]XX!A14</f>
        <v>Malta</v>
      </c>
      <c r="C29" s="21">
        <f>[9]XX!B14/1000000</f>
        <v>4.4388900000000002E-2</v>
      </c>
      <c r="D29" s="23">
        <f>[9]XX!D14/1000000</f>
        <v>0</v>
      </c>
      <c r="E29" s="22" t="str">
        <f t="shared" si="0"/>
        <v/>
      </c>
      <c r="F29" s="22">
        <f t="shared" si="1"/>
        <v>0</v>
      </c>
      <c r="G29" s="21">
        <f>[9]XX!C14/1000000</f>
        <v>1.8228000000000001E-2</v>
      </c>
      <c r="H29" s="23">
        <f>[9]XX!E14/1000000</f>
        <v>0</v>
      </c>
      <c r="I29" s="22" t="str">
        <f t="shared" si="4"/>
        <v/>
      </c>
      <c r="J29" s="22">
        <f t="shared" si="5"/>
        <v>0</v>
      </c>
      <c r="K29" s="16"/>
    </row>
    <row r="30" spans="1:11">
      <c r="A30" s="14"/>
      <c r="B30" s="9" t="str">
        <f>+[9]XX!A15</f>
        <v>Luxemburgo</v>
      </c>
      <c r="C30" s="21">
        <f>[9]XX!B15/1000000</f>
        <v>3.2184850000000001E-2</v>
      </c>
      <c r="D30" s="23">
        <f>[9]XX!D15/1000000</f>
        <v>0</v>
      </c>
      <c r="E30" s="22" t="str">
        <f t="shared" si="0"/>
        <v/>
      </c>
      <c r="F30" s="22">
        <f t="shared" si="1"/>
        <v>0</v>
      </c>
      <c r="G30" s="21">
        <f>[9]XX!C15/1000000</f>
        <v>0</v>
      </c>
      <c r="H30" s="23">
        <f>[9]XX!E15/1000000</f>
        <v>0</v>
      </c>
      <c r="I30" s="22" t="str">
        <f t="shared" si="4"/>
        <v/>
      </c>
      <c r="J30" s="22">
        <f t="shared" si="5"/>
        <v>0</v>
      </c>
      <c r="K30" s="16"/>
    </row>
    <row r="31" spans="1:11">
      <c r="A31" s="14"/>
      <c r="B31" s="9" t="str">
        <f>+[9]XX!A16</f>
        <v>Letonia</v>
      </c>
      <c r="C31" s="21">
        <f>[9]XX!B16/1000000</f>
        <v>3.8930930000000002E-2</v>
      </c>
      <c r="D31" s="23">
        <f>[9]XX!D16/1000000</f>
        <v>2.133121E-2</v>
      </c>
      <c r="E31" s="22">
        <f t="shared" si="0"/>
        <v>-45.207550911319103</v>
      </c>
      <c r="F31" s="22">
        <f t="shared" si="1"/>
        <v>7.2430547486257045E-4</v>
      </c>
      <c r="G31" s="21">
        <f>[9]XX!C16/1000000</f>
        <v>0</v>
      </c>
      <c r="H31" s="23">
        <f>[9]XX!E16/1000000</f>
        <v>3.2064400000000001E-3</v>
      </c>
      <c r="I31" s="22" t="str">
        <f t="shared" si="4"/>
        <v/>
      </c>
      <c r="J31" s="22">
        <f t="shared" si="5"/>
        <v>1.1406794797443102E-3</v>
      </c>
      <c r="K31" s="16"/>
    </row>
    <row r="32" spans="1:11">
      <c r="A32" s="14"/>
      <c r="B32" s="9" t="str">
        <f>+[9]XX!A17</f>
        <v>Hungría</v>
      </c>
      <c r="C32" s="21">
        <f>[9]XX!B17/1000000</f>
        <v>0.21691766999999998</v>
      </c>
      <c r="D32" s="23">
        <f>[9]XX!D17/1000000</f>
        <v>0.20856573</v>
      </c>
      <c r="E32" s="22">
        <f t="shared" si="0"/>
        <v>-3.8502810766868234</v>
      </c>
      <c r="F32" s="22">
        <f t="shared" si="1"/>
        <v>7.0818908119937253E-3</v>
      </c>
      <c r="G32" s="21">
        <f>[9]XX!C17/1000000</f>
        <v>1.2845999999999999E-3</v>
      </c>
      <c r="H32" s="23">
        <f>[9]XX!E17/1000000</f>
        <v>5.3113450000000006E-2</v>
      </c>
      <c r="I32" s="22">
        <f t="shared" si="4"/>
        <v>4034.6294566402003</v>
      </c>
      <c r="J32" s="22">
        <f t="shared" si="5"/>
        <v>1.8894918511940171E-2</v>
      </c>
      <c r="K32" s="16"/>
    </row>
    <row r="33" spans="1:13">
      <c r="A33" s="14"/>
      <c r="B33" s="9" t="str">
        <f>+[9]XX!A18</f>
        <v>Estonia</v>
      </c>
      <c r="C33" s="21">
        <f>[9]XX!B18/1000000</f>
        <v>1.50385E-2</v>
      </c>
      <c r="D33" s="23">
        <f>[9]XX!D18/1000000</f>
        <v>1.4122049999999999E-2</v>
      </c>
      <c r="E33" s="22">
        <f t="shared" si="0"/>
        <v>-6.0940253349735745</v>
      </c>
      <c r="F33" s="22">
        <f t="shared" si="1"/>
        <v>4.7951701433172157E-4</v>
      </c>
      <c r="G33" s="21">
        <f>[9]XX!C18/1000000</f>
        <v>2.715E-3</v>
      </c>
      <c r="H33" s="23">
        <f>[9]XX!E18/1000000</f>
        <v>4.7100000000000001E-4</v>
      </c>
      <c r="I33" s="22">
        <f t="shared" si="4"/>
        <v>-82.651933701657455</v>
      </c>
      <c r="J33" s="22">
        <f t="shared" si="5"/>
        <v>1.6755655336122619E-4</v>
      </c>
      <c r="K33" s="16"/>
    </row>
    <row r="34" spans="1:13">
      <c r="A34" s="14"/>
      <c r="B34" s="9" t="str">
        <f>+[9]XX!A19</f>
        <v>Los demás</v>
      </c>
      <c r="C34" s="21">
        <f>[9]XX!B19/1000000</f>
        <v>147.98160057999951</v>
      </c>
      <c r="D34" s="23">
        <f>[9]XX!D19/1000000</f>
        <v>64.65651564999996</v>
      </c>
      <c r="E34" s="22">
        <f t="shared" si="0"/>
        <v>-56.307733261037164</v>
      </c>
      <c r="F34" s="22">
        <f t="shared" si="1"/>
        <v>2.1954248385737349</v>
      </c>
      <c r="G34" s="21">
        <f>[9]XX!C19/1000000</f>
        <v>9.1185325199999969</v>
      </c>
      <c r="H34" s="23">
        <f>[9]XX!E19/1000000</f>
        <v>4.996446469999996</v>
      </c>
      <c r="I34" s="22">
        <f t="shared" si="4"/>
        <v>-45.205585887409903</v>
      </c>
      <c r="J34" s="22">
        <f t="shared" si="5"/>
        <v>1.777467833475721</v>
      </c>
      <c r="K34" s="16"/>
    </row>
    <row r="35" spans="1:13">
      <c r="A35" s="14"/>
      <c r="B35" s="10" t="s">
        <v>33</v>
      </c>
      <c r="C35" s="23">
        <f>SUM(C17:C34)</f>
        <v>1423.2769860900034</v>
      </c>
      <c r="D35" s="23">
        <f>SUM(D17:D34)</f>
        <v>788.1378526199976</v>
      </c>
      <c r="E35" s="25">
        <f t="shared" si="0"/>
        <v>-44.625124953003471</v>
      </c>
      <c r="F35" s="25">
        <f>(D35/D$13)*100</f>
        <v>26.761377418303695</v>
      </c>
      <c r="G35" s="23">
        <f>SUM(G17:G34)</f>
        <v>94.473423980000021</v>
      </c>
      <c r="H35" s="23">
        <f>SUM(H17:H34)</f>
        <v>65.285592899999983</v>
      </c>
      <c r="I35" s="25">
        <f t="shared" si="2"/>
        <v>-30.895282345412912</v>
      </c>
      <c r="J35" s="25">
        <f t="shared" si="3"/>
        <v>23.225114502055494</v>
      </c>
      <c r="K35" s="16"/>
    </row>
    <row r="36" spans="1:13">
      <c r="A36" s="14"/>
      <c r="B36" s="9"/>
      <c r="C36" s="83"/>
      <c r="D36" s="83"/>
      <c r="E36" s="84"/>
      <c r="F36" s="84"/>
      <c r="G36" s="84"/>
      <c r="H36" s="84"/>
      <c r="I36" s="84"/>
      <c r="J36" s="84"/>
      <c r="K36" s="16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tr">
        <f>IF(F37="","",1)</f>
        <v/>
      </c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7"/>
      <c r="B44" s="39" t="s">
        <v>26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6">
        <v>2009</v>
      </c>
      <c r="D11" s="106">
        <v>2010</v>
      </c>
      <c r="E11" s="123"/>
      <c r="F11" s="123"/>
      <c r="G11" s="106">
        <v>2009</v>
      </c>
      <c r="H11" s="106">
        <v>2010</v>
      </c>
      <c r="I11" s="123"/>
      <c r="J11" s="123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29</v>
      </c>
      <c r="C13" s="23">
        <f>+'Resumen exportaciones totales'!C13</f>
        <v>2885.3491748199885</v>
      </c>
      <c r="D13" s="23">
        <f>+'Resumen exportaciones totales'!D13</f>
        <v>2945.0571258000468</v>
      </c>
      <c r="E13" s="25">
        <f>IF(OR(OR(D13=0,C13=0),D13=""),"",(D13/C13-1)*100)</f>
        <v>2.0693492316673723</v>
      </c>
      <c r="F13" s="25">
        <f>(D13/D$13)*100</f>
        <v>100</v>
      </c>
      <c r="G13" s="23">
        <f>+'Resumen exportaciones totales'!G13</f>
        <v>243.16203335999964</v>
      </c>
      <c r="H13" s="23">
        <f>+'Resumen exportaciones totales'!H13</f>
        <v>281.09912179000025</v>
      </c>
      <c r="I13" s="25">
        <f>IF(OR(OR(H13=0,G13=0),H13=""),"",(H13/G13-1)*100)</f>
        <v>15.601567360573521</v>
      </c>
      <c r="J13" s="25">
        <f>(H13/H$13)*100</f>
        <v>100</v>
      </c>
      <c r="K13" s="16"/>
    </row>
    <row r="14" spans="1:14">
      <c r="A14" s="14"/>
      <c r="B14" s="9" t="s">
        <v>30</v>
      </c>
      <c r="C14" s="21">
        <f>+'País de destino con Reducción'!C14</f>
        <v>2063.8820558199886</v>
      </c>
      <c r="D14" s="23">
        <f>+'País de destino con Reducción'!D14</f>
        <v>2599.676512800047</v>
      </c>
      <c r="E14" s="22">
        <f t="shared" ref="E14" si="0">IF(OR(OR(D14=0,C14=0),D14=""),"",(D14/C14-1)*100)</f>
        <v>25.960517243180604</v>
      </c>
      <c r="F14" s="22">
        <f t="shared" ref="F14" si="1">(D14/D$13)*100</f>
        <v>88.272532645485626</v>
      </c>
      <c r="G14" s="21">
        <f>+'País de destino con Reducción'!G14</f>
        <v>205.74974735999965</v>
      </c>
      <c r="H14" s="23">
        <f>+'País de destino con Reducción'!H14</f>
        <v>252.34155379000026</v>
      </c>
      <c r="I14" s="22">
        <f t="shared" ref="I14" si="2">IF(OR(OR(H14=0,G14=0),H14=""),"",(H14/G14-1)*100)</f>
        <v>22.644891198082039</v>
      </c>
      <c r="J14" s="22">
        <f t="shared" ref="J14" si="3">(H14/H$13)*100</f>
        <v>89.769598774668609</v>
      </c>
      <c r="K14" s="16"/>
    </row>
    <row r="15" spans="1:14">
      <c r="A15" s="14"/>
      <c r="B15" s="9"/>
      <c r="C15" s="83"/>
      <c r="D15" s="83"/>
      <c r="E15" s="84"/>
      <c r="F15" s="84"/>
      <c r="G15" s="84"/>
      <c r="H15" s="84"/>
      <c r="I15" s="84"/>
      <c r="J15" s="84"/>
      <c r="K15" s="16"/>
    </row>
    <row r="16" spans="1:14">
      <c r="A16" s="14"/>
      <c r="B16" s="10" t="s">
        <v>32</v>
      </c>
      <c r="C16" s="85"/>
      <c r="D16" s="85"/>
      <c r="E16" s="86"/>
      <c r="F16" s="86"/>
      <c r="G16" s="86"/>
      <c r="H16" s="86"/>
      <c r="I16" s="86"/>
      <c r="J16" s="86"/>
      <c r="K16" s="16"/>
    </row>
    <row r="17" spans="1:11">
      <c r="A17" s="14"/>
      <c r="B17" s="9" t="str">
        <f>[10]XX!A2</f>
        <v>Estados Unidos</v>
      </c>
      <c r="C17" s="21">
        <f>[10]XX!B2/1000000</f>
        <v>485.34466101999635</v>
      </c>
      <c r="D17" s="23">
        <f>[10]XX!D2/1000000</f>
        <v>713.28483041999743</v>
      </c>
      <c r="E17" s="22">
        <f t="shared" ref="E17:E47" si="4">IF(OR(OR(D17=0,C17=0),D17=""),"",(D17/C17-1)*100)</f>
        <v>46.964598090141529</v>
      </c>
      <c r="F17" s="22">
        <f t="shared" ref="F17:F47" si="5">(D17/D$13)*100</f>
        <v>24.2197281733959</v>
      </c>
      <c r="G17" s="21">
        <f>[10]XX!C2/1000000</f>
        <v>46.674695600000007</v>
      </c>
      <c r="H17" s="23">
        <f>[10]XX!E2/1000000</f>
        <v>96.752866699999601</v>
      </c>
      <c r="I17" s="22">
        <f t="shared" ref="I17:I43" si="6">IF(OR(OR(H17=0,G17=0),H17=""),"",(H17/G17-1)*100)</f>
        <v>107.29190722349261</v>
      </c>
      <c r="J17" s="22">
        <f t="shared" ref="J17:J47" si="7">(H17/H$13)*100</f>
        <v>34.41948380481972</v>
      </c>
      <c r="K17" s="16"/>
    </row>
    <row r="18" spans="1:11">
      <c r="A18" s="14"/>
      <c r="B18" s="9" t="str">
        <f>[10]XX!A3</f>
        <v>Ecuador</v>
      </c>
      <c r="C18" s="21">
        <f>[10]XX!B3/1000000</f>
        <v>347.47971331999742</v>
      </c>
      <c r="D18" s="23">
        <f>[10]XX!D3/1000000</f>
        <v>458.03758303000092</v>
      </c>
      <c r="E18" s="22">
        <f t="shared" si="4"/>
        <v>31.817071751808925</v>
      </c>
      <c r="F18" s="22">
        <f t="shared" si="5"/>
        <v>15.552757161054103</v>
      </c>
      <c r="G18" s="21">
        <f>[10]XX!C3/1000000</f>
        <v>31.940796870000046</v>
      </c>
      <c r="H18" s="23">
        <f>[10]XX!E3/1000000</f>
        <v>38.501287720000086</v>
      </c>
      <c r="I18" s="22">
        <f t="shared" si="6"/>
        <v>20.539534053271822</v>
      </c>
      <c r="J18" s="22">
        <f t="shared" si="7"/>
        <v>13.696694416841012</v>
      </c>
      <c r="K18" s="16"/>
    </row>
    <row r="19" spans="1:11">
      <c r="A19" s="14"/>
      <c r="B19" s="9" t="str">
        <f>[10]XX!A4</f>
        <v>Brasil</v>
      </c>
      <c r="C19" s="21">
        <f>[10]XX!B4/1000000</f>
        <v>43.861656119999893</v>
      </c>
      <c r="D19" s="23">
        <f>[10]XX!D4/1000000</f>
        <v>104.18830299999998</v>
      </c>
      <c r="E19" s="22">
        <f t="shared" si="4"/>
        <v>137.5384611902343</v>
      </c>
      <c r="F19" s="22">
        <f t="shared" si="5"/>
        <v>3.5377345344938407</v>
      </c>
      <c r="G19" s="21">
        <f>[10]XX!C4/1000000</f>
        <v>9.9482901099999985</v>
      </c>
      <c r="H19" s="23">
        <f>[10]XX!E4/1000000</f>
        <v>4.6970227099999988</v>
      </c>
      <c r="I19" s="22">
        <f t="shared" si="6"/>
        <v>-52.785627901235387</v>
      </c>
      <c r="J19" s="22">
        <f t="shared" si="7"/>
        <v>1.6709489094416263</v>
      </c>
      <c r="K19" s="16"/>
    </row>
    <row r="20" spans="1:11">
      <c r="A20" s="14"/>
      <c r="B20" s="9" t="str">
        <f>[10]XX!A5</f>
        <v>Italia</v>
      </c>
      <c r="C20" s="21">
        <f>[10]XX!B5/1000000</f>
        <v>18.340215809999989</v>
      </c>
      <c r="D20" s="23">
        <f>[10]XX!D5/1000000</f>
        <v>74.298381380000095</v>
      </c>
      <c r="E20" s="22">
        <f t="shared" si="4"/>
        <v>305.11181629329008</v>
      </c>
      <c r="F20" s="22">
        <f t="shared" si="5"/>
        <v>2.522816305636733</v>
      </c>
      <c r="G20" s="21">
        <f>[10]XX!C5/1000000</f>
        <v>0.73831521999999972</v>
      </c>
      <c r="H20" s="23">
        <f>[10]XX!E5/1000000</f>
        <v>5.5027295499999989</v>
      </c>
      <c r="I20" s="22">
        <f t="shared" si="6"/>
        <v>645.30896843762764</v>
      </c>
      <c r="J20" s="22">
        <f t="shared" si="7"/>
        <v>1.9575762154500447</v>
      </c>
      <c r="K20" s="16"/>
    </row>
    <row r="21" spans="1:11">
      <c r="A21" s="14"/>
      <c r="B21" s="9" t="str">
        <f>[10]XX!A6</f>
        <v>Bélgica</v>
      </c>
      <c r="C21" s="21">
        <f>[10]XX!B6/1000000</f>
        <v>13.578549089999997</v>
      </c>
      <c r="D21" s="23">
        <f>[10]XX!D6/1000000</f>
        <v>26.558865369999967</v>
      </c>
      <c r="E21" s="22">
        <f t="shared" si="4"/>
        <v>95.594280316439708</v>
      </c>
      <c r="F21" s="22">
        <f t="shared" si="5"/>
        <v>0.90181155188237827</v>
      </c>
      <c r="G21" s="21">
        <f>[10]XX!C6/1000000</f>
        <v>2.8063765800000002</v>
      </c>
      <c r="H21" s="23">
        <f>[10]XX!E6/1000000</f>
        <v>4.2017655399999994</v>
      </c>
      <c r="I21" s="22">
        <f t="shared" si="6"/>
        <v>49.722085408794236</v>
      </c>
      <c r="J21" s="22">
        <f t="shared" si="7"/>
        <v>1.4947629552322108</v>
      </c>
      <c r="K21" s="16"/>
    </row>
    <row r="22" spans="1:11">
      <c r="A22" s="14"/>
      <c r="B22" s="9" t="str">
        <f>[10]XX!A7</f>
        <v>Reino Unido</v>
      </c>
      <c r="C22" s="21">
        <f>[10]XX!B7/1000000</f>
        <v>16.264761579999981</v>
      </c>
      <c r="D22" s="23">
        <f>[10]XX!D7/1000000</f>
        <v>29.158180820000013</v>
      </c>
      <c r="E22" s="22">
        <f t="shared" si="4"/>
        <v>79.272107227532132</v>
      </c>
      <c r="F22" s="22">
        <f t="shared" si="5"/>
        <v>0.99007182456873311</v>
      </c>
      <c r="G22" s="21">
        <f>[10]XX!C7/1000000</f>
        <v>2.7805488799999991</v>
      </c>
      <c r="H22" s="23">
        <f>[10]XX!E7/1000000</f>
        <v>3.9424296399999976</v>
      </c>
      <c r="I22" s="22">
        <f t="shared" si="6"/>
        <v>41.786021758409042</v>
      </c>
      <c r="J22" s="22">
        <f t="shared" si="7"/>
        <v>1.4025051429884063</v>
      </c>
      <c r="K22" s="16"/>
    </row>
    <row r="23" spans="1:11">
      <c r="A23" s="14"/>
      <c r="B23" s="9" t="str">
        <f>[10]XX!A8</f>
        <v>Japón</v>
      </c>
      <c r="C23" s="21">
        <f>[10]XX!B8/1000000</f>
        <v>18.743439399999996</v>
      </c>
      <c r="D23" s="23">
        <f>[10]XX!D8/1000000</f>
        <v>28.588483650000018</v>
      </c>
      <c r="E23" s="22">
        <f t="shared" si="4"/>
        <v>52.525281192522357</v>
      </c>
      <c r="F23" s="22">
        <f t="shared" si="5"/>
        <v>0.97072764394115929</v>
      </c>
      <c r="G23" s="21">
        <f>[10]XX!C8/1000000</f>
        <v>1.7716393399999995</v>
      </c>
      <c r="H23" s="23">
        <f>[10]XX!E8/1000000</f>
        <v>3.9518445900000008</v>
      </c>
      <c r="I23" s="22">
        <f t="shared" si="6"/>
        <v>123.06146069210691</v>
      </c>
      <c r="J23" s="22">
        <f t="shared" si="7"/>
        <v>1.4058544775363231</v>
      </c>
      <c r="K23" s="16"/>
    </row>
    <row r="24" spans="1:11">
      <c r="A24" s="14"/>
      <c r="B24" s="9" t="str">
        <f>[10]XX!A9</f>
        <v>Francia</v>
      </c>
      <c r="C24" s="21">
        <f>[10]XX!B9/1000000</f>
        <v>20.249512110000019</v>
      </c>
      <c r="D24" s="23">
        <f>[10]XX!D9/1000000</f>
        <v>29.979296139999999</v>
      </c>
      <c r="E24" s="22">
        <f t="shared" si="4"/>
        <v>48.049473869521144</v>
      </c>
      <c r="F24" s="22">
        <f t="shared" si="5"/>
        <v>1.0179529584457856</v>
      </c>
      <c r="G24" s="21">
        <f>[10]XX!C9/1000000</f>
        <v>2.6260790700000003</v>
      </c>
      <c r="H24" s="23">
        <f>[10]XX!E9/1000000</f>
        <v>2.9305475899999989</v>
      </c>
      <c r="I24" s="22">
        <f t="shared" si="6"/>
        <v>11.594034752350346</v>
      </c>
      <c r="J24" s="22">
        <f t="shared" si="7"/>
        <v>1.0425317487079568</v>
      </c>
      <c r="K24" s="16"/>
    </row>
    <row r="25" spans="1:11">
      <c r="A25" s="14"/>
      <c r="B25" s="9" t="str">
        <f>[10]XX!A10</f>
        <v>China</v>
      </c>
      <c r="C25" s="21">
        <f>[10]XX!B10/1000000</f>
        <v>20.818379520000001</v>
      </c>
      <c r="D25" s="23">
        <f>[10]XX!D10/1000000</f>
        <v>28.799116229999999</v>
      </c>
      <c r="E25" s="22">
        <f t="shared" si="4"/>
        <v>38.3350524584922</v>
      </c>
      <c r="F25" s="22">
        <f t="shared" si="5"/>
        <v>0.97787971505566307</v>
      </c>
      <c r="G25" s="21">
        <f>[10]XX!C10/1000000</f>
        <v>3.0199654299999996</v>
      </c>
      <c r="H25" s="23">
        <f>[10]XX!E10/1000000</f>
        <v>2.1936843100000001</v>
      </c>
      <c r="I25" s="22">
        <f t="shared" si="6"/>
        <v>-27.36061518426056</v>
      </c>
      <c r="J25" s="22">
        <f t="shared" si="7"/>
        <v>0.78039529118089113</v>
      </c>
      <c r="K25" s="16"/>
    </row>
    <row r="26" spans="1:11">
      <c r="A26" s="14"/>
      <c r="B26" s="9" t="str">
        <f>[10]XX!A11</f>
        <v>Países Bajos</v>
      </c>
      <c r="C26" s="21">
        <f>[10]XX!B11/1000000</f>
        <v>18.519513319999984</v>
      </c>
      <c r="D26" s="23">
        <f>[10]XX!D11/1000000</f>
        <v>25.955949809999971</v>
      </c>
      <c r="E26" s="22">
        <f t="shared" si="4"/>
        <v>40.154599969800906</v>
      </c>
      <c r="F26" s="22">
        <f t="shared" si="5"/>
        <v>0.88133943422061267</v>
      </c>
      <c r="G26" s="21">
        <f>[10]XX!C11/1000000</f>
        <v>2.6836808199999997</v>
      </c>
      <c r="H26" s="23">
        <f>[10]XX!E11/1000000</f>
        <v>2.3102707000000007</v>
      </c>
      <c r="I26" s="22">
        <f t="shared" si="6"/>
        <v>-13.914103242724639</v>
      </c>
      <c r="J26" s="22">
        <f t="shared" si="7"/>
        <v>0.82187047945526015</v>
      </c>
      <c r="K26" s="16"/>
    </row>
    <row r="27" spans="1:11">
      <c r="A27" s="14"/>
      <c r="B27" s="9" t="str">
        <f>[10]XX!A12</f>
        <v>Canadá</v>
      </c>
      <c r="C27" s="21">
        <f>[10]XX!B12/1000000</f>
        <v>26.490992789999982</v>
      </c>
      <c r="D27" s="23">
        <f>[10]XX!D12/1000000</f>
        <v>31.564924819999948</v>
      </c>
      <c r="E27" s="22">
        <f t="shared" si="4"/>
        <v>19.153423468203545</v>
      </c>
      <c r="F27" s="22">
        <f t="shared" si="5"/>
        <v>1.0717932953991547</v>
      </c>
      <c r="G27" s="21">
        <f>[10]XX!C12/1000000</f>
        <v>6.0094485600000009</v>
      </c>
      <c r="H27" s="23">
        <f>[10]XX!E12/1000000</f>
        <v>2.6948135999999994</v>
      </c>
      <c r="I27" s="22">
        <f t="shared" si="6"/>
        <v>-55.157056873118506</v>
      </c>
      <c r="J27" s="22">
        <f t="shared" si="7"/>
        <v>0.95867023092772397</v>
      </c>
      <c r="K27" s="16"/>
    </row>
    <row r="28" spans="1:11">
      <c r="A28" s="14"/>
      <c r="B28" s="9" t="str">
        <f>[10]XX!A13</f>
        <v>Argentina</v>
      </c>
      <c r="C28" s="21">
        <f>[10]XX!B13/1000000</f>
        <v>15.63501829999999</v>
      </c>
      <c r="D28" s="23">
        <f>[10]XX!D13/1000000</f>
        <v>20.193748779999979</v>
      </c>
      <c r="E28" s="22">
        <f t="shared" si="4"/>
        <v>29.157180327700626</v>
      </c>
      <c r="F28" s="22">
        <f t="shared" si="5"/>
        <v>0.6856827530812053</v>
      </c>
      <c r="G28" s="21">
        <f>[10]XX!C13/1000000</f>
        <v>1.6335976900000002</v>
      </c>
      <c r="H28" s="23">
        <f>[10]XX!E13/1000000</f>
        <v>1.3114592100000002</v>
      </c>
      <c r="I28" s="22">
        <f t="shared" si="6"/>
        <v>-19.719572448709812</v>
      </c>
      <c r="J28" s="22">
        <f t="shared" si="7"/>
        <v>0.46654688981196729</v>
      </c>
      <c r="K28" s="16"/>
    </row>
    <row r="29" spans="1:11">
      <c r="A29" s="14"/>
      <c r="B29" s="9" t="str">
        <f>[10]XX!A14</f>
        <v>Finlandia</v>
      </c>
      <c r="C29" s="21">
        <f>[10]XX!B14/1000000</f>
        <v>0.64111375000000004</v>
      </c>
      <c r="D29" s="23">
        <f>[10]XX!D14/1000000</f>
        <v>4.0669368399999994</v>
      </c>
      <c r="E29" s="22">
        <f t="shared" si="4"/>
        <v>534.35495495144187</v>
      </c>
      <c r="F29" s="22">
        <f t="shared" si="5"/>
        <v>0.13809364865529342</v>
      </c>
      <c r="G29" s="21">
        <f>[10]XX!C14/1000000</f>
        <v>1.84034E-2</v>
      </c>
      <c r="H29" s="23">
        <f>[10]XX!E14/1000000</f>
        <v>0.10160967</v>
      </c>
      <c r="I29" s="22">
        <f t="shared" si="6"/>
        <v>452.12444439614421</v>
      </c>
      <c r="J29" s="22">
        <f t="shared" si="7"/>
        <v>3.6147274083591474E-2</v>
      </c>
      <c r="K29" s="16"/>
    </row>
    <row r="30" spans="1:11">
      <c r="A30" s="14"/>
      <c r="B30" s="9" t="str">
        <f>[10]XX!A15</f>
        <v>Suecia</v>
      </c>
      <c r="C30" s="21">
        <f>[10]XX!B15/1000000</f>
        <v>2.2896142200000007</v>
      </c>
      <c r="D30" s="23">
        <f>[10]XX!D15/1000000</f>
        <v>5.6081782300000045</v>
      </c>
      <c r="E30" s="22">
        <f t="shared" si="4"/>
        <v>144.93987594119687</v>
      </c>
      <c r="F30" s="22">
        <f t="shared" si="5"/>
        <v>0.19042680635529272</v>
      </c>
      <c r="G30" s="21">
        <f>[10]XX!C15/1000000</f>
        <v>0.13912229999999998</v>
      </c>
      <c r="H30" s="23">
        <f>[10]XX!E15/1000000</f>
        <v>0.65094616999999999</v>
      </c>
      <c r="I30" s="22">
        <f t="shared" si="6"/>
        <v>367.89491691842369</v>
      </c>
      <c r="J30" s="22">
        <f t="shared" si="7"/>
        <v>0.23157175513564932</v>
      </c>
      <c r="K30" s="16"/>
    </row>
    <row r="31" spans="1:11">
      <c r="A31" s="14"/>
      <c r="B31" s="9" t="str">
        <f>[10]XX!A16</f>
        <v>Uruguay</v>
      </c>
      <c r="C31" s="21">
        <f>[10]XX!B16/1000000</f>
        <v>4.2387241500000004</v>
      </c>
      <c r="D31" s="23">
        <f>[10]XX!D16/1000000</f>
        <v>7.3118758799999988</v>
      </c>
      <c r="E31" s="22">
        <f t="shared" si="4"/>
        <v>72.501810008089308</v>
      </c>
      <c r="F31" s="22">
        <f t="shared" si="5"/>
        <v>0.24827619864975192</v>
      </c>
      <c r="G31" s="21">
        <f>[10]XX!C16/1000000</f>
        <v>1.4040072100000001</v>
      </c>
      <c r="H31" s="23">
        <f>[10]XX!E16/1000000</f>
        <v>3.70763511</v>
      </c>
      <c r="I31" s="22">
        <f t="shared" si="6"/>
        <v>164.07521867355652</v>
      </c>
      <c r="J31" s="22">
        <f t="shared" si="7"/>
        <v>1.3189778347190464</v>
      </c>
      <c r="K31" s="16"/>
    </row>
    <row r="32" spans="1:11">
      <c r="A32" s="14"/>
      <c r="B32" s="9" t="str">
        <f>[10]XX!A17</f>
        <v>Eslovenia</v>
      </c>
      <c r="C32" s="21">
        <f>[10]XX!B17/1000000</f>
        <v>9.5782999999999997E-3</v>
      </c>
      <c r="D32" s="23">
        <f>[10]XX!D17/1000000</f>
        <v>2.4978318700000002</v>
      </c>
      <c r="E32" s="22">
        <f t="shared" si="4"/>
        <v>25978.029190983791</v>
      </c>
      <c r="F32" s="22">
        <f t="shared" si="5"/>
        <v>8.4814377558854501E-2</v>
      </c>
      <c r="G32" s="21">
        <f>[10]XX!C17/1000000</f>
        <v>0</v>
      </c>
      <c r="H32" s="23">
        <f>[10]XX!E17/1000000</f>
        <v>7.7661000000000006E-3</v>
      </c>
      <c r="I32" s="22" t="str">
        <f t="shared" si="6"/>
        <v/>
      </c>
      <c r="J32" s="22">
        <f t="shared" si="7"/>
        <v>2.7627620999121421E-3</v>
      </c>
      <c r="K32" s="16"/>
    </row>
    <row r="33" spans="1:13">
      <c r="A33" s="14"/>
      <c r="B33" s="9" t="str">
        <f>[10]XX!A18</f>
        <v>Cuba</v>
      </c>
      <c r="C33" s="21">
        <f>[10]XX!B18/1000000</f>
        <v>7.373754169999998</v>
      </c>
      <c r="D33" s="23">
        <f>[10]XX!D18/1000000</f>
        <v>9.7244870500000076</v>
      </c>
      <c r="E33" s="22">
        <f t="shared" si="4"/>
        <v>31.879729454013116</v>
      </c>
      <c r="F33" s="22">
        <f t="shared" si="5"/>
        <v>0.33019689040355299</v>
      </c>
      <c r="G33" s="21">
        <f>[10]XX!C18/1000000</f>
        <v>0.81870500999999996</v>
      </c>
      <c r="H33" s="23">
        <f>[10]XX!E18/1000000</f>
        <v>1.1743462299999998</v>
      </c>
      <c r="I33" s="22">
        <f t="shared" si="6"/>
        <v>43.439482555505535</v>
      </c>
      <c r="J33" s="22">
        <f t="shared" si="7"/>
        <v>0.41776944108609293</v>
      </c>
      <c r="K33" s="16"/>
    </row>
    <row r="34" spans="1:13">
      <c r="A34" s="14"/>
      <c r="B34" s="9" t="str">
        <f>[10]XX!A19</f>
        <v>Chile</v>
      </c>
      <c r="C34" s="21">
        <f>[10]XX!B19/1000000</f>
        <v>63.690915390000022</v>
      </c>
      <c r="D34" s="23">
        <f>[10]XX!D19/1000000</f>
        <v>65.882691650000041</v>
      </c>
      <c r="E34" s="22">
        <f t="shared" si="4"/>
        <v>3.4412698366463434</v>
      </c>
      <c r="F34" s="22">
        <f t="shared" si="5"/>
        <v>2.2370598883409607</v>
      </c>
      <c r="G34" s="21">
        <f>[10]XX!C19/1000000</f>
        <v>5.2240803000000033</v>
      </c>
      <c r="H34" s="23">
        <f>[10]XX!E19/1000000</f>
        <v>6.5116230900000076</v>
      </c>
      <c r="I34" s="22">
        <f t="shared" si="6"/>
        <v>24.646305494193953</v>
      </c>
      <c r="J34" s="22">
        <f t="shared" si="7"/>
        <v>2.316486458063225</v>
      </c>
      <c r="K34" s="16"/>
    </row>
    <row r="35" spans="1:13">
      <c r="A35" s="14"/>
      <c r="B35" s="9" t="str">
        <f>[10]XX!A20</f>
        <v>Paraguay</v>
      </c>
      <c r="C35" s="21">
        <f>[10]XX!B20/1000000</f>
        <v>1.7478094099999995</v>
      </c>
      <c r="D35" s="23">
        <f>[10]XX!D20/1000000</f>
        <v>3.5907908400000013</v>
      </c>
      <c r="E35" s="22">
        <f t="shared" si="4"/>
        <v>105.44521727915415</v>
      </c>
      <c r="F35" s="22">
        <f t="shared" si="5"/>
        <v>0.12192601659720051</v>
      </c>
      <c r="G35" s="21">
        <f>[10]XX!C20/1000000</f>
        <v>0.19422671</v>
      </c>
      <c r="H35" s="23">
        <f>[10]XX!E20/1000000</f>
        <v>0.47494493999999998</v>
      </c>
      <c r="I35" s="22">
        <f t="shared" si="6"/>
        <v>144.53121818312221</v>
      </c>
      <c r="J35" s="22">
        <f t="shared" si="7"/>
        <v>0.16895995155574176</v>
      </c>
      <c r="K35" s="16"/>
    </row>
    <row r="36" spans="1:13">
      <c r="A36" s="14"/>
      <c r="B36" s="9" t="str">
        <f>[10]XX!A21</f>
        <v>Grecia</v>
      </c>
      <c r="C36" s="21">
        <f>[10]XX!B21/1000000</f>
        <v>0.57235453000000003</v>
      </c>
      <c r="D36" s="23">
        <f>[10]XX!D21/1000000</f>
        <v>2.1223459999999994</v>
      </c>
      <c r="E36" s="22">
        <f t="shared" si="4"/>
        <v>270.80967979758969</v>
      </c>
      <c r="F36" s="22">
        <f t="shared" si="5"/>
        <v>7.2064680219859845E-2</v>
      </c>
      <c r="G36" s="21">
        <f>[10]XX!C21/1000000</f>
        <v>8.4153389999999995E-2</v>
      </c>
      <c r="H36" s="23">
        <f>[10]XX!E21/1000000</f>
        <v>0.23325667999999999</v>
      </c>
      <c r="I36" s="22">
        <f t="shared" si="6"/>
        <v>177.18037265046601</v>
      </c>
      <c r="J36" s="22">
        <f t="shared" si="7"/>
        <v>8.2980223671512657E-2</v>
      </c>
      <c r="K36" s="16"/>
    </row>
    <row r="37" spans="1:13">
      <c r="A37" s="14"/>
      <c r="B37" s="9" t="str">
        <f>[10]XX!A22</f>
        <v>República Dominicana</v>
      </c>
      <c r="C37" s="21">
        <f>[10]XX!B22/1000000</f>
        <v>34.680150620000077</v>
      </c>
      <c r="D37" s="23">
        <f>[10]XX!D22/1000000</f>
        <v>36.128802719999904</v>
      </c>
      <c r="E37" s="22">
        <f t="shared" si="4"/>
        <v>4.1771793781206545</v>
      </c>
      <c r="F37" s="22">
        <f t="shared" si="5"/>
        <v>1.2267606765075989</v>
      </c>
      <c r="G37" s="21">
        <f>[10]XX!C22/1000000</f>
        <v>1.9873477900000001</v>
      </c>
      <c r="H37" s="23">
        <f>[10]XX!E22/1000000</f>
        <v>2.8820263000000002</v>
      </c>
      <c r="I37" s="22">
        <f t="shared" si="6"/>
        <v>45.018718641088995</v>
      </c>
      <c r="J37" s="22">
        <f t="shared" si="7"/>
        <v>1.0252704745741132</v>
      </c>
      <c r="K37" s="16"/>
    </row>
    <row r="38" spans="1:13">
      <c r="A38" s="14"/>
      <c r="B38" s="9" t="str">
        <f>[10]XX!A23</f>
        <v>México</v>
      </c>
      <c r="C38" s="21">
        <f>[10]XX!B23/1000000</f>
        <v>114.22641616000006</v>
      </c>
      <c r="D38" s="23">
        <f>[10]XX!D23/1000000</f>
        <v>115.29549441000012</v>
      </c>
      <c r="E38" s="22">
        <f t="shared" si="4"/>
        <v>0.93592908360407012</v>
      </c>
      <c r="F38" s="22">
        <f t="shared" si="5"/>
        <v>3.9148814262364855</v>
      </c>
      <c r="G38" s="21">
        <f>[10]XX!C23/1000000</f>
        <v>8.409167680000003</v>
      </c>
      <c r="H38" s="23">
        <f>[10]XX!E23/1000000</f>
        <v>9.4490525099999942</v>
      </c>
      <c r="I38" s="22">
        <f t="shared" si="6"/>
        <v>12.366085082037404</v>
      </c>
      <c r="J38" s="22">
        <f t="shared" si="7"/>
        <v>3.3614663930039117</v>
      </c>
      <c r="K38" s="16"/>
    </row>
    <row r="39" spans="1:13">
      <c r="A39" s="14"/>
      <c r="B39" s="9" t="str">
        <f>[10]XX!A24</f>
        <v>Austria</v>
      </c>
      <c r="C39" s="21">
        <f>[10]XX!B24/1000000</f>
        <v>0.52284996000000017</v>
      </c>
      <c r="D39" s="23">
        <f>[10]XX!D24/1000000</f>
        <v>0.84905674999999969</v>
      </c>
      <c r="E39" s="22">
        <f t="shared" si="4"/>
        <v>62.390133873205109</v>
      </c>
      <c r="F39" s="22">
        <f t="shared" si="5"/>
        <v>2.8829890685714531E-2</v>
      </c>
      <c r="G39" s="21">
        <f>[10]XX!C24/1000000</f>
        <v>3.9964470000000002E-2</v>
      </c>
      <c r="H39" s="23">
        <f>[10]XX!E24/1000000</f>
        <v>5.1668599999999995E-2</v>
      </c>
      <c r="I39" s="22">
        <f t="shared" si="6"/>
        <v>29.286338590252782</v>
      </c>
      <c r="J39" s="22">
        <f t="shared" si="7"/>
        <v>1.8380918329086733E-2</v>
      </c>
      <c r="K39" s="16"/>
    </row>
    <row r="40" spans="1:13">
      <c r="A40" s="14"/>
      <c r="B40" s="9" t="str">
        <f>[10]XX!A25</f>
        <v>Eslovaquia</v>
      </c>
      <c r="C40" s="21">
        <f>[10]XX!B25/1000000</f>
        <v>4.7537709999999997E-2</v>
      </c>
      <c r="D40" s="23">
        <f>[10]XX!D25/1000000</f>
        <v>0.31750378999999984</v>
      </c>
      <c r="E40" s="22">
        <f t="shared" si="4"/>
        <v>567.89879024462869</v>
      </c>
      <c r="F40" s="22">
        <f t="shared" si="5"/>
        <v>1.0780904289377665E-2</v>
      </c>
      <c r="G40" s="21">
        <f>[10]XX!C25/1000000</f>
        <v>0</v>
      </c>
      <c r="H40" s="23">
        <f>[10]XX!E25/1000000</f>
        <v>5.3713299999999997E-3</v>
      </c>
      <c r="I40" s="22" t="str">
        <f t="shared" si="6"/>
        <v/>
      </c>
      <c r="J40" s="22">
        <f t="shared" si="7"/>
        <v>1.9108312988657219E-3</v>
      </c>
      <c r="K40" s="16"/>
    </row>
    <row r="41" spans="1:13">
      <c r="A41" s="14"/>
      <c r="B41" s="9" t="str">
        <f>[10]XX!A26</f>
        <v>República Checa</v>
      </c>
      <c r="C41" s="21">
        <f>[10]XX!B26/1000000</f>
        <v>0.23686138999999998</v>
      </c>
      <c r="D41" s="23">
        <f>[10]XX!D26/1000000</f>
        <v>0.44515734000000012</v>
      </c>
      <c r="E41" s="22">
        <f t="shared" si="4"/>
        <v>87.940018421744526</v>
      </c>
      <c r="F41" s="22">
        <f t="shared" si="5"/>
        <v>1.5115405949182387E-2</v>
      </c>
      <c r="G41" s="21">
        <f>[10]XX!C26/1000000</f>
        <v>1.36907E-2</v>
      </c>
      <c r="H41" s="23">
        <f>[10]XX!E26/1000000</f>
        <v>5.6176219999999999E-2</v>
      </c>
      <c r="I41" s="22">
        <f t="shared" si="6"/>
        <v>310.32394253033078</v>
      </c>
      <c r="J41" s="22">
        <f t="shared" si="7"/>
        <v>1.9984487906713339E-2</v>
      </c>
      <c r="K41" s="16"/>
    </row>
    <row r="42" spans="1:13">
      <c r="A42" s="14"/>
      <c r="B42" s="9" t="str">
        <f>[10]XX!A27</f>
        <v>Irlanda</v>
      </c>
      <c r="C42" s="21">
        <f>[10]XX!B27/1000000</f>
        <v>9.8414910000000008E-2</v>
      </c>
      <c r="D42" s="23">
        <f>[10]XX!D27/1000000</f>
        <v>0.24282883000000002</v>
      </c>
      <c r="E42" s="22">
        <f t="shared" si="4"/>
        <v>146.73987915042548</v>
      </c>
      <c r="F42" s="22">
        <f t="shared" si="5"/>
        <v>8.2453011818585265E-3</v>
      </c>
      <c r="G42" s="21">
        <f>[10]XX!C27/1000000</f>
        <v>0</v>
      </c>
      <c r="H42" s="23">
        <f>[10]XX!E27/1000000</f>
        <v>0.12707928999999998</v>
      </c>
      <c r="I42" s="22" t="str">
        <f t="shared" si="6"/>
        <v/>
      </c>
      <c r="J42" s="22">
        <f t="shared" si="7"/>
        <v>4.5207999651787123E-2</v>
      </c>
      <c r="K42" s="16"/>
    </row>
    <row r="43" spans="1:13">
      <c r="A43" s="14"/>
      <c r="B43" s="9" t="str">
        <f>[10]XX!A28</f>
        <v>Lituania</v>
      </c>
      <c r="C43" s="21">
        <f>[10]XX!B28/1000000</f>
        <v>1.5824999999999999E-2</v>
      </c>
      <c r="D43" s="23">
        <f>[10]XX!D28/1000000</f>
        <v>4.3047000000000002E-2</v>
      </c>
      <c r="E43" s="22">
        <f t="shared" si="4"/>
        <v>172.01895734597161</v>
      </c>
      <c r="F43" s="22">
        <f t="shared" si="5"/>
        <v>1.4616694400556309E-3</v>
      </c>
      <c r="G43" s="21">
        <f>[10]XX!C28/1000000</f>
        <v>0</v>
      </c>
      <c r="H43" s="23">
        <f>[10]XX!E28/1000000</f>
        <v>2.1700000000000001E-2</v>
      </c>
      <c r="I43" s="22" t="str">
        <f t="shared" si="6"/>
        <v/>
      </c>
      <c r="J43" s="22">
        <f t="shared" si="7"/>
        <v>7.719696832141419E-3</v>
      </c>
      <c r="K43" s="16"/>
    </row>
    <row r="44" spans="1:13">
      <c r="A44" s="14"/>
      <c r="B44" s="9" t="str">
        <f>[10]XX!A29</f>
        <v>Polonia</v>
      </c>
      <c r="C44" s="21">
        <f>[10]XX!B29/1000000</f>
        <v>0.65649642999999991</v>
      </c>
      <c r="D44" s="23">
        <f>[10]XX!D29/1000000</f>
        <v>0.68185085000000012</v>
      </c>
      <c r="E44" s="22">
        <f t="shared" ref="E44:E46" si="8">IF(OR(OR(D44=0,C44=0),D44=""),"",(D44/C44-1)*100)</f>
        <v>3.8620804076573867</v>
      </c>
      <c r="F44" s="22">
        <f t="shared" ref="F44:F46" si="9">(D44/D$13)*100</f>
        <v>2.3152381121122403E-2</v>
      </c>
      <c r="G44" s="21">
        <f>[10]XX!C29/1000000</f>
        <v>1.3485049999999998E-2</v>
      </c>
      <c r="H44" s="23">
        <f>[10]XX!E29/1000000</f>
        <v>8.5408810000000002E-2</v>
      </c>
      <c r="I44" s="22">
        <f t="shared" ref="I44:I46" si="10">IF(OR(OR(H44=0,G44=0),H44=""),"",(H44/G44-1)*100)</f>
        <v>533.35923856418788</v>
      </c>
      <c r="J44" s="22">
        <f t="shared" ref="J44:J46" si="11">(H44/H$13)*100</f>
        <v>3.0383876497417896E-2</v>
      </c>
      <c r="K44" s="16"/>
    </row>
    <row r="45" spans="1:13">
      <c r="A45" s="14"/>
      <c r="B45" s="9" t="str">
        <f>[10]XX!A30</f>
        <v>Chipre</v>
      </c>
      <c r="C45" s="21">
        <f>[10]XX!B30/1000000</f>
        <v>1.566271E-2</v>
      </c>
      <c r="D45" s="23">
        <f>[10]XX!D30/1000000</f>
        <v>2.2043799999999999E-2</v>
      </c>
      <c r="E45" s="22">
        <f t="shared" si="8"/>
        <v>40.74065088353165</v>
      </c>
      <c r="F45" s="22">
        <f t="shared" si="9"/>
        <v>7.4850160993096646E-4</v>
      </c>
      <c r="G45" s="21">
        <f>[10]XX!C30/1000000</f>
        <v>0</v>
      </c>
      <c r="H45" s="23">
        <f>[10]XX!E30/1000000</f>
        <v>7.0750000000000001E-4</v>
      </c>
      <c r="I45" s="22" t="str">
        <f t="shared" si="10"/>
        <v/>
      </c>
      <c r="J45" s="22">
        <f t="shared" si="11"/>
        <v>2.5169057643963382E-4</v>
      </c>
      <c r="K45" s="16"/>
    </row>
    <row r="46" spans="1:13">
      <c r="A46" s="14"/>
      <c r="B46" s="9" t="str">
        <f>[10]XX!A31</f>
        <v>Los demás</v>
      </c>
      <c r="C46" s="21">
        <f>[10]XX!B31/1000000</f>
        <v>185.6816975400007</v>
      </c>
      <c r="D46" s="23">
        <f>[10]XX!D31/1000000</f>
        <v>331.48068587999995</v>
      </c>
      <c r="E46" s="22">
        <f t="shared" si="8"/>
        <v>78.520926010271069</v>
      </c>
      <c r="F46" s="22">
        <f t="shared" si="9"/>
        <v>11.255492566717216</v>
      </c>
      <c r="G46" s="21">
        <f>[10]XX!C31/1000000</f>
        <v>17.70882120000001</v>
      </c>
      <c r="H46" s="23">
        <f>[10]XX!E31/1000000</f>
        <v>21.281488480000061</v>
      </c>
      <c r="I46" s="22">
        <f t="shared" si="10"/>
        <v>20.174506477032182</v>
      </c>
      <c r="J46" s="22">
        <f t="shared" si="11"/>
        <v>7.5708128664659258</v>
      </c>
      <c r="K46" s="16"/>
    </row>
    <row r="47" spans="1:13">
      <c r="A47" s="14"/>
      <c r="B47" s="10" t="s">
        <v>33</v>
      </c>
      <c r="C47" s="23">
        <f>SUM(C17:C46)</f>
        <v>1462.0721887299944</v>
      </c>
      <c r="D47" s="23">
        <f>SUM(D17:D46)</f>
        <v>2156.9192731799981</v>
      </c>
      <c r="E47" s="25">
        <f t="shared" si="4"/>
        <v>47.524813740802465</v>
      </c>
      <c r="F47" s="25">
        <f t="shared" si="5"/>
        <v>73.238622581694571</v>
      </c>
      <c r="G47" s="25">
        <f t="shared" ref="G47:H47" si="12">SUM(G17:G46)</f>
        <v>148.68860938000009</v>
      </c>
      <c r="H47" s="25">
        <f t="shared" si="12"/>
        <v>215.81352888999979</v>
      </c>
      <c r="I47" s="25">
        <f>IF(OR(OR(H47=0,G47=0),H47=""),"",(H47/G47-1)*100)</f>
        <v>45.14462795092129</v>
      </c>
      <c r="J47" s="25">
        <f t="shared" si="7"/>
        <v>76.774885497944339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tr">
        <f>IF(F48="","",1)</f>
        <v/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6">
        <v>2009</v>
      </c>
      <c r="D11" s="106">
        <v>2010</v>
      </c>
      <c r="E11" s="123"/>
      <c r="F11" s="123"/>
      <c r="G11" s="106">
        <v>2009</v>
      </c>
      <c r="H11" s="106">
        <v>2010</v>
      </c>
      <c r="I11" s="123"/>
      <c r="J11" s="123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29</v>
      </c>
      <c r="C13" s="25">
        <f>+'Resumen exportaciones totales'!C13</f>
        <v>2885.3491748199885</v>
      </c>
      <c r="D13" s="25">
        <f>+'Resumen exportaciones totales'!D13</f>
        <v>2945.0571258000468</v>
      </c>
      <c r="E13" s="25">
        <f>IF(OR(OR(D13=0,C13=0),D13=""),"",(D13/C13-1)*100)</f>
        <v>2.0693492316673723</v>
      </c>
      <c r="F13" s="23">
        <f>(D13/D$13)*100</f>
        <v>100</v>
      </c>
      <c r="G13" s="25">
        <f>+'Resumen exportaciones totales'!G13</f>
        <v>243.16203335999964</v>
      </c>
      <c r="H13" s="25">
        <f>+'Resumen exportaciones totales'!H13</f>
        <v>281.09912179000025</v>
      </c>
      <c r="I13" s="25">
        <f>IF(OR(OR(H13=0,G13=0),H13=""),"",(H13/G13-1)*100)</f>
        <v>15.601567360573521</v>
      </c>
      <c r="J13" s="23">
        <f>(H13/H$13)*100</f>
        <v>100</v>
      </c>
      <c r="K13" s="16"/>
    </row>
    <row r="14" spans="1:14">
      <c r="A14" s="14"/>
      <c r="B14" s="10" t="s">
        <v>54</v>
      </c>
      <c r="C14" s="22">
        <f>+C15+C19</f>
        <v>1601.4784730000001</v>
      </c>
      <c r="D14" s="25">
        <f>+D15+D19</f>
        <v>1289.377162</v>
      </c>
      <c r="E14" s="22">
        <f t="shared" ref="E14:E44" si="0">IF(OR(OR(D14=0,C14=0),D14=""),"",(D14/C14-1)*100)</f>
        <v>-19.488323837119736</v>
      </c>
      <c r="F14" s="22">
        <f t="shared" ref="F14:F44" si="1">(D14/D$13)*100</f>
        <v>43.781057783377662</v>
      </c>
      <c r="G14" s="22">
        <f>+G15+G19</f>
        <v>115.10873100000001</v>
      </c>
      <c r="H14" s="25">
        <f t="shared" ref="H14" si="2">+H15+H19</f>
        <v>50.899360000000001</v>
      </c>
      <c r="I14" s="22">
        <f t="shared" ref="I14:I44" si="3">IF(OR(OR(H14=0,G14=0),H14=""),"",(H14/G14-1)*100)</f>
        <v>-55.781494976258571</v>
      </c>
      <c r="J14" s="22">
        <f>(H14/H$13)*100</f>
        <v>18.107263970047267</v>
      </c>
      <c r="K14" s="16"/>
    </row>
    <row r="15" spans="1:14">
      <c r="A15" s="14"/>
      <c r="B15" s="10" t="s">
        <v>76</v>
      </c>
      <c r="C15" s="22">
        <f>+SUM(C16:C18)</f>
        <v>529.23706200000004</v>
      </c>
      <c r="D15" s="25">
        <f>+SUM(D16:D18)</f>
        <v>617.80915699999991</v>
      </c>
      <c r="E15" s="22">
        <f t="shared" si="0"/>
        <v>16.735807327114195</v>
      </c>
      <c r="F15" s="22">
        <f>(D15/D$13)*100</f>
        <v>20.977832707817761</v>
      </c>
      <c r="G15" s="22">
        <f t="shared" ref="G15:H15" si="4">+SUM(G16:G18)</f>
        <v>50.064370000000004</v>
      </c>
      <c r="H15" s="25">
        <f t="shared" si="4"/>
        <v>50.897350000000003</v>
      </c>
      <c r="I15" s="22">
        <f t="shared" si="3"/>
        <v>1.6638180007058967</v>
      </c>
      <c r="J15" s="22">
        <f t="shared" ref="J15:J44" si="5">(H15/H$13)*100</f>
        <v>18.106548919787702</v>
      </c>
      <c r="K15" s="16"/>
    </row>
    <row r="16" spans="1:14">
      <c r="A16" s="14" t="s">
        <v>86</v>
      </c>
      <c r="B16" s="9" t="str">
        <f>CONCATENATE(A16,[11]resumen_pais_destino!B7)</f>
        <v xml:space="preserve">   Bolivia</v>
      </c>
      <c r="C16" s="22">
        <f>[12]resumen_pais_destino!C7/1000000</f>
        <v>24.068660999999999</v>
      </c>
      <c r="D16" s="25">
        <f>[12]resumen_pais_destino!D7/1000000</f>
        <v>13.552936000000001</v>
      </c>
      <c r="E16" s="22">
        <f t="shared" si="0"/>
        <v>-43.690527694914138</v>
      </c>
      <c r="F16" s="22">
        <f t="shared" si="1"/>
        <v>0.46019263535739552</v>
      </c>
      <c r="G16" s="22">
        <f>[12]resumen_pais_destino!E7/1000000</f>
        <v>1.0608569999999999</v>
      </c>
      <c r="H16" s="25">
        <f>[12]resumen_pais_destino!F7/1000000</f>
        <v>1.1132569999999999</v>
      </c>
      <c r="I16" s="22">
        <f t="shared" si="3"/>
        <v>4.9394027658770323</v>
      </c>
      <c r="J16" s="22">
        <f t="shared" si="5"/>
        <v>0.39603716756955115</v>
      </c>
      <c r="K16" s="16"/>
    </row>
    <row r="17" spans="1:11">
      <c r="A17" s="14" t="s">
        <v>86</v>
      </c>
      <c r="B17" s="9" t="str">
        <f>CONCATENATE(A17,[11]resumen_pais_destino!B8)</f>
        <v xml:space="preserve">   Ecuador</v>
      </c>
      <c r="C17" s="22">
        <f>[12]resumen_pais_destino!C8/1000000</f>
        <v>347.479713</v>
      </c>
      <c r="D17" s="25">
        <f>[12]resumen_pais_destino!D8/1000000</f>
        <v>458.03758299999998</v>
      </c>
      <c r="E17" s="22">
        <f t="shared" si="0"/>
        <v>31.81707186456666</v>
      </c>
      <c r="F17" s="22">
        <f t="shared" si="1"/>
        <v>15.552757160035416</v>
      </c>
      <c r="G17" s="22">
        <f>[12]resumen_pais_destino!E8/1000000</f>
        <v>31.940797</v>
      </c>
      <c r="H17" s="25">
        <f>[12]resumen_pais_destino!F8/1000000</f>
        <v>38.501288000000002</v>
      </c>
      <c r="I17" s="22">
        <f t="shared" si="3"/>
        <v>20.539534439294059</v>
      </c>
      <c r="J17" s="22">
        <f t="shared" si="5"/>
        <v>13.696694516449975</v>
      </c>
      <c r="K17" s="16"/>
    </row>
    <row r="18" spans="1:11">
      <c r="A18" s="14" t="s">
        <v>86</v>
      </c>
      <c r="B18" s="9" t="str">
        <f>CONCATENATE(A18,[11]resumen_pais_destino!B9)</f>
        <v xml:space="preserve">   Perú </v>
      </c>
      <c r="C18" s="22">
        <f>[12]resumen_pais_destino!C9/1000000</f>
        <v>157.68868800000001</v>
      </c>
      <c r="D18" s="25">
        <f>[12]resumen_pais_destino!D9/1000000</f>
        <v>146.218638</v>
      </c>
      <c r="E18" s="22">
        <f t="shared" si="0"/>
        <v>-7.2738572090852882</v>
      </c>
      <c r="F18" s="22">
        <f t="shared" si="1"/>
        <v>4.9648829124249536</v>
      </c>
      <c r="G18" s="22">
        <f>[12]resumen_pais_destino!E9/1000000</f>
        <v>17.062716000000002</v>
      </c>
      <c r="H18" s="25">
        <f>[12]resumen_pais_destino!F9/1000000</f>
        <v>11.282805</v>
      </c>
      <c r="I18" s="22">
        <f t="shared" si="3"/>
        <v>-33.874507434806986</v>
      </c>
      <c r="J18" s="22">
        <f t="shared" si="5"/>
        <v>4.0138172357681734</v>
      </c>
      <c r="K18" s="16"/>
    </row>
    <row r="19" spans="1:11">
      <c r="A19" s="14"/>
      <c r="B19" s="10" t="s">
        <v>77</v>
      </c>
      <c r="C19" s="22">
        <f>SUM(C20:C27)</f>
        <v>1072.241411</v>
      </c>
      <c r="D19" s="25">
        <f>SUM(D20:D27)</f>
        <v>671.56800500000008</v>
      </c>
      <c r="E19" s="22">
        <f t="shared" si="0"/>
        <v>-37.367835441677414</v>
      </c>
      <c r="F19" s="22">
        <f t="shared" si="1"/>
        <v>22.803225075559904</v>
      </c>
      <c r="G19" s="22">
        <f>SUM(G20:G27)</f>
        <v>65.044360999999995</v>
      </c>
      <c r="H19" s="25">
        <f>+[11]resumen_pais_destino!F22/1000000</f>
        <v>2.0100000000000001E-3</v>
      </c>
      <c r="I19" s="22">
        <f t="shared" si="3"/>
        <v>-99.996909801296994</v>
      </c>
      <c r="J19" s="22">
        <f t="shared" si="5"/>
        <v>7.1505025956701627E-4</v>
      </c>
      <c r="K19" s="16"/>
    </row>
    <row r="20" spans="1:11">
      <c r="A20" s="14" t="s">
        <v>86</v>
      </c>
      <c r="B20" s="9" t="str">
        <f>CONCATENATE(A20,[12]resumen_pais_destino!B23)</f>
        <v xml:space="preserve">   Argentina</v>
      </c>
      <c r="C20" s="22">
        <f>[12]resumen_pais_destino!C23/1000000</f>
        <v>15.635018000000001</v>
      </c>
      <c r="D20" s="25">
        <f>[12]resumen_pais_destino!D23/1000000</f>
        <v>20.193749</v>
      </c>
      <c r="E20" s="22">
        <f t="shared" si="0"/>
        <v>29.157184213027442</v>
      </c>
      <c r="F20" s="22">
        <f t="shared" si="1"/>
        <v>0.6856827605513498</v>
      </c>
      <c r="G20" s="22">
        <f>[12]resumen_pais_destino!E23/1000000</f>
        <v>1.6335980000000001</v>
      </c>
      <c r="H20" s="25">
        <f>[12]resumen_pais_destino!F23/1000000</f>
        <v>1.3114589999999999</v>
      </c>
      <c r="I20" s="22">
        <f t="shared" si="3"/>
        <v>-19.719600538198513</v>
      </c>
      <c r="J20" s="22">
        <f t="shared" si="5"/>
        <v>0.46654681510522367</v>
      </c>
      <c r="K20" s="16"/>
    </row>
    <row r="21" spans="1:11">
      <c r="A21" s="14" t="s">
        <v>86</v>
      </c>
      <c r="B21" s="9" t="str">
        <f>CONCATENATE(A21,[12]resumen_pais_destino!B24)</f>
        <v xml:space="preserve">   Brasil </v>
      </c>
      <c r="C21" s="22">
        <f>[12]resumen_pais_destino!C24/1000000</f>
        <v>43.861656000000004</v>
      </c>
      <c r="D21" s="25">
        <f>[12]resumen_pais_destino!D24/1000000</f>
        <v>104.188303</v>
      </c>
      <c r="E21" s="22">
        <f t="shared" si="0"/>
        <v>137.53846184010925</v>
      </c>
      <c r="F21" s="22">
        <f t="shared" si="1"/>
        <v>3.5377345344938416</v>
      </c>
      <c r="G21" s="22">
        <f>[12]resumen_pais_destino!E24/1000000</f>
        <v>9.9482900000000001</v>
      </c>
      <c r="H21" s="25">
        <f>[12]resumen_pais_destino!F24/1000000</f>
        <v>4.6970229999999997</v>
      </c>
      <c r="I21" s="22">
        <f t="shared" si="3"/>
        <v>-52.78562446410389</v>
      </c>
      <c r="J21" s="22">
        <f t="shared" si="5"/>
        <v>1.6709490126080824</v>
      </c>
      <c r="K21" s="16"/>
    </row>
    <row r="22" spans="1:11">
      <c r="A22" s="14" t="s">
        <v>86</v>
      </c>
      <c r="B22" s="9" t="str">
        <f>CONCATENATE(A22,[12]resumen_pais_destino!B25)</f>
        <v xml:space="preserve">   Cuba </v>
      </c>
      <c r="C22" s="22">
        <f>[12]resumen_pais_destino!C25/1000000</f>
        <v>7.3737539999999999</v>
      </c>
      <c r="D22" s="25">
        <f>[12]resumen_pais_destino!D25/1000000</f>
        <v>9.7244869999999999</v>
      </c>
      <c r="E22" s="22">
        <f t="shared" si="0"/>
        <v>31.879731816385526</v>
      </c>
      <c r="F22" s="22">
        <f t="shared" si="1"/>
        <v>0.33019688870579278</v>
      </c>
      <c r="G22" s="22">
        <f>[12]resumen_pais_destino!E25/1000000</f>
        <v>0.81870500000000002</v>
      </c>
      <c r="H22" s="25">
        <f>[12]resumen_pais_destino!F25/1000000</f>
        <v>1.1743459999999999</v>
      </c>
      <c r="I22" s="22">
        <f t="shared" si="3"/>
        <v>43.439456214387342</v>
      </c>
      <c r="J22" s="22">
        <f t="shared" si="5"/>
        <v>0.41776935926442149</v>
      </c>
      <c r="K22" s="16"/>
    </row>
    <row r="23" spans="1:11">
      <c r="A23" s="14" t="s">
        <v>86</v>
      </c>
      <c r="B23" s="9" t="str">
        <f>CONCATENATE(A23,[12]resumen_pais_destino!B26)</f>
        <v xml:space="preserve">   Chile </v>
      </c>
      <c r="C23" s="22">
        <f>[12]resumen_pais_destino!C26/1000000</f>
        <v>63.690914999999997</v>
      </c>
      <c r="D23" s="25">
        <f>[12]resumen_pais_destino!D26/1000000</f>
        <v>65.882692000000006</v>
      </c>
      <c r="E23" s="22">
        <f t="shared" si="0"/>
        <v>3.4412710195794949</v>
      </c>
      <c r="F23" s="22">
        <f t="shared" si="1"/>
        <v>2.2370599002252791</v>
      </c>
      <c r="G23" s="22">
        <f>[12]resumen_pais_destino!E26/1000000</f>
        <v>5.2240799999999998</v>
      </c>
      <c r="H23" s="25">
        <f>[12]resumen_pais_destino!F26/1000000</f>
        <v>6.5116230000000002</v>
      </c>
      <c r="I23" s="22">
        <f t="shared" si="3"/>
        <v>24.646310929388537</v>
      </c>
      <c r="J23" s="22">
        <f t="shared" si="5"/>
        <v>2.3164864260460463</v>
      </c>
      <c r="K23" s="16"/>
    </row>
    <row r="24" spans="1:11">
      <c r="A24" s="14" t="s">
        <v>86</v>
      </c>
      <c r="B24" s="9" t="str">
        <f>CONCATENATE(A24,[12]resumen_pais_destino!B27)</f>
        <v xml:space="preserve">   México </v>
      </c>
      <c r="C24" s="22">
        <f>[12]resumen_pais_destino!C27/1000000</f>
        <v>114.226416</v>
      </c>
      <c r="D24" s="25">
        <f>[12]resumen_pais_destino!D27/1000000</f>
        <v>115.29549400000001</v>
      </c>
      <c r="E24" s="22">
        <f t="shared" si="0"/>
        <v>0.93592886605144976</v>
      </c>
      <c r="F24" s="22">
        <f t="shared" si="1"/>
        <v>3.9148814123148501</v>
      </c>
      <c r="G24" s="22">
        <f>[12]resumen_pais_destino!E27/1000000</f>
        <v>8.4091679999999993</v>
      </c>
      <c r="H24" s="25">
        <f>[12]resumen_pais_destino!F27/1000000</f>
        <v>9.4490529999999993</v>
      </c>
      <c r="I24" s="22">
        <f t="shared" si="3"/>
        <v>12.366086633065244</v>
      </c>
      <c r="J24" s="22">
        <f t="shared" si="5"/>
        <v>3.3614665673196487</v>
      </c>
      <c r="K24" s="16"/>
    </row>
    <row r="25" spans="1:11">
      <c r="A25" s="14" t="s">
        <v>86</v>
      </c>
      <c r="B25" s="9" t="str">
        <f>CONCATENATE(A25,[12]resumen_pais_destino!B28)</f>
        <v xml:space="preserve">   Paraguay </v>
      </c>
      <c r="C25" s="22">
        <f>[12]resumen_pais_destino!C28/1000000</f>
        <v>1.7478089999999999</v>
      </c>
      <c r="D25" s="25">
        <f>[12]resumen_pais_destino!D28/1000000</f>
        <v>3.5907909999999998</v>
      </c>
      <c r="E25" s="22">
        <f t="shared" si="0"/>
        <v>105.44527462668975</v>
      </c>
      <c r="F25" s="22">
        <f t="shared" si="1"/>
        <v>0.12192602203003225</v>
      </c>
      <c r="G25" s="22">
        <f>[12]resumen_pais_destino!E28/1000000</f>
        <v>0.19422700000000001</v>
      </c>
      <c r="H25" s="25">
        <f>[12]resumen_pais_destino!F28/1000000</f>
        <v>0.47494500000000001</v>
      </c>
      <c r="I25" s="22">
        <f t="shared" si="3"/>
        <v>144.53088396566903</v>
      </c>
      <c r="J25" s="22">
        <f t="shared" si="5"/>
        <v>0.16895997290052564</v>
      </c>
      <c r="K25" s="16"/>
    </row>
    <row r="26" spans="1:11">
      <c r="A26" s="14" t="s">
        <v>86</v>
      </c>
      <c r="B26" s="9" t="str">
        <f>CONCATENATE(A26,[12]resumen_pais_destino!B29)</f>
        <v xml:space="preserve">   Uruguay </v>
      </c>
      <c r="C26" s="22">
        <f>[12]resumen_pais_destino!C29/1000000</f>
        <v>4.2387240000000004</v>
      </c>
      <c r="D26" s="25">
        <f>[12]resumen_pais_destino!D29/1000000</f>
        <v>7.3118759999999998</v>
      </c>
      <c r="E26" s="22">
        <f t="shared" si="0"/>
        <v>72.501818943625466</v>
      </c>
      <c r="F26" s="22">
        <f t="shared" si="1"/>
        <v>0.24827620272437578</v>
      </c>
      <c r="G26" s="22">
        <f>[12]resumen_pais_destino!E29/1000000</f>
        <v>1.404007</v>
      </c>
      <c r="H26" s="25">
        <f>[12]resumen_pais_destino!F29/1000000</f>
        <v>3.7076349999999998</v>
      </c>
      <c r="I26" s="22">
        <f t="shared" si="3"/>
        <v>164.07525033707094</v>
      </c>
      <c r="J26" s="22">
        <f t="shared" si="5"/>
        <v>1.3189777955869424</v>
      </c>
      <c r="K26" s="16"/>
    </row>
    <row r="27" spans="1:11">
      <c r="A27" s="14" t="s">
        <v>86</v>
      </c>
      <c r="B27" s="9" t="str">
        <f>CONCATENATE(A27,[12]resumen_pais_destino!B30)</f>
        <v xml:space="preserve">   Venezuela</v>
      </c>
      <c r="C27" s="22">
        <f>[12]resumen_pais_destino!C30/1000000</f>
        <v>821.46711900000003</v>
      </c>
      <c r="D27" s="25">
        <f>[12]resumen_pais_destino!D30/1000000</f>
        <v>345.38061299999998</v>
      </c>
      <c r="E27" s="22">
        <f t="shared" si="0"/>
        <v>-57.95563754025315</v>
      </c>
      <c r="F27" s="22">
        <f>(D27/D$13)*100</f>
        <v>11.727467354514379</v>
      </c>
      <c r="G27" s="22">
        <f>[12]resumen_pais_destino!E30/1000000</f>
        <v>37.412286000000002</v>
      </c>
      <c r="H27" s="25">
        <f>[12]resumen_pais_destino!F30/1000000</f>
        <v>28.757567999999999</v>
      </c>
      <c r="I27" s="22">
        <f t="shared" si="3"/>
        <v>-23.133357849343938</v>
      </c>
      <c r="J27" s="22">
        <f t="shared" si="5"/>
        <v>10.230401225331404</v>
      </c>
      <c r="K27" s="16"/>
    </row>
    <row r="28" spans="1:11">
      <c r="A28" s="14" t="s">
        <v>86</v>
      </c>
      <c r="B28" s="9" t="str">
        <f>[12]resumen_pais_destino!B44</f>
        <v xml:space="preserve">Canadá </v>
      </c>
      <c r="C28" s="22">
        <f>[12]resumen_pais_destino!C44/1000000</f>
        <v>26.490993</v>
      </c>
      <c r="D28" s="25">
        <f>[12]resumen_pais_destino!D44/1000000</f>
        <v>31.564924999999999</v>
      </c>
      <c r="E28" s="22">
        <f t="shared" si="0"/>
        <v>19.153423203124163</v>
      </c>
      <c r="F28" s="22">
        <f>(D28/D$13)*100</f>
        <v>1.0717933015110921</v>
      </c>
      <c r="G28" s="22">
        <f>[12]resumen_pais_destino!E44/1000000</f>
        <v>6.009449</v>
      </c>
      <c r="H28" s="25">
        <f>[12]resumen_pais_destino!F44/1000000</f>
        <v>2.694814</v>
      </c>
      <c r="I28" s="22">
        <f t="shared" si="3"/>
        <v>-55.157053500246022</v>
      </c>
      <c r="J28" s="22">
        <f t="shared" si="5"/>
        <v>0.95867037322628323</v>
      </c>
      <c r="K28" s="16"/>
    </row>
    <row r="29" spans="1:11">
      <c r="A29" s="14" t="s">
        <v>86</v>
      </c>
      <c r="B29" s="9" t="str">
        <f>[12]resumen_pais_destino!B45</f>
        <v>Estados Unidos</v>
      </c>
      <c r="C29" s="22">
        <f>[12]resumen_pais_destino!C45/1000000</f>
        <v>485.34466099999997</v>
      </c>
      <c r="D29" s="25">
        <f>[12]resumen_pais_destino!D45/1000000</f>
        <v>713.28483000000006</v>
      </c>
      <c r="E29" s="22">
        <f t="shared" si="0"/>
        <v>46.964598009660619</v>
      </c>
      <c r="F29" s="22">
        <f t="shared" si="1"/>
        <v>24.219728159134803</v>
      </c>
      <c r="G29" s="22">
        <f>[12]resumen_pais_destino!E45/1000000</f>
        <v>46.674695999999997</v>
      </c>
      <c r="H29" s="25">
        <f>[12]resumen_pais_destino!F45/1000000</f>
        <v>96.752866999999995</v>
      </c>
      <c r="I29" s="22">
        <f t="shared" si="3"/>
        <v>107.29190608975792</v>
      </c>
      <c r="J29" s="22">
        <f t="shared" si="5"/>
        <v>34.419483911543779</v>
      </c>
      <c r="K29" s="16"/>
    </row>
    <row r="30" spans="1:11">
      <c r="A30" s="14" t="s">
        <v>86</v>
      </c>
      <c r="B30" s="9" t="str">
        <f>[12]resumen_pais_destino!B46</f>
        <v xml:space="preserve">Puerto Rico </v>
      </c>
      <c r="C30" s="22">
        <f>[12]resumen_pais_destino!C46/1000000</f>
        <v>24.189142</v>
      </c>
      <c r="D30" s="25">
        <f>[12]resumen_pais_destino!D46/1000000</f>
        <v>21.65917</v>
      </c>
      <c r="E30" s="22">
        <f t="shared" si="0"/>
        <v>-10.459122526958586</v>
      </c>
      <c r="F30" s="22">
        <f t="shared" si="1"/>
        <v>0.73544142184053984</v>
      </c>
      <c r="G30" s="22">
        <f>[12]resumen_pais_destino!E46/1000000</f>
        <v>1.791865</v>
      </c>
      <c r="H30" s="25">
        <f>[12]resumen_pais_destino!F46/1000000</f>
        <v>1.6732750000000001</v>
      </c>
      <c r="I30" s="22">
        <f t="shared" si="3"/>
        <v>-6.618244119953232</v>
      </c>
      <c r="J30" s="22">
        <f t="shared" si="5"/>
        <v>0.5952615537696514</v>
      </c>
      <c r="K30" s="16"/>
    </row>
    <row r="31" spans="1:11">
      <c r="A31" s="14"/>
      <c r="B31" s="10" t="s">
        <v>55</v>
      </c>
      <c r="C31" s="22">
        <f>SUM(C32:C42)</f>
        <v>162.87246999999999</v>
      </c>
      <c r="D31" s="25">
        <f>SUM(D32:D42)</f>
        <v>264.139565</v>
      </c>
      <c r="E31" s="22">
        <f t="shared" si="0"/>
        <v>62.175697955584532</v>
      </c>
      <c r="F31" s="22">
        <f t="shared" si="1"/>
        <v>8.9689114240269454</v>
      </c>
      <c r="G31" s="22">
        <f>SUM(G32:G42)</f>
        <v>18.700316000000001</v>
      </c>
      <c r="H31" s="25">
        <f>SUM(H32:H42)</f>
        <v>25.432684000000005</v>
      </c>
      <c r="I31" s="22">
        <f t="shared" si="3"/>
        <v>36.001359549218328</v>
      </c>
      <c r="J31" s="22">
        <f t="shared" si="5"/>
        <v>9.0475857192467188</v>
      </c>
      <c r="K31" s="16"/>
    </row>
    <row r="32" spans="1:11">
      <c r="A32" s="14" t="s">
        <v>86</v>
      </c>
      <c r="B32" s="9" t="str">
        <f>CONCATENATE(A32,[12]resumen_pais_destino!B60)</f>
        <v xml:space="preserve">   Alemania </v>
      </c>
      <c r="C32" s="22">
        <f>[12]resumen_pais_destino!C60/1000000</f>
        <v>25.551285</v>
      </c>
      <c r="D32" s="25">
        <f>[12]resumen_pais_destino!D60/1000000</f>
        <v>19.974581000000001</v>
      </c>
      <c r="E32" s="22">
        <f t="shared" si="0"/>
        <v>-21.82553245365154</v>
      </c>
      <c r="F32" s="22">
        <f t="shared" si="1"/>
        <v>0.67824086755443691</v>
      </c>
      <c r="G32" s="22">
        <f>[12]resumen_pais_destino!E60/1000000</f>
        <v>1.9519230000000001</v>
      </c>
      <c r="H32" s="25">
        <f>[12]resumen_pais_destino!F60/1000000</f>
        <v>0.98743000000000003</v>
      </c>
      <c r="I32" s="22">
        <f t="shared" si="3"/>
        <v>-49.412451208372467</v>
      </c>
      <c r="J32" s="22">
        <f t="shared" si="5"/>
        <v>0.35127466557425813</v>
      </c>
      <c r="K32" s="16"/>
    </row>
    <row r="33" spans="1:11">
      <c r="A33" s="14" t="s">
        <v>86</v>
      </c>
      <c r="B33" s="9" t="str">
        <f>CONCATENATE(A33,[12]resumen_pais_destino!B61)</f>
        <v xml:space="preserve">   Bélgica </v>
      </c>
      <c r="C33" s="22">
        <f>[12]resumen_pais_destino!C61/1000000</f>
        <v>13.578549000000001</v>
      </c>
      <c r="D33" s="25">
        <f>[12]resumen_pais_destino!D61/1000000</f>
        <v>26.558865000000001</v>
      </c>
      <c r="E33" s="22">
        <f t="shared" si="0"/>
        <v>95.594278887972493</v>
      </c>
      <c r="F33" s="22">
        <f t="shared" si="1"/>
        <v>0.90181153931895597</v>
      </c>
      <c r="G33" s="22">
        <f>[12]resumen_pais_destino!E61/1000000</f>
        <v>2.8063769999999999</v>
      </c>
      <c r="H33" s="25">
        <f>[12]resumen_pais_destino!F61/1000000</f>
        <v>4.2017660000000001</v>
      </c>
      <c r="I33" s="22">
        <f t="shared" si="3"/>
        <v>49.722079392754438</v>
      </c>
      <c r="J33" s="22">
        <f t="shared" si="5"/>
        <v>1.4947631188755541</v>
      </c>
      <c r="K33" s="16"/>
    </row>
    <row r="34" spans="1:11">
      <c r="A34" s="14" t="s">
        <v>86</v>
      </c>
      <c r="B34" s="9" t="str">
        <f>CONCATENATE(A34,[12]resumen_pais_destino!B62)</f>
        <v xml:space="preserve">   España </v>
      </c>
      <c r="C34" s="22">
        <f>[12]resumen_pais_destino!C62/1000000</f>
        <v>38.711334999999998</v>
      </c>
      <c r="D34" s="25">
        <f>[12]resumen_pais_destino!D62/1000000</f>
        <v>38.195224000000003</v>
      </c>
      <c r="E34" s="22">
        <f t="shared" si="0"/>
        <v>-1.3332296599949167</v>
      </c>
      <c r="F34" s="22">
        <f t="shared" si="1"/>
        <v>1.2969264217455199</v>
      </c>
      <c r="G34" s="22">
        <f>[12]resumen_pais_destino!E62/1000000</f>
        <v>4.4763109999999999</v>
      </c>
      <c r="H34" s="25">
        <f>[12]resumen_pais_destino!F62/1000000</f>
        <v>3.9431419999999999</v>
      </c>
      <c r="I34" s="22">
        <f t="shared" si="3"/>
        <v>-11.910901633063474</v>
      </c>
      <c r="J34" s="22">
        <f t="shared" si="5"/>
        <v>1.4027585624923402</v>
      </c>
      <c r="K34" s="16"/>
    </row>
    <row r="35" spans="1:11">
      <c r="A35" s="14" t="s">
        <v>86</v>
      </c>
      <c r="B35" s="9" t="str">
        <f>CONCATENATE(A35,[12]resumen_pais_destino!B63)</f>
        <v xml:space="preserve">   Eslovenia </v>
      </c>
      <c r="C35" s="22">
        <f>[12]resumen_pais_destino!C63/1000000</f>
        <v>9.5779999999999997E-3</v>
      </c>
      <c r="D35" s="25">
        <f>[12]resumen_pais_destino!D63/1000000</f>
        <v>2.4978319999999998</v>
      </c>
      <c r="E35" s="22">
        <f t="shared" si="0"/>
        <v>25978.847358529965</v>
      </c>
      <c r="F35" s="22">
        <f t="shared" si="1"/>
        <v>8.4814381973030331E-2</v>
      </c>
      <c r="G35" s="22">
        <f>[12]resumen_pais_destino!E63/1000000</f>
        <v>0</v>
      </c>
      <c r="H35" s="25">
        <f>[12]resumen_pais_destino!F63/1000000</f>
        <v>7.7660000000000003E-3</v>
      </c>
      <c r="I35" s="22" t="str">
        <f t="shared" si="3"/>
        <v/>
      </c>
      <c r="J35" s="22">
        <f t="shared" si="5"/>
        <v>2.7627265252723621E-3</v>
      </c>
      <c r="K35" s="16"/>
    </row>
    <row r="36" spans="1:11">
      <c r="A36" s="14" t="s">
        <v>86</v>
      </c>
      <c r="B36" s="9" t="str">
        <f>CONCATENATE(A36,[12]resumen_pais_destino!B64)</f>
        <v xml:space="preserve">   Finlandia </v>
      </c>
      <c r="C36" s="22">
        <f>[12]resumen_pais_destino!C64/1000000</f>
        <v>0.64111399999999996</v>
      </c>
      <c r="D36" s="25">
        <f>[12]resumen_pais_destino!D64/1000000</f>
        <v>4.0669370000000002</v>
      </c>
      <c r="E36" s="22">
        <f t="shared" si="0"/>
        <v>534.35473254366627</v>
      </c>
      <c r="F36" s="22">
        <f t="shared" si="1"/>
        <v>0.13809365408812524</v>
      </c>
      <c r="G36" s="22">
        <f>[12]resumen_pais_destino!E64/1000000</f>
        <v>1.8402999999999999E-2</v>
      </c>
      <c r="H36" s="25">
        <f>[12]resumen_pais_destino!F64/1000000</f>
        <v>0.10161000000000001</v>
      </c>
      <c r="I36" s="22">
        <f t="shared" si="3"/>
        <v>452.13823833070694</v>
      </c>
      <c r="J36" s="22">
        <f t="shared" si="5"/>
        <v>3.614739147990275E-2</v>
      </c>
      <c r="K36" s="16"/>
    </row>
    <row r="37" spans="1:11">
      <c r="A37" s="14" t="s">
        <v>86</v>
      </c>
      <c r="B37" s="9" t="str">
        <f>CONCATENATE(A37,[12]resumen_pais_destino!B65)</f>
        <v xml:space="preserve">   Francia </v>
      </c>
      <c r="C37" s="22">
        <f>[12]resumen_pais_destino!C65/1000000</f>
        <v>20.249511999999999</v>
      </c>
      <c r="D37" s="25">
        <f>[12]resumen_pais_destino!D65/1000000</f>
        <v>29.979296000000001</v>
      </c>
      <c r="E37" s="22">
        <f t="shared" si="0"/>
        <v>48.049473982385372</v>
      </c>
      <c r="F37" s="22">
        <f t="shared" si="1"/>
        <v>1.017952953692058</v>
      </c>
      <c r="G37" s="22">
        <f>[12]resumen_pais_destino!E65/1000000</f>
        <v>2.6260789999999998</v>
      </c>
      <c r="H37" s="25">
        <f>[12]resumen_pais_destino!F65/1000000</f>
        <v>2.9305479999999999</v>
      </c>
      <c r="I37" s="22">
        <f t="shared" si="3"/>
        <v>11.594053339598709</v>
      </c>
      <c r="J37" s="22">
        <f t="shared" si="5"/>
        <v>1.0425318945639801</v>
      </c>
      <c r="K37" s="16"/>
    </row>
    <row r="38" spans="1:11">
      <c r="A38" s="14" t="s">
        <v>86</v>
      </c>
      <c r="B38" s="7" t="str">
        <f>CONCATENATE(A38,[12]resumen_pais_destino!B66)</f>
        <v xml:space="preserve">   Italia </v>
      </c>
      <c r="C38" s="22">
        <f>[12]resumen_pais_destino!C66/1000000</f>
        <v>18.340216000000002</v>
      </c>
      <c r="D38" s="25">
        <f>[12]resumen_pais_destino!D66/1000000</f>
        <v>74.298381000000006</v>
      </c>
      <c r="E38" s="22">
        <f t="shared" si="0"/>
        <v>305.11181002448387</v>
      </c>
      <c r="F38" s="22">
        <f t="shared" si="1"/>
        <v>2.5228162927337547</v>
      </c>
      <c r="G38" s="22">
        <f>[12]resumen_pais_destino!E66/1000000</f>
        <v>0.73831500000000005</v>
      </c>
      <c r="H38" s="25">
        <f>[12]resumen_pais_destino!F66/1000000</f>
        <v>5.5027299999999997</v>
      </c>
      <c r="I38" s="22">
        <f t="shared" si="3"/>
        <v>645.30925147125538</v>
      </c>
      <c r="J38" s="22">
        <f t="shared" si="5"/>
        <v>1.9575763755359239</v>
      </c>
      <c r="K38" s="16"/>
    </row>
    <row r="39" spans="1:11">
      <c r="A39" s="14" t="s">
        <v>86</v>
      </c>
      <c r="B39" s="7" t="str">
        <f>CONCATENATE(A39,[12]resumen_pais_destino!B67)</f>
        <v xml:space="preserve">   Países Bajos </v>
      </c>
      <c r="C39" s="22">
        <f>[12]resumen_pais_destino!C67/1000000</f>
        <v>18.519513</v>
      </c>
      <c r="D39" s="25">
        <f>[12]resumen_pais_destino!D67/1000000</f>
        <v>25.955950000000001</v>
      </c>
      <c r="E39" s="22">
        <f t="shared" si="0"/>
        <v>40.154603417487287</v>
      </c>
      <c r="F39" s="22">
        <f t="shared" si="1"/>
        <v>0.88133944067210146</v>
      </c>
      <c r="G39" s="22">
        <f>[12]resumen_pais_destino!E67/1000000</f>
        <v>2.683681</v>
      </c>
      <c r="H39" s="25">
        <f>[12]resumen_pais_destino!F67/1000000</f>
        <v>2.3102710000000002</v>
      </c>
      <c r="I39" s="22">
        <f t="shared" si="3"/>
        <v>-13.914097838006823</v>
      </c>
      <c r="J39" s="22">
        <f t="shared" si="5"/>
        <v>0.82187058617917919</v>
      </c>
      <c r="K39" s="16"/>
    </row>
    <row r="40" spans="1:11">
      <c r="A40" s="14" t="s">
        <v>86</v>
      </c>
      <c r="B40" s="7" t="str">
        <f>CONCATENATE(A40,[12]resumen_pais_destino!B68)</f>
        <v xml:space="preserve">   Reino Unido </v>
      </c>
      <c r="C40" s="22">
        <f>[12]resumen_pais_destino!C68/1000000</f>
        <v>16.264762000000001</v>
      </c>
      <c r="D40" s="25">
        <f>[12]resumen_pais_destino!D68/1000000</f>
        <v>29.158180999999999</v>
      </c>
      <c r="E40" s="22">
        <f t="shared" si="0"/>
        <v>79.272103704929691</v>
      </c>
      <c r="F40" s="22">
        <f t="shared" si="1"/>
        <v>0.9900718306806684</v>
      </c>
      <c r="G40" s="22">
        <f>[12]resumen_pais_destino!E68/1000000</f>
        <v>2.7805490000000002</v>
      </c>
      <c r="H40" s="25">
        <f>[12]resumen_pais_destino!F68/1000000</f>
        <v>3.9424299999999999</v>
      </c>
      <c r="I40" s="22">
        <f t="shared" si="3"/>
        <v>41.786028586441006</v>
      </c>
      <c r="J40" s="22">
        <f t="shared" si="5"/>
        <v>1.4025052710571104</v>
      </c>
      <c r="K40" s="16"/>
    </row>
    <row r="41" spans="1:11">
      <c r="A41" s="14" t="s">
        <v>86</v>
      </c>
      <c r="B41" s="9" t="str">
        <f>CONCATENATE(A41,[12]resumen_pais_destino!B69)</f>
        <v xml:space="preserve">   Suecia </v>
      </c>
      <c r="C41" s="22">
        <f>[12]resumen_pais_destino!C69/1000000</f>
        <v>2.2896139999999998</v>
      </c>
      <c r="D41" s="25">
        <f>[12]resumen_pais_destino!D69/1000000</f>
        <v>5.6081779999999997</v>
      </c>
      <c r="E41" s="22">
        <f t="shared" si="0"/>
        <v>144.93988943114431</v>
      </c>
      <c r="F41" s="22">
        <f t="shared" si="1"/>
        <v>0.19042679854559685</v>
      </c>
      <c r="G41" s="22">
        <f>[12]resumen_pais_destino!E69/1000000</f>
        <v>0.139122</v>
      </c>
      <c r="H41" s="25">
        <f>[12]resumen_pais_destino!F69/1000000</f>
        <v>0.65094600000000002</v>
      </c>
      <c r="I41" s="22">
        <f t="shared" si="3"/>
        <v>367.89580368309834</v>
      </c>
      <c r="J41" s="22">
        <f t="shared" si="5"/>
        <v>0.23157169465876168</v>
      </c>
      <c r="K41" s="16"/>
    </row>
    <row r="42" spans="1:11">
      <c r="A42" s="14" t="s">
        <v>86</v>
      </c>
      <c r="B42" s="9" t="str">
        <f>CONCATENATE(A42,[12]resumen_pais_destino!B70)</f>
        <v xml:space="preserve">   Resto </v>
      </c>
      <c r="C42" s="22">
        <f>[12]resumen_pais_destino!C70/1000000</f>
        <v>8.7169919999999994</v>
      </c>
      <c r="D42" s="25">
        <f>[12]resumen_pais_destino!D70/1000000</f>
        <v>7.8461400000000001</v>
      </c>
      <c r="E42" s="22">
        <f t="shared" si="0"/>
        <v>-9.9902810510781652</v>
      </c>
      <c r="F42" s="22">
        <f t="shared" si="1"/>
        <v>0.26641724302269815</v>
      </c>
      <c r="G42" s="22">
        <f>[12]resumen_pais_destino!E70/1000000</f>
        <v>0.47955599999999998</v>
      </c>
      <c r="H42" s="25">
        <f>[12]resumen_pais_destino!F70/1000000</f>
        <v>0.85404500000000005</v>
      </c>
      <c r="I42" s="22">
        <f t="shared" si="3"/>
        <v>78.090775634128249</v>
      </c>
      <c r="J42" s="22">
        <f t="shared" si="5"/>
        <v>0.30382343230443409</v>
      </c>
      <c r="K42" s="16"/>
    </row>
    <row r="43" spans="1:11">
      <c r="A43" s="14"/>
      <c r="B43" s="9" t="str">
        <f>[12]resumen_pais_destino!B84</f>
        <v>Suiza</v>
      </c>
      <c r="C43" s="22">
        <f>[12]resumen_pais_destino!C84/1000000</f>
        <v>125.064527</v>
      </c>
      <c r="D43" s="25">
        <f>[12]resumen_pais_destino!D84/1000000</f>
        <v>95.235551999999998</v>
      </c>
      <c r="E43" s="22">
        <f t="shared" si="0"/>
        <v>-23.850867800427533</v>
      </c>
      <c r="F43" s="22">
        <f t="shared" si="1"/>
        <v>3.2337420950409763</v>
      </c>
      <c r="G43" s="22">
        <f>[12]resumen_pais_destino!E84/1000000</f>
        <v>16.581731000000001</v>
      </c>
      <c r="H43" s="25">
        <f>[12]resumen_pais_destino!F84/1000000</f>
        <v>8.0230379999999997</v>
      </c>
      <c r="I43" s="22">
        <f t="shared" si="3"/>
        <v>-51.615196266300558</v>
      </c>
      <c r="J43" s="22">
        <f t="shared" si="5"/>
        <v>2.854166867868674</v>
      </c>
      <c r="K43" s="16"/>
    </row>
    <row r="44" spans="1:11">
      <c r="A44" s="14"/>
      <c r="B44" s="9" t="s">
        <v>5</v>
      </c>
      <c r="C44" s="22">
        <f>+C13-C14-C31-C43-C28-C29-C30</f>
        <v>459.90890881998843</v>
      </c>
      <c r="D44" s="25">
        <f>+D13-D14-D31-D43-D28-D29-D30</f>
        <v>529.79592180004681</v>
      </c>
      <c r="E44" s="22">
        <f t="shared" si="0"/>
        <v>15.195838053968336</v>
      </c>
      <c r="F44" s="22">
        <f t="shared" si="1"/>
        <v>17.989325815067978</v>
      </c>
      <c r="G44" s="22">
        <f t="shared" ref="G44:H44" si="6">+G13-G14-G31-G43-G28-G29-G30</f>
        <v>38.295245359999626</v>
      </c>
      <c r="H44" s="25">
        <f t="shared" si="6"/>
        <v>95.623083790000265</v>
      </c>
      <c r="I44" s="22">
        <f t="shared" si="3"/>
        <v>149.69962430344174</v>
      </c>
      <c r="J44" s="22">
        <f t="shared" si="5"/>
        <v>34.017567604297625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88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f>+'Resumen exportaciones totales'!C24</f>
        <v>438.52329828999683</v>
      </c>
      <c r="D13" s="25">
        <f>+'Resumen exportaciones totales'!D24</f>
        <v>664.17796263999287</v>
      </c>
      <c r="E13" s="25">
        <f>IF(OR(OR(D13=0,C13=0),D13=""),"",(D13/C13-1)*100)</f>
        <v>51.457850752725555</v>
      </c>
      <c r="F13" s="23">
        <f>(D13/D$13)*100</f>
        <v>100</v>
      </c>
      <c r="G13" s="25">
        <f>+'Resumen exportaciones totales'!G24</f>
        <v>44.622080470000014</v>
      </c>
      <c r="H13" s="25">
        <f>+'Resumen exportaciones totales'!H24</f>
        <v>106.15144891</v>
      </c>
      <c r="I13" s="25">
        <f>IF(OR(OR(H13=0,G13=0),H13=""),"",(H13/G13-1)*100)</f>
        <v>137.88995894390661</v>
      </c>
      <c r="J13" s="23">
        <f>(H13/H$13)*100</f>
        <v>100</v>
      </c>
      <c r="K13" s="16"/>
    </row>
    <row r="14" spans="1:14">
      <c r="A14" s="14"/>
      <c r="B14" s="10" t="s">
        <v>54</v>
      </c>
      <c r="C14" s="22">
        <f>+C15+C19</f>
        <v>63.198548000000002</v>
      </c>
      <c r="D14" s="25">
        <f>+D15+D19</f>
        <v>31.882639000000001</v>
      </c>
      <c r="E14" s="22">
        <f t="shared" ref="E14:E43" si="0">IF(OR(OR(D14=0,C14=0),D14=""),"",(D14/C14-1)*100)</f>
        <v>-49.551627357008265</v>
      </c>
      <c r="F14" s="22">
        <f t="shared" ref="F14:F43" si="1">(D14/D$13)*100</f>
        <v>4.8003156975085428</v>
      </c>
      <c r="G14" s="22">
        <f>+G15+G19</f>
        <v>6.2419279999999997</v>
      </c>
      <c r="H14" s="25">
        <f t="shared" ref="H14" si="2">+H15+H19</f>
        <v>0.83993400000000007</v>
      </c>
      <c r="I14" s="22">
        <f t="shared" ref="I14:I43" si="3">IF(OR(OR(H14=0,G14=0),H14=""),"",(H14/G14-1)*100)</f>
        <v>-86.543676889576432</v>
      </c>
      <c r="J14" s="22">
        <f>(H14/H$13)*100</f>
        <v>0.79126004272643891</v>
      </c>
      <c r="K14" s="16"/>
    </row>
    <row r="15" spans="1:14">
      <c r="A15" s="14"/>
      <c r="B15" s="10" t="s">
        <v>76</v>
      </c>
      <c r="C15" s="22">
        <f>+SUM(C16:C18)</f>
        <v>24.990877999999999</v>
      </c>
      <c r="D15" s="25">
        <f>+SUM(D16:D18)</f>
        <v>14.090177000000001</v>
      </c>
      <c r="E15" s="22">
        <f t="shared" si="0"/>
        <v>-43.618719598407061</v>
      </c>
      <c r="F15" s="22">
        <f>(D15/D$13)*100</f>
        <v>2.1214460269042918</v>
      </c>
      <c r="G15" s="22">
        <f t="shared" ref="G15:H15" si="4">+SUM(G16:G18)</f>
        <v>4.9596549999999997</v>
      </c>
      <c r="H15" s="25">
        <f t="shared" si="4"/>
        <v>0.83792400000000011</v>
      </c>
      <c r="I15" s="22">
        <f t="shared" si="3"/>
        <v>-83.10519582511283</v>
      </c>
      <c r="J15" s="22">
        <f t="shared" ref="J15:J43" si="5">(H15/H$13)*100</f>
        <v>0.78936652170469201</v>
      </c>
      <c r="K15" s="16"/>
    </row>
    <row r="16" spans="1:14">
      <c r="A16" s="14" t="s">
        <v>86</v>
      </c>
      <c r="B16" s="9" t="str">
        <f>CONCATENATE(A16,[13]resumen_pais_dest_prim!B7)</f>
        <v xml:space="preserve">   Bolivia</v>
      </c>
      <c r="C16" s="22">
        <f>[13]resumen_pais_dest_prim!C7/1000000</f>
        <v>3.0690000000000001E-3</v>
      </c>
      <c r="D16" s="25">
        <f>[13]resumen_pais_dest_prim!D7/1000000</f>
        <v>1.98E-3</v>
      </c>
      <c r="E16" s="22">
        <f t="shared" si="0"/>
        <v>-35.483870967741936</v>
      </c>
      <c r="F16" s="22">
        <f t="shared" si="1"/>
        <v>2.981128720576397E-4</v>
      </c>
      <c r="G16" s="22">
        <f>[13]resumen_pais_dest_prim!E7/1000000</f>
        <v>0</v>
      </c>
      <c r="H16" s="25">
        <f>[13]resumen_pais_dest_prim!F7/1000000</f>
        <v>0</v>
      </c>
      <c r="I16" s="22" t="str">
        <f t="shared" si="3"/>
        <v/>
      </c>
      <c r="J16" s="22">
        <f t="shared" si="5"/>
        <v>0</v>
      </c>
      <c r="K16" s="16"/>
    </row>
    <row r="17" spans="1:11">
      <c r="A17" s="14" t="s">
        <v>86</v>
      </c>
      <c r="B17" s="9" t="str">
        <f>CONCATENATE(A17,[13]resumen_pais_dest_prim!B8)</f>
        <v xml:space="preserve">   Ecuador</v>
      </c>
      <c r="C17" s="22">
        <f>[13]resumen_pais_dest_prim!C8/1000000</f>
        <v>2.2094</v>
      </c>
      <c r="D17" s="25">
        <f>[13]resumen_pais_dest_prim!D8/1000000</f>
        <v>4.3247489999999997</v>
      </c>
      <c r="E17" s="22">
        <f t="shared" si="0"/>
        <v>95.743142934733399</v>
      </c>
      <c r="F17" s="22">
        <f t="shared" si="1"/>
        <v>0.65114310369616424</v>
      </c>
      <c r="G17" s="22">
        <f>[13]resumen_pais_dest_prim!E8/1000000</f>
        <v>0.180422</v>
      </c>
      <c r="H17" s="25">
        <f>[13]resumen_pais_dest_prim!F8/1000000</f>
        <v>0.53778400000000004</v>
      </c>
      <c r="I17" s="22">
        <f t="shared" si="3"/>
        <v>198.07008014543683</v>
      </c>
      <c r="J17" s="22">
        <f t="shared" si="5"/>
        <v>0.5066195567956473</v>
      </c>
      <c r="K17" s="16"/>
    </row>
    <row r="18" spans="1:11">
      <c r="A18" s="14" t="s">
        <v>86</v>
      </c>
      <c r="B18" s="9" t="str">
        <f>CONCATENATE(A18,[13]resumen_pais_dest_prim!B9)</f>
        <v xml:space="preserve">   Perú </v>
      </c>
      <c r="C18" s="22">
        <f>[13]resumen_pais_dest_prim!C9/1000000</f>
        <v>22.778409</v>
      </c>
      <c r="D18" s="25">
        <f>[13]resumen_pais_dest_prim!D9/1000000</f>
        <v>9.7634480000000003</v>
      </c>
      <c r="E18" s="22">
        <f t="shared" si="0"/>
        <v>-57.137269771563062</v>
      </c>
      <c r="F18" s="22">
        <f t="shared" si="1"/>
        <v>1.4700048103360699</v>
      </c>
      <c r="G18" s="22">
        <f>[13]resumen_pais_dest_prim!E9/1000000</f>
        <v>4.7792329999999996</v>
      </c>
      <c r="H18" s="25">
        <f>[13]resumen_pais_dest_prim!F9/1000000</f>
        <v>0.30014000000000002</v>
      </c>
      <c r="I18" s="22">
        <f t="shared" si="3"/>
        <v>-93.719912797722984</v>
      </c>
      <c r="J18" s="22">
        <f t="shared" si="5"/>
        <v>0.2827469649090445</v>
      </c>
      <c r="K18" s="16"/>
    </row>
    <row r="19" spans="1:11">
      <c r="A19" s="14"/>
      <c r="B19" s="10" t="s">
        <v>77</v>
      </c>
      <c r="C19" s="22">
        <f>SUM(C20:C26)</f>
        <v>38.20767</v>
      </c>
      <c r="D19" s="25">
        <f>SUM(D20:D26)</f>
        <v>17.792462</v>
      </c>
      <c r="E19" s="22">
        <f t="shared" si="0"/>
        <v>-53.432224472206755</v>
      </c>
      <c r="F19" s="22">
        <f t="shared" si="1"/>
        <v>2.6788696706042505</v>
      </c>
      <c r="G19" s="22">
        <f>SUM(G20:G26)</f>
        <v>1.282273</v>
      </c>
      <c r="H19" s="25">
        <f>+[11]resumen_pais_destino!F22/1000000</f>
        <v>2.0100000000000001E-3</v>
      </c>
      <c r="I19" s="22">
        <f t="shared" si="3"/>
        <v>-99.843247108845006</v>
      </c>
      <c r="J19" s="22">
        <f t="shared" si="5"/>
        <v>1.893521021747116E-3</v>
      </c>
      <c r="K19" s="16"/>
    </row>
    <row r="20" spans="1:11">
      <c r="A20" s="14" t="s">
        <v>86</v>
      </c>
      <c r="B20" s="9" t="str">
        <f>CONCATENATE(A20,[13]resumen_pais_dest_prim!B23)</f>
        <v xml:space="preserve">   Argentina</v>
      </c>
      <c r="C20" s="22">
        <f>[13]resumen_pais_dest_prim!C23/1000000</f>
        <v>2.0727929999999999</v>
      </c>
      <c r="D20" s="25">
        <f>[13]resumen_pais_dest_prim!D23/1000000</f>
        <v>2.0678670000000001</v>
      </c>
      <c r="E20" s="22">
        <f t="shared" si="0"/>
        <v>-0.23765035871887719</v>
      </c>
      <c r="F20" s="22">
        <f t="shared" si="1"/>
        <v>0.3113423082844522</v>
      </c>
      <c r="G20" s="22">
        <f>[13]resumen_pais_dest_prim!E23/1000000</f>
        <v>0.16211800000000001</v>
      </c>
      <c r="H20" s="25">
        <f>[13]resumen_pais_dest_prim!F23/1000000</f>
        <v>0.30210100000000001</v>
      </c>
      <c r="I20" s="22">
        <f t="shared" si="3"/>
        <v>86.346364993399874</v>
      </c>
      <c r="J20" s="22">
        <f t="shared" si="5"/>
        <v>0.2845943254680724</v>
      </c>
      <c r="K20" s="16"/>
    </row>
    <row r="21" spans="1:11">
      <c r="A21" s="14" t="s">
        <v>86</v>
      </c>
      <c r="B21" s="9" t="str">
        <f>CONCATENATE(A21,[13]resumen_pais_dest_prim!B24)</f>
        <v xml:space="preserve">   Brasil </v>
      </c>
      <c r="C21" s="22">
        <f>[13]resumen_pais_dest_prim!C24/1000000</f>
        <v>6.4864280000000001</v>
      </c>
      <c r="D21" s="25">
        <f>[13]resumen_pais_dest_prim!D24/1000000</f>
        <v>7.7960849999999997</v>
      </c>
      <c r="E21" s="22">
        <f t="shared" si="0"/>
        <v>20.19072746972601</v>
      </c>
      <c r="F21" s="22">
        <f t="shared" si="1"/>
        <v>1.1737945909876182</v>
      </c>
      <c r="G21" s="22">
        <f>[13]resumen_pais_dest_prim!E24/1000000</f>
        <v>0.47892000000000001</v>
      </c>
      <c r="H21" s="25">
        <f>[13]resumen_pais_dest_prim!F24/1000000</f>
        <v>0.70167000000000002</v>
      </c>
      <c r="I21" s="22">
        <f t="shared" si="3"/>
        <v>46.510899523928842</v>
      </c>
      <c r="J21" s="22">
        <f t="shared" si="5"/>
        <v>0.66100840563646723</v>
      </c>
      <c r="K21" s="16"/>
    </row>
    <row r="22" spans="1:11">
      <c r="A22" s="14" t="s">
        <v>86</v>
      </c>
      <c r="B22" s="9" t="str">
        <f>CONCATENATE(A22,[13]resumen_pais_dest_prim!B25)</f>
        <v xml:space="preserve">   Cuba </v>
      </c>
      <c r="C22" s="22">
        <f>[13]resumen_pais_dest_prim!C25/1000000</f>
        <v>1.0373570000000001</v>
      </c>
      <c r="D22" s="25">
        <f>[13]resumen_pais_dest_prim!D25/1000000</f>
        <v>0.161908</v>
      </c>
      <c r="E22" s="22">
        <f t="shared" si="0"/>
        <v>-84.392258402844917</v>
      </c>
      <c r="F22" s="22">
        <f t="shared" si="1"/>
        <v>2.4377201459145618E-2</v>
      </c>
      <c r="G22" s="22">
        <f>[13]resumen_pais_dest_prim!E25/1000000</f>
        <v>6.1090999999999999E-2</v>
      </c>
      <c r="H22" s="25">
        <f>[13]resumen_pais_dest_prim!F25/1000000</f>
        <v>2.9505E-2</v>
      </c>
      <c r="I22" s="22">
        <f t="shared" si="3"/>
        <v>-51.703196870242749</v>
      </c>
      <c r="J22" s="22">
        <f t="shared" si="5"/>
        <v>2.7795192908780426E-2</v>
      </c>
      <c r="K22" s="16"/>
    </row>
    <row r="23" spans="1:11">
      <c r="A23" s="14" t="s">
        <v>86</v>
      </c>
      <c r="B23" s="9" t="str">
        <f>CONCATENATE(A23,[13]resumen_pais_dest_prim!B26)</f>
        <v xml:space="preserve">   Chile </v>
      </c>
      <c r="C23" s="22">
        <f>[13]resumen_pais_dest_prim!C26/1000000</f>
        <v>12.728142999999999</v>
      </c>
      <c r="D23" s="25">
        <f>[13]resumen_pais_dest_prim!D26/1000000</f>
        <v>2.486704</v>
      </c>
      <c r="E23" s="22">
        <f t="shared" si="0"/>
        <v>-80.462947344321947</v>
      </c>
      <c r="F23" s="22">
        <f t="shared" si="1"/>
        <v>0.37440326838243476</v>
      </c>
      <c r="G23" s="22">
        <f>[13]resumen_pais_dest_prim!E26/1000000</f>
        <v>4.4275000000000002E-2</v>
      </c>
      <c r="H23" s="25">
        <f>[13]resumen_pais_dest_prim!F26/1000000</f>
        <v>0.162304</v>
      </c>
      <c r="I23" s="22">
        <f t="shared" si="3"/>
        <v>266.58159232072273</v>
      </c>
      <c r="J23" s="22">
        <f t="shared" si="5"/>
        <v>0.15289852533017112</v>
      </c>
      <c r="K23" s="16"/>
    </row>
    <row r="24" spans="1:11">
      <c r="A24" s="14" t="s">
        <v>86</v>
      </c>
      <c r="B24" s="9" t="str">
        <f>CONCATENATE(A24,[13]resumen_pais_dest_prim!B27)</f>
        <v xml:space="preserve">   México </v>
      </c>
      <c r="C24" s="22">
        <f>[13]resumen_pais_dest_prim!C27/1000000</f>
        <v>1.6125080000000001</v>
      </c>
      <c r="D24" s="25">
        <f>[13]resumen_pais_dest_prim!D27/1000000</f>
        <v>1.505698</v>
      </c>
      <c r="E24" s="22">
        <f t="shared" si="0"/>
        <v>-6.6238431065148262</v>
      </c>
      <c r="F24" s="22">
        <f t="shared" si="1"/>
        <v>0.22670098749062828</v>
      </c>
      <c r="G24" s="22">
        <f>[13]resumen_pais_dest_prim!E27/1000000</f>
        <v>0.137907</v>
      </c>
      <c r="H24" s="25">
        <f>[13]resumen_pais_dest_prim!F27/1000000</f>
        <v>0.23699899999999999</v>
      </c>
      <c r="I24" s="22">
        <f t="shared" si="3"/>
        <v>71.854220597939175</v>
      </c>
      <c r="J24" s="22">
        <f t="shared" si="5"/>
        <v>0.22326496946917648</v>
      </c>
      <c r="K24" s="16"/>
    </row>
    <row r="25" spans="1:11">
      <c r="A25" s="14" t="s">
        <v>86</v>
      </c>
      <c r="B25" s="9" t="str">
        <f>CONCATENATE(A25,[13]resumen_pais_dest_prim!B28)</f>
        <v xml:space="preserve">   Uruguay </v>
      </c>
      <c r="C25" s="22">
        <f>[13]resumen_pais_dest_prim!C28/1000000</f>
        <v>0</v>
      </c>
      <c r="D25" s="25">
        <f>[13]resumen_pais_dest_prim!D28/1000000</f>
        <v>0.24371300000000001</v>
      </c>
      <c r="E25" s="22" t="str">
        <f t="shared" si="0"/>
        <v/>
      </c>
      <c r="F25" s="22">
        <f t="shared" si="1"/>
        <v>3.6693930498880582E-2</v>
      </c>
      <c r="G25" s="22">
        <f>[13]resumen_pais_dest_prim!E28/1000000</f>
        <v>0</v>
      </c>
      <c r="H25" s="25">
        <f>[13]resumen_pais_dest_prim!F28/1000000</f>
        <v>0</v>
      </c>
      <c r="I25" s="22" t="str">
        <f t="shared" si="3"/>
        <v/>
      </c>
      <c r="J25" s="22">
        <f t="shared" si="5"/>
        <v>0</v>
      </c>
      <c r="K25" s="16"/>
    </row>
    <row r="26" spans="1:11">
      <c r="A26" s="14" t="s">
        <v>86</v>
      </c>
      <c r="B26" s="9" t="str">
        <f>CONCATENATE(A26,[13]resumen_pais_dest_prim!B29)</f>
        <v xml:space="preserve">   Venezuela</v>
      </c>
      <c r="C26" s="22">
        <f>[13]resumen_pais_dest_prim!C29/1000000</f>
        <v>14.270441</v>
      </c>
      <c r="D26" s="25">
        <f>[13]resumen_pais_dest_prim!D29/1000000</f>
        <v>3.5304869999999999</v>
      </c>
      <c r="E26" s="22">
        <f t="shared" si="0"/>
        <v>-75.260140874413068</v>
      </c>
      <c r="F26" s="22">
        <f t="shared" si="1"/>
        <v>0.53155738350109094</v>
      </c>
      <c r="G26" s="22">
        <f>[13]resumen_pais_dest_prim!E29/1000000</f>
        <v>0.39796199999999998</v>
      </c>
      <c r="H26" s="25">
        <f>[13]resumen_pais_dest_prim!F29/1000000</f>
        <v>0.25172</v>
      </c>
      <c r="I26" s="22">
        <f t="shared" si="3"/>
        <v>-36.747729682733521</v>
      </c>
      <c r="J26" s="22">
        <f t="shared" si="5"/>
        <v>0.23713289134039009</v>
      </c>
      <c r="K26" s="16"/>
    </row>
    <row r="27" spans="1:11">
      <c r="A27" s="14" t="s">
        <v>86</v>
      </c>
      <c r="B27" s="9" t="str">
        <f>[13]resumen_pais_dest_prim!B43</f>
        <v xml:space="preserve">Canadá </v>
      </c>
      <c r="C27" s="22">
        <f>[13]resumen_pais_dest_prim!C43/1000000</f>
        <v>14.134404999999999</v>
      </c>
      <c r="D27" s="25">
        <f>[13]resumen_pais_dest_prim!D43/1000000</f>
        <v>21.103245999999999</v>
      </c>
      <c r="E27" s="22">
        <f t="shared" si="0"/>
        <v>49.304098757605999</v>
      </c>
      <c r="F27" s="22">
        <f>(D27/D$13)*100</f>
        <v>3.1773481185853014</v>
      </c>
      <c r="G27" s="22">
        <f>[13]resumen_pais_dest_prim!E43/1000000</f>
        <v>1.334398</v>
      </c>
      <c r="H27" s="25">
        <f>[13]resumen_pais_dest_prim!F43/1000000</f>
        <v>1.6611320000000001</v>
      </c>
      <c r="I27" s="22">
        <f t="shared" si="3"/>
        <v>24.485498329583844</v>
      </c>
      <c r="J27" s="22">
        <f t="shared" si="5"/>
        <v>1.5648698317894678</v>
      </c>
      <c r="K27" s="16"/>
    </row>
    <row r="28" spans="1:11">
      <c r="A28" s="14" t="s">
        <v>86</v>
      </c>
      <c r="B28" s="9" t="str">
        <f>[13]resumen_pais_dest_prim!B44</f>
        <v>Estados Unidos</v>
      </c>
      <c r="C28" s="22">
        <f>[13]resumen_pais_dest_prim!C44/1000000</f>
        <v>177.97504699999999</v>
      </c>
      <c r="D28" s="25">
        <f>[13]resumen_pais_dest_prim!D44/1000000</f>
        <v>382.36945800000001</v>
      </c>
      <c r="E28" s="22">
        <f t="shared" si="0"/>
        <v>114.84442029673971</v>
      </c>
      <c r="F28" s="22">
        <f t="shared" si="1"/>
        <v>57.570331975506583</v>
      </c>
      <c r="G28" s="22">
        <f>[13]resumen_pais_dest_prim!E44/1000000</f>
        <v>21.185669999999998</v>
      </c>
      <c r="H28" s="25">
        <f>[13]resumen_pais_dest_prim!F44/1000000</f>
        <v>76.310953999999995</v>
      </c>
      <c r="I28" s="22">
        <f t="shared" si="3"/>
        <v>260.20080554450249</v>
      </c>
      <c r="J28" s="22">
        <f t="shared" si="5"/>
        <v>71.888754024167739</v>
      </c>
      <c r="K28" s="16"/>
    </row>
    <row r="29" spans="1:11">
      <c r="A29" s="14" t="s">
        <v>86</v>
      </c>
      <c r="B29" s="9" t="str">
        <f>[13]resumen_pais_dest_prim!B45</f>
        <v xml:space="preserve">Puerto Rico </v>
      </c>
      <c r="C29" s="22">
        <f>[13]resumen_pais_dest_prim!C45/1000000</f>
        <v>1.002769</v>
      </c>
      <c r="D29" s="25">
        <f>[13]resumen_pais_dest_prim!D45/1000000</f>
        <v>1.309474</v>
      </c>
      <c r="E29" s="22">
        <f t="shared" si="0"/>
        <v>30.585807897930639</v>
      </c>
      <c r="F29" s="22">
        <f t="shared" si="1"/>
        <v>0.19715709849737664</v>
      </c>
      <c r="G29" s="22">
        <f>[13]resumen_pais_dest_prim!E45/1000000</f>
        <v>4.9459000000000003E-2</v>
      </c>
      <c r="H29" s="25">
        <f>[13]resumen_pais_dest_prim!F45/1000000</f>
        <v>0.102696</v>
      </c>
      <c r="I29" s="22">
        <f t="shared" si="3"/>
        <v>107.63865019511107</v>
      </c>
      <c r="J29" s="22">
        <f t="shared" si="5"/>
        <v>9.6744793457383987E-2</v>
      </c>
      <c r="K29" s="16"/>
    </row>
    <row r="30" spans="1:11">
      <c r="A30" s="14"/>
      <c r="B30" s="10" t="s">
        <v>55</v>
      </c>
      <c r="C30" s="22">
        <f>SUM(C31:C41)</f>
        <v>74.061408</v>
      </c>
      <c r="D30" s="25">
        <f>SUM(D31:D41)</f>
        <v>124.046238</v>
      </c>
      <c r="E30" s="22">
        <f t="shared" si="0"/>
        <v>67.491060931490793</v>
      </c>
      <c r="F30" s="22">
        <f t="shared" si="1"/>
        <v>18.676656706124003</v>
      </c>
      <c r="G30" s="22">
        <f>SUM(G31:G41)</f>
        <v>8.3961059999999996</v>
      </c>
      <c r="H30" s="25">
        <f>SUM(H31:H41)</f>
        <v>13.013672</v>
      </c>
      <c r="I30" s="22">
        <f t="shared" si="3"/>
        <v>54.996518624228898</v>
      </c>
      <c r="J30" s="22">
        <f t="shared" si="5"/>
        <v>12.259533085632754</v>
      </c>
      <c r="K30" s="16"/>
    </row>
    <row r="31" spans="1:11">
      <c r="A31" s="14" t="s">
        <v>86</v>
      </c>
      <c r="B31" s="9" t="str">
        <f>CONCATENATE(A31,[13]resumen_pais_dest_prim!B59)</f>
        <v xml:space="preserve">   Alemania </v>
      </c>
      <c r="C31" s="22">
        <f>[13]resumen_pais_dest_prim!C59/1000000</f>
        <v>15.17812</v>
      </c>
      <c r="D31" s="25">
        <f>[13]resumen_pais_dest_prim!D59/1000000</f>
        <v>8.7353670000000001</v>
      </c>
      <c r="E31" s="22">
        <f t="shared" si="0"/>
        <v>-42.447635148490058</v>
      </c>
      <c r="F31" s="22">
        <f t="shared" si="1"/>
        <v>1.3152148206300647</v>
      </c>
      <c r="G31" s="22">
        <f>[13]resumen_pais_dest_prim!E59/1000000</f>
        <v>0.99147399999999997</v>
      </c>
      <c r="H31" s="25">
        <f>[13]resumen_pais_dest_prim!F59/1000000</f>
        <v>0.46575899999999998</v>
      </c>
      <c r="I31" s="22">
        <f t="shared" si="3"/>
        <v>-53.023579034851146</v>
      </c>
      <c r="J31" s="22">
        <f t="shared" si="5"/>
        <v>0.43876838684970898</v>
      </c>
      <c r="K31" s="16"/>
    </row>
    <row r="32" spans="1:11">
      <c r="A32" s="14" t="s">
        <v>86</v>
      </c>
      <c r="B32" s="9" t="str">
        <f>CONCATENATE(A32,[13]resumen_pais_dest_prim!B60)</f>
        <v xml:space="preserve">   Bélgica </v>
      </c>
      <c r="C32" s="22">
        <f>[13]resumen_pais_dest_prim!C60/1000000</f>
        <v>10.959761</v>
      </c>
      <c r="D32" s="25">
        <f>[13]resumen_pais_dest_prim!D60/1000000</f>
        <v>23.494581</v>
      </c>
      <c r="E32" s="22">
        <f t="shared" si="0"/>
        <v>114.37128966589691</v>
      </c>
      <c r="F32" s="22">
        <f t="shared" si="1"/>
        <v>3.5373924341923497</v>
      </c>
      <c r="G32" s="22">
        <f>[13]resumen_pais_dest_prim!E60/1000000</f>
        <v>2.6603029999999999</v>
      </c>
      <c r="H32" s="25">
        <f>[13]resumen_pais_dest_prim!F60/1000000</f>
        <v>3.1525799999999999</v>
      </c>
      <c r="I32" s="22">
        <f t="shared" si="3"/>
        <v>18.504546286644796</v>
      </c>
      <c r="J32" s="22">
        <f t="shared" si="5"/>
        <v>2.9698888073330965</v>
      </c>
      <c r="K32" s="16"/>
    </row>
    <row r="33" spans="1:11">
      <c r="A33" s="14" t="s">
        <v>86</v>
      </c>
      <c r="B33" s="9" t="str">
        <f>CONCATENATE(A33,[13]resumen_pais_dest_prim!B61)</f>
        <v xml:space="preserve">   España </v>
      </c>
      <c r="C33" s="22">
        <f>[13]resumen_pais_dest_prim!C61/1000000</f>
        <v>7.8873530000000001</v>
      </c>
      <c r="D33" s="25">
        <f>[13]resumen_pais_dest_prim!D61/1000000</f>
        <v>19.396858999999999</v>
      </c>
      <c r="E33" s="22">
        <f t="shared" si="0"/>
        <v>145.92355635661289</v>
      </c>
      <c r="F33" s="22">
        <f t="shared" si="1"/>
        <v>2.9204309825187256</v>
      </c>
      <c r="G33" s="22">
        <f>[13]resumen_pais_dest_prim!E61/1000000</f>
        <v>0.71539200000000003</v>
      </c>
      <c r="H33" s="25">
        <f>[13]resumen_pais_dest_prim!F61/1000000</f>
        <v>1.8326100000000001</v>
      </c>
      <c r="I33" s="22">
        <f t="shared" si="3"/>
        <v>156.16864600107351</v>
      </c>
      <c r="J33" s="22">
        <f t="shared" si="5"/>
        <v>1.7264107262009867</v>
      </c>
      <c r="K33" s="16"/>
    </row>
    <row r="34" spans="1:11">
      <c r="A34" s="14" t="s">
        <v>86</v>
      </c>
      <c r="B34" s="9" t="str">
        <f>CONCATENATE(A34,[13]resumen_pais_dest_prim!B62)</f>
        <v xml:space="preserve">   Eslovenia </v>
      </c>
      <c r="C34" s="22">
        <f>[13]resumen_pais_dest_prim!C62/1000000</f>
        <v>9.5779999999999997E-3</v>
      </c>
      <c r="D34" s="25">
        <f>[13]resumen_pais_dest_prim!D62/1000000</f>
        <v>2.3639269999999999</v>
      </c>
      <c r="E34" s="22">
        <f t="shared" si="0"/>
        <v>24580.799749425769</v>
      </c>
      <c r="F34" s="22">
        <f t="shared" si="1"/>
        <v>0.35591771075989903</v>
      </c>
      <c r="G34" s="22">
        <f>[13]resumen_pais_dest_prim!E62/1000000</f>
        <v>0</v>
      </c>
      <c r="H34" s="25">
        <f>[13]resumen_pais_dest_prim!F62/1000000</f>
        <v>7.7660000000000003E-3</v>
      </c>
      <c r="I34" s="22" t="str">
        <f t="shared" si="3"/>
        <v/>
      </c>
      <c r="J34" s="22">
        <f t="shared" si="5"/>
        <v>7.315962315864729E-3</v>
      </c>
      <c r="K34" s="16"/>
    </row>
    <row r="35" spans="1:11">
      <c r="A35" s="14" t="s">
        <v>86</v>
      </c>
      <c r="B35" s="9" t="str">
        <f>CONCATENATE(A35,[13]resumen_pais_dest_prim!B63)</f>
        <v xml:space="preserve">   Finlandia </v>
      </c>
      <c r="C35" s="22">
        <f>[13]resumen_pais_dest_prim!C63/1000000</f>
        <v>0.42320600000000003</v>
      </c>
      <c r="D35" s="25">
        <f>[13]resumen_pais_dest_prim!D63/1000000</f>
        <v>3.983765</v>
      </c>
      <c r="E35" s="22">
        <f t="shared" si="0"/>
        <v>841.32999059559643</v>
      </c>
      <c r="F35" s="22">
        <f t="shared" si="1"/>
        <v>0.59980385139025405</v>
      </c>
      <c r="G35" s="22">
        <f>[13]resumen_pais_dest_prim!E63/1000000</f>
        <v>1.5709000000000001E-2</v>
      </c>
      <c r="H35" s="25">
        <f>[13]resumen_pais_dest_prim!F63/1000000</f>
        <v>7.5727000000000003E-2</v>
      </c>
      <c r="I35" s="22">
        <f t="shared" si="3"/>
        <v>382.06123878031696</v>
      </c>
      <c r="J35" s="22">
        <f t="shared" si="5"/>
        <v>7.1338640006887499E-2</v>
      </c>
      <c r="K35" s="16"/>
    </row>
    <row r="36" spans="1:11">
      <c r="A36" s="14" t="s">
        <v>86</v>
      </c>
      <c r="B36" s="9" t="str">
        <f>CONCATENATE(A36,[13]resumen_pais_dest_prim!B64)</f>
        <v xml:space="preserve">   Francia </v>
      </c>
      <c r="C36" s="22">
        <f>[13]resumen_pais_dest_prim!C64/1000000</f>
        <v>5.9791970000000001</v>
      </c>
      <c r="D36" s="25">
        <f>[13]resumen_pais_dest_prim!D64/1000000</f>
        <v>8.8440150000000006</v>
      </c>
      <c r="E36" s="22">
        <f t="shared" si="0"/>
        <v>47.913089332898728</v>
      </c>
      <c r="F36" s="22">
        <f t="shared" si="1"/>
        <v>1.3315730869549731</v>
      </c>
      <c r="G36" s="22">
        <f>[13]resumen_pais_dest_prim!E64/1000000</f>
        <v>0.39952100000000002</v>
      </c>
      <c r="H36" s="25">
        <f>[13]resumen_pais_dest_prim!F64/1000000</f>
        <v>0.58588700000000005</v>
      </c>
      <c r="I36" s="22">
        <f t="shared" si="3"/>
        <v>46.647360213856089</v>
      </c>
      <c r="J36" s="22">
        <f t="shared" si="5"/>
        <v>0.55193500043201638</v>
      </c>
      <c r="K36" s="16"/>
    </row>
    <row r="37" spans="1:11">
      <c r="A37" s="14" t="s">
        <v>86</v>
      </c>
      <c r="B37" s="9" t="str">
        <f>CONCATENATE(A37,[13]resumen_pais_dest_prim!B65)</f>
        <v xml:space="preserve">   Italia </v>
      </c>
      <c r="C37" s="22">
        <f>[13]resumen_pais_dest_prim!C65/1000000</f>
        <v>8.6115049999999993</v>
      </c>
      <c r="D37" s="25">
        <f>[13]resumen_pais_dest_prim!D65/1000000</f>
        <v>12.127428999999999</v>
      </c>
      <c r="E37" s="22">
        <f t="shared" si="0"/>
        <v>40.828217599594964</v>
      </c>
      <c r="F37" s="22">
        <f t="shared" si="1"/>
        <v>1.8259306514470248</v>
      </c>
      <c r="G37" s="22">
        <f>[13]resumen_pais_dest_prim!E65/1000000</f>
        <v>0.39172099999999999</v>
      </c>
      <c r="H37" s="25">
        <f>[13]resumen_pais_dest_prim!F65/1000000</f>
        <v>1.1082719999999999</v>
      </c>
      <c r="I37" s="22">
        <f t="shared" si="3"/>
        <v>182.92381567493189</v>
      </c>
      <c r="J37" s="22">
        <f t="shared" si="5"/>
        <v>1.0440479252804578</v>
      </c>
      <c r="K37" s="16"/>
    </row>
    <row r="38" spans="1:11">
      <c r="A38" s="14" t="s">
        <v>86</v>
      </c>
      <c r="B38" s="9" t="str">
        <f>CONCATENATE(A38,[13]resumen_pais_dest_prim!B66)</f>
        <v xml:space="preserve">   Países Bajos </v>
      </c>
      <c r="C38" s="22">
        <f>[13]resumen_pais_dest_prim!C66/1000000</f>
        <v>8.6482960000000002</v>
      </c>
      <c r="D38" s="25">
        <f>[13]resumen_pais_dest_prim!D66/1000000</f>
        <v>15.886464</v>
      </c>
      <c r="E38" s="22">
        <f t="shared" si="0"/>
        <v>83.694730152621972</v>
      </c>
      <c r="F38" s="22">
        <f t="shared" si="1"/>
        <v>2.3918986918587368</v>
      </c>
      <c r="G38" s="22">
        <f>[13]resumen_pais_dest_prim!E66/1000000</f>
        <v>0.78315900000000005</v>
      </c>
      <c r="H38" s="25">
        <f>[13]resumen_pais_dest_prim!F66/1000000</f>
        <v>1.7993859999999999</v>
      </c>
      <c r="I38" s="22">
        <f t="shared" si="3"/>
        <v>129.75998488174176</v>
      </c>
      <c r="J38" s="22">
        <f t="shared" si="5"/>
        <v>1.6951120483768438</v>
      </c>
      <c r="K38" s="16"/>
    </row>
    <row r="39" spans="1:11">
      <c r="A39" s="14" t="s">
        <v>86</v>
      </c>
      <c r="B39" s="9" t="str">
        <f>CONCATENATE(A39,[13]resumen_pais_dest_prim!B67)</f>
        <v xml:space="preserve">   Reino Unido </v>
      </c>
      <c r="C39" s="22">
        <f>[13]resumen_pais_dest_prim!C67/1000000</f>
        <v>8.3160910000000001</v>
      </c>
      <c r="D39" s="25">
        <f>[13]resumen_pais_dest_prim!D67/1000000</f>
        <v>22.324745</v>
      </c>
      <c r="E39" s="22">
        <f t="shared" si="0"/>
        <v>168.45238947000462</v>
      </c>
      <c r="F39" s="22">
        <f t="shared" si="1"/>
        <v>3.3612595201537534</v>
      </c>
      <c r="G39" s="22">
        <f>[13]resumen_pais_dest_prim!E67/1000000</f>
        <v>2.0769920000000002</v>
      </c>
      <c r="H39" s="25">
        <f>[13]resumen_pais_dest_prim!F67/1000000</f>
        <v>3.4906579999999998</v>
      </c>
      <c r="I39" s="22">
        <f t="shared" si="3"/>
        <v>68.063141312051243</v>
      </c>
      <c r="J39" s="22">
        <f t="shared" si="5"/>
        <v>3.2883752749899227</v>
      </c>
      <c r="K39" s="16"/>
    </row>
    <row r="40" spans="1:11">
      <c r="A40" s="14" t="s">
        <v>86</v>
      </c>
      <c r="B40" s="9" t="str">
        <f>CONCATENATE(A40,[13]resumen_pais_dest_prim!B68)</f>
        <v xml:space="preserve">   Suecia </v>
      </c>
      <c r="C40" s="22">
        <f>[13]resumen_pais_dest_prim!C68/1000000</f>
        <v>1.87327</v>
      </c>
      <c r="D40" s="25">
        <f>[13]resumen_pais_dest_prim!D68/1000000</f>
        <v>3.6984460000000001</v>
      </c>
      <c r="E40" s="22">
        <f t="shared" si="0"/>
        <v>97.432617828716644</v>
      </c>
      <c r="F40" s="22">
        <f t="shared" si="1"/>
        <v>0.55684563596469161</v>
      </c>
      <c r="G40" s="22">
        <f>[13]resumen_pais_dest_prim!E68/1000000</f>
        <v>0.111652</v>
      </c>
      <c r="H40" s="25">
        <f>[13]resumen_pais_dest_prim!F68/1000000</f>
        <v>5.0541000000000003E-2</v>
      </c>
      <c r="I40" s="22">
        <f t="shared" si="3"/>
        <v>-54.733457528750037</v>
      </c>
      <c r="J40" s="22">
        <f t="shared" si="5"/>
        <v>4.7612162169214434E-2</v>
      </c>
      <c r="K40" s="16"/>
    </row>
    <row r="41" spans="1:11">
      <c r="A41" s="14" t="s">
        <v>86</v>
      </c>
      <c r="B41" s="9" t="str">
        <f>CONCATENATE(A41,[13]resumen_pais_dest_prim!B69)</f>
        <v xml:space="preserve">   Resto </v>
      </c>
      <c r="C41" s="22">
        <f>[13]resumen_pais_dest_prim!C69/1000000</f>
        <v>6.1750309999999997</v>
      </c>
      <c r="D41" s="25">
        <f>[13]resumen_pais_dest_prim!D69/1000000</f>
        <v>3.1906400000000001</v>
      </c>
      <c r="E41" s="22">
        <f t="shared" si="0"/>
        <v>-48.32997599526221</v>
      </c>
      <c r="F41" s="22">
        <f t="shared" si="1"/>
        <v>0.4803893202535291</v>
      </c>
      <c r="G41" s="22">
        <f>[13]resumen_pais_dest_prim!E69/1000000</f>
        <v>0.25018299999999999</v>
      </c>
      <c r="H41" s="25">
        <f>[13]resumen_pais_dest_prim!F69/1000000</f>
        <v>0.44448599999999999</v>
      </c>
      <c r="I41" s="22">
        <f t="shared" si="3"/>
        <v>77.664349696022512</v>
      </c>
      <c r="J41" s="22">
        <f t="shared" si="5"/>
        <v>0.41872815167775557</v>
      </c>
      <c r="K41" s="16"/>
    </row>
    <row r="42" spans="1:11">
      <c r="A42" s="14"/>
      <c r="B42" s="9" t="str">
        <f>[13]resumen_pais_dest_prim!$B$83</f>
        <v>Suiza</v>
      </c>
      <c r="C42" s="22">
        <f>[13]resumen_pais_dest_prim!C83/1000000</f>
        <v>0.79608599999999996</v>
      </c>
      <c r="D42" s="25">
        <f>[13]resumen_pais_dest_prim!D83/1000000</f>
        <v>2.554503</v>
      </c>
      <c r="E42" s="22">
        <f t="shared" si="0"/>
        <v>220.88279406998743</v>
      </c>
      <c r="F42" s="22">
        <f t="shared" si="1"/>
        <v>0.38461122525750341</v>
      </c>
      <c r="G42" s="22">
        <f>[13]resumen_pais_dest_prim!E83/1000000</f>
        <v>8.2490999999999995E-2</v>
      </c>
      <c r="H42" s="25">
        <f>[13]resumen_pais_dest_prim!F83/1000000</f>
        <v>5.7664E-2</v>
      </c>
      <c r="I42" s="22">
        <f t="shared" si="3"/>
        <v>-30.096616600598846</v>
      </c>
      <c r="J42" s="22">
        <f t="shared" si="5"/>
        <v>5.4322386168171991E-2</v>
      </c>
      <c r="K42" s="16"/>
    </row>
    <row r="43" spans="1:11">
      <c r="A43" s="14"/>
      <c r="B43" s="9" t="s">
        <v>5</v>
      </c>
      <c r="C43" s="22">
        <f>+C13-C14-C30-C42-C27-C28-C29</f>
        <v>107.35503528999678</v>
      </c>
      <c r="D43" s="25">
        <f>+D13-D14-D30-D42-D27-D28-D29</f>
        <v>100.91240463999279</v>
      </c>
      <c r="E43" s="22">
        <f t="shared" si="0"/>
        <v>-6.0012375130804045</v>
      </c>
      <c r="F43" s="22">
        <f t="shared" si="1"/>
        <v>15.193579178520675</v>
      </c>
      <c r="G43" s="22">
        <f t="shared" ref="G43:H43" si="6">+G13-G14-G30-G42-G27-G28-G29</f>
        <v>7.3320284700000142</v>
      </c>
      <c r="H43" s="25">
        <f t="shared" si="6"/>
        <v>14.165396910000007</v>
      </c>
      <c r="I43" s="22">
        <f t="shared" si="3"/>
        <v>93.198880336589582</v>
      </c>
      <c r="J43" s="22">
        <f t="shared" si="5"/>
        <v>13.344515836058038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5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89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f>+'Resumen exportaciones totales'!C25</f>
        <v>2325.0066712999833</v>
      </c>
      <c r="D13" s="25">
        <f>+'Resumen exportaciones totales'!D25</f>
        <v>2176.8572570699962</v>
      </c>
      <c r="E13" s="25">
        <f>IF(OR(OR(D13=0,C13=0),D13=""),"",(D13/C13-1)*100)</f>
        <v>-6.371999532678851</v>
      </c>
      <c r="F13" s="23">
        <f>(D13/D$13)*100</f>
        <v>100</v>
      </c>
      <c r="G13" s="25">
        <f>+'Resumen exportaciones totales'!G25</f>
        <v>189.43113292000007</v>
      </c>
      <c r="H13" s="25">
        <f>+'Resumen exportaciones totales'!H25</f>
        <v>168.21963185000027</v>
      </c>
      <c r="I13" s="25">
        <f>IF(OR(OR(H13=0,G13=0),H13=""),"",(H13/G13-1)*100)</f>
        <v>-11.197473584744788</v>
      </c>
      <c r="J13" s="23">
        <f>(H13/H$13)*100</f>
        <v>100</v>
      </c>
      <c r="K13" s="16"/>
    </row>
    <row r="14" spans="1:14">
      <c r="A14" s="14"/>
      <c r="B14" s="10" t="s">
        <v>54</v>
      </c>
      <c r="C14" s="22">
        <f>+C15+C19</f>
        <v>696.93296299999997</v>
      </c>
      <c r="D14" s="25">
        <f>+D15+D19</f>
        <v>879.28237200000012</v>
      </c>
      <c r="E14" s="22">
        <f t="shared" ref="E14:E43" si="0">IF(OR(OR(D14=0,C14=0),D14=""),"",(D14/C14-1)*100)</f>
        <v>26.164555083614282</v>
      </c>
      <c r="F14" s="22">
        <f t="shared" ref="F14:F43" si="1">(D14/D$13)*100</f>
        <v>40.392284296283883</v>
      </c>
      <c r="G14" s="22">
        <f>+G15+G19</f>
        <v>69.154311000000007</v>
      </c>
      <c r="H14" s="25">
        <f t="shared" ref="H14" si="2">+H15+H19</f>
        <v>48.656116999999995</v>
      </c>
      <c r="I14" s="22">
        <f t="shared" ref="I14:I43" si="3">IF(OR(OR(H14=0,G14=0),H14=""),"",(H14/G14-1)*100)</f>
        <v>-29.641238129030036</v>
      </c>
      <c r="J14" s="22">
        <f>(H14/H$13)*100</f>
        <v>28.924160910889498</v>
      </c>
      <c r="K14" s="16"/>
    </row>
    <row r="15" spans="1:14">
      <c r="A15" s="14"/>
      <c r="B15" s="10" t="s">
        <v>76</v>
      </c>
      <c r="C15" s="22">
        <f>+SUM(C16:C18)</f>
        <v>489.45064000000002</v>
      </c>
      <c r="D15" s="25">
        <f>+SUM(D16:D18)</f>
        <v>589.5771830000001</v>
      </c>
      <c r="E15" s="22">
        <f t="shared" si="0"/>
        <v>20.456923501009229</v>
      </c>
      <c r="F15" s="22">
        <f>(D15/D$13)*100</f>
        <v>27.083869697251462</v>
      </c>
      <c r="G15" s="22">
        <f t="shared" ref="G15:H15" si="4">+SUM(G16:G18)</f>
        <v>43.943899000000002</v>
      </c>
      <c r="H15" s="25">
        <f t="shared" si="4"/>
        <v>48.654106999999996</v>
      </c>
      <c r="I15" s="22">
        <f t="shared" si="3"/>
        <v>10.718684748478946</v>
      </c>
      <c r="J15" s="22">
        <f t="shared" ref="J15:J43" si="5">(H15/H$13)*100</f>
        <v>28.922966044405783</v>
      </c>
      <c r="K15" s="16"/>
    </row>
    <row r="16" spans="1:14">
      <c r="A16" s="14" t="s">
        <v>86</v>
      </c>
      <c r="B16" s="9" t="str">
        <f>CONCATENATE(A16,[14]res_pais_dest_manufacturas!B7)</f>
        <v xml:space="preserve">   Bolivia</v>
      </c>
      <c r="C16" s="22">
        <f>[14]res_pais_dest_manufacturas!C7/1000000</f>
        <v>23.390332000000001</v>
      </c>
      <c r="D16" s="25">
        <f>[14]res_pais_dest_manufacturas!D7/1000000</f>
        <v>12.883054</v>
      </c>
      <c r="E16" s="22">
        <f t="shared" si="0"/>
        <v>-44.921457292696829</v>
      </c>
      <c r="F16" s="22">
        <f t="shared" si="1"/>
        <v>0.59181896094281894</v>
      </c>
      <c r="G16" s="22">
        <f>[14]res_pais_dest_manufacturas!E7/1000000</f>
        <v>1.0047509999999999</v>
      </c>
      <c r="H16" s="25">
        <f>[14]res_pais_dest_manufacturas!F7/1000000</f>
        <v>1.093496</v>
      </c>
      <c r="I16" s="22">
        <f t="shared" si="3"/>
        <v>8.8325366185253884</v>
      </c>
      <c r="J16" s="22">
        <f t="shared" si="5"/>
        <v>0.65004065695201341</v>
      </c>
      <c r="K16" s="16"/>
    </row>
    <row r="17" spans="1:11">
      <c r="A17" s="14" t="s">
        <v>86</v>
      </c>
      <c r="B17" s="9" t="str">
        <f>CONCATENATE(A17,[14]res_pais_dest_manufacturas!B8)</f>
        <v xml:space="preserve">   Ecuador</v>
      </c>
      <c r="C17" s="22">
        <f>[14]res_pais_dest_manufacturas!C8/1000000</f>
        <v>337.02982700000001</v>
      </c>
      <c r="D17" s="25">
        <f>[14]res_pais_dest_manufacturas!D8/1000000</f>
        <v>444.73990400000002</v>
      </c>
      <c r="E17" s="22">
        <f t="shared" si="0"/>
        <v>31.958618606180522</v>
      </c>
      <c r="F17" s="22">
        <f t="shared" si="1"/>
        <v>20.430365957876838</v>
      </c>
      <c r="G17" s="22">
        <f>[14]res_pais_dest_manufacturas!E8/1000000</f>
        <v>30.982047000000001</v>
      </c>
      <c r="H17" s="25">
        <f>[14]res_pais_dest_manufacturas!F8/1000000</f>
        <v>36.955109999999998</v>
      </c>
      <c r="I17" s="22">
        <f t="shared" si="3"/>
        <v>19.279110253754371</v>
      </c>
      <c r="J17" s="22">
        <f t="shared" si="5"/>
        <v>21.968369323832839</v>
      </c>
      <c r="K17" s="16"/>
    </row>
    <row r="18" spans="1:11">
      <c r="A18" s="14" t="s">
        <v>86</v>
      </c>
      <c r="B18" s="9" t="str">
        <f>CONCATENATE(A18,[14]res_pais_dest_manufacturas!B9)</f>
        <v xml:space="preserve">   Perú </v>
      </c>
      <c r="C18" s="22">
        <f>[14]res_pais_dest_manufacturas!C9/1000000</f>
        <v>129.03048100000001</v>
      </c>
      <c r="D18" s="25">
        <f>[14]res_pais_dest_manufacturas!D9/1000000</f>
        <v>131.95422500000001</v>
      </c>
      <c r="E18" s="22">
        <f t="shared" si="0"/>
        <v>2.2659328069930984</v>
      </c>
      <c r="F18" s="22">
        <f t="shared" si="1"/>
        <v>6.0616847784318022</v>
      </c>
      <c r="G18" s="22">
        <f>[14]res_pais_dest_manufacturas!E9/1000000</f>
        <v>11.957101</v>
      </c>
      <c r="H18" s="25">
        <f>[14]res_pais_dest_manufacturas!F9/1000000</f>
        <v>10.605501</v>
      </c>
      <c r="I18" s="22">
        <f t="shared" si="3"/>
        <v>-11.303743273557687</v>
      </c>
      <c r="J18" s="22">
        <f t="shared" si="5"/>
        <v>6.3045560636209323</v>
      </c>
      <c r="K18" s="16"/>
    </row>
    <row r="19" spans="1:11">
      <c r="A19" s="14"/>
      <c r="B19" s="10" t="s">
        <v>77</v>
      </c>
      <c r="C19" s="22">
        <f>SUM(C20:C26)</f>
        <v>207.48232300000001</v>
      </c>
      <c r="D19" s="25">
        <f>SUM(D20:D26)</f>
        <v>289.70518900000002</v>
      </c>
      <c r="E19" s="22">
        <f t="shared" si="0"/>
        <v>39.628853586722187</v>
      </c>
      <c r="F19" s="22">
        <f t="shared" si="1"/>
        <v>13.308414599032417</v>
      </c>
      <c r="G19" s="22">
        <f>SUM(G20:G26)</f>
        <v>25.210412000000002</v>
      </c>
      <c r="H19" s="25">
        <f>+[11]resumen_pais_destino!F22/1000000</f>
        <v>2.0100000000000001E-3</v>
      </c>
      <c r="I19" s="22">
        <f t="shared" si="3"/>
        <v>-99.992027103722066</v>
      </c>
      <c r="J19" s="22">
        <f t="shared" si="5"/>
        <v>1.1948664837123748E-3</v>
      </c>
      <c r="K19" s="16"/>
    </row>
    <row r="20" spans="1:11">
      <c r="A20" s="14" t="s">
        <v>86</v>
      </c>
      <c r="B20" s="9" t="str">
        <f>CONCATENATE(A20,[14]res_pais_dest_manufacturas!B23)</f>
        <v xml:space="preserve">   Argentina</v>
      </c>
      <c r="C20" s="22">
        <f>[14]res_pais_dest_manufacturas!C23/1000000</f>
        <v>10.340230999999999</v>
      </c>
      <c r="D20" s="25">
        <f>[14]res_pais_dest_manufacturas!D23/1000000</f>
        <v>15.714073000000001</v>
      </c>
      <c r="E20" s="22">
        <f t="shared" si="0"/>
        <v>51.970231612814089</v>
      </c>
      <c r="F20" s="22">
        <f t="shared" si="1"/>
        <v>0.72186970224914104</v>
      </c>
      <c r="G20" s="22">
        <f>[14]res_pais_dest_manufacturas!E23/1000000</f>
        <v>1.223322</v>
      </c>
      <c r="H20" s="25">
        <f>[14]res_pais_dest_manufacturas!F23/1000000</f>
        <v>0.88256400000000002</v>
      </c>
      <c r="I20" s="22">
        <f t="shared" si="3"/>
        <v>-27.855135442671674</v>
      </c>
      <c r="J20" s="22">
        <f t="shared" si="5"/>
        <v>0.52464982255280013</v>
      </c>
      <c r="K20" s="16"/>
    </row>
    <row r="21" spans="1:11">
      <c r="A21" s="14" t="s">
        <v>86</v>
      </c>
      <c r="B21" s="9" t="str">
        <f>CONCATENATE(A21,[14]res_pais_dest_manufacturas!B24)</f>
        <v xml:space="preserve">   Brasil </v>
      </c>
      <c r="C21" s="22">
        <f>[14]res_pais_dest_manufacturas!C24/1000000</f>
        <v>36.375599999999999</v>
      </c>
      <c r="D21" s="25">
        <f>[14]res_pais_dest_manufacturas!D24/1000000</f>
        <v>93.605407</v>
      </c>
      <c r="E21" s="22">
        <f t="shared" si="0"/>
        <v>157.33020761169576</v>
      </c>
      <c r="F21" s="22">
        <f t="shared" si="1"/>
        <v>4.3000250336115693</v>
      </c>
      <c r="G21" s="22">
        <f>[14]res_pais_dest_manufacturas!E24/1000000</f>
        <v>9.3137609999999995</v>
      </c>
      <c r="H21" s="25">
        <f>[14]res_pais_dest_manufacturas!F24/1000000</f>
        <v>3.6975280000000001</v>
      </c>
      <c r="I21" s="22">
        <f t="shared" si="3"/>
        <v>-60.30037704424668</v>
      </c>
      <c r="J21" s="22">
        <f t="shared" si="5"/>
        <v>2.1980359600935571</v>
      </c>
      <c r="K21" s="16"/>
    </row>
    <row r="22" spans="1:11">
      <c r="A22" s="14" t="s">
        <v>86</v>
      </c>
      <c r="B22" s="9" t="str">
        <f>CONCATENATE(A22,[14]res_pais_dest_manufacturas!B25)</f>
        <v xml:space="preserve">   Cuba </v>
      </c>
      <c r="C22" s="22">
        <f>[14]res_pais_dest_manufacturas!C25/1000000</f>
        <v>5.6247109999999996</v>
      </c>
      <c r="D22" s="25">
        <f>[14]res_pais_dest_manufacturas!D25/1000000</f>
        <v>8.4238979999999994</v>
      </c>
      <c r="E22" s="22">
        <f t="shared" si="0"/>
        <v>49.765881304835034</v>
      </c>
      <c r="F22" s="22">
        <f t="shared" si="1"/>
        <v>0.38697521266683277</v>
      </c>
      <c r="G22" s="22">
        <f>[14]res_pais_dest_manufacturas!E25/1000000</f>
        <v>0.71962099999999996</v>
      </c>
      <c r="H22" s="25">
        <f>[14]res_pais_dest_manufacturas!F25/1000000</f>
        <v>1.071353</v>
      </c>
      <c r="I22" s="22">
        <f t="shared" si="3"/>
        <v>48.877395184409586</v>
      </c>
      <c r="J22" s="22">
        <f t="shared" si="5"/>
        <v>0.63687750842025059</v>
      </c>
      <c r="K22" s="16"/>
    </row>
    <row r="23" spans="1:11">
      <c r="A23" s="14" t="s">
        <v>86</v>
      </c>
      <c r="B23" s="9" t="str">
        <f>CONCATENATE(A23,[14]res_pais_dest_manufacturas!B26)</f>
        <v xml:space="preserve">   Chile </v>
      </c>
      <c r="C23" s="22">
        <f>[14]res_pais_dest_manufacturas!C26/1000000</f>
        <v>48.30406</v>
      </c>
      <c r="D23" s="25">
        <f>[14]res_pais_dest_manufacturas!D26/1000000</f>
        <v>61.048551000000003</v>
      </c>
      <c r="E23" s="22">
        <f t="shared" si="0"/>
        <v>26.383891954423721</v>
      </c>
      <c r="F23" s="22">
        <f t="shared" si="1"/>
        <v>2.8044351921434694</v>
      </c>
      <c r="G23" s="22">
        <f>[14]res_pais_dest_manufacturas!E26/1000000</f>
        <v>4.9518329999999997</v>
      </c>
      <c r="H23" s="25">
        <f>[14]res_pais_dest_manufacturas!F26/1000000</f>
        <v>6.0922289999999997</v>
      </c>
      <c r="I23" s="22">
        <f t="shared" si="3"/>
        <v>23.029775034820442</v>
      </c>
      <c r="J23" s="22">
        <f t="shared" si="5"/>
        <v>3.6215921607962964</v>
      </c>
      <c r="K23" s="16"/>
    </row>
    <row r="24" spans="1:11">
      <c r="A24" s="14" t="s">
        <v>86</v>
      </c>
      <c r="B24" s="9" t="str">
        <f>CONCATENATE(A24,[14]res_pais_dest_manufacturas!B27)</f>
        <v xml:space="preserve">   México </v>
      </c>
      <c r="C24" s="22">
        <f>[14]res_pais_dest_manufacturas!C27/1000000</f>
        <v>101.943366</v>
      </c>
      <c r="D24" s="25">
        <f>[14]res_pais_dest_manufacturas!D27/1000000</f>
        <v>101.258122</v>
      </c>
      <c r="E24" s="22">
        <f t="shared" si="0"/>
        <v>-0.67218106178679182</v>
      </c>
      <c r="F24" s="22">
        <f t="shared" si="1"/>
        <v>4.6515738076593633</v>
      </c>
      <c r="G24" s="22">
        <f>[14]res_pais_dest_manufacturas!E27/1000000</f>
        <v>7.4761879999999996</v>
      </c>
      <c r="H24" s="25">
        <f>[14]res_pais_dest_manufacturas!F27/1000000</f>
        <v>8.4214249999999993</v>
      </c>
      <c r="I24" s="22">
        <f t="shared" si="3"/>
        <v>12.643301639819637</v>
      </c>
      <c r="J24" s="22">
        <f t="shared" si="5"/>
        <v>5.0062081978096931</v>
      </c>
      <c r="K24" s="16"/>
    </row>
    <row r="25" spans="1:11">
      <c r="A25" s="14" t="s">
        <v>86</v>
      </c>
      <c r="B25" s="9" t="str">
        <f>CONCATENATE(A25,[14]res_pais_dest_manufacturas!B28)</f>
        <v xml:space="preserve">   Paraguay </v>
      </c>
      <c r="C25" s="22">
        <f>[14]res_pais_dest_manufacturas!C28/1000000</f>
        <v>1.6136490000000001</v>
      </c>
      <c r="D25" s="25">
        <f>[14]res_pais_dest_manufacturas!D28/1000000</f>
        <v>3.474939</v>
      </c>
      <c r="E25" s="22">
        <f t="shared" si="0"/>
        <v>115.34664601781427</v>
      </c>
      <c r="F25" s="22">
        <f t="shared" si="1"/>
        <v>0.15963099963096314</v>
      </c>
      <c r="G25" s="22">
        <f>[14]res_pais_dest_manufacturas!E28/1000000</f>
        <v>0.17906</v>
      </c>
      <c r="H25" s="25">
        <f>[14]res_pais_dest_manufacturas!F28/1000000</f>
        <v>0.47026899999999999</v>
      </c>
      <c r="I25" s="22">
        <f t="shared" si="3"/>
        <v>162.6320786328605</v>
      </c>
      <c r="J25" s="22">
        <f t="shared" si="5"/>
        <v>0.27955655046215655</v>
      </c>
      <c r="K25" s="16"/>
    </row>
    <row r="26" spans="1:11">
      <c r="A26" s="14" t="s">
        <v>86</v>
      </c>
      <c r="B26" s="9" t="str">
        <f>CONCATENATE(A26,[14]res_pais_dest_manufacturas!B29)</f>
        <v xml:space="preserve">   Uruguay </v>
      </c>
      <c r="C26" s="22">
        <f>[14]res_pais_dest_manufacturas!C29/1000000</f>
        <v>3.2807059999999999</v>
      </c>
      <c r="D26" s="25">
        <f>[14]res_pais_dest_manufacturas!D29/1000000</f>
        <v>6.180199</v>
      </c>
      <c r="E26" s="22">
        <f t="shared" si="0"/>
        <v>88.380153540122166</v>
      </c>
      <c r="F26" s="22">
        <f t="shared" si="1"/>
        <v>0.28390465107107743</v>
      </c>
      <c r="G26" s="22">
        <f>[14]res_pais_dest_manufacturas!E29/1000000</f>
        <v>1.346627</v>
      </c>
      <c r="H26" s="25">
        <f>[14]res_pais_dest_manufacturas!F29/1000000</f>
        <v>3.5949909999999998</v>
      </c>
      <c r="I26" s="22">
        <f t="shared" si="3"/>
        <v>166.96264073124922</v>
      </c>
      <c r="J26" s="22">
        <f t="shared" si="5"/>
        <v>2.137081718978922</v>
      </c>
      <c r="K26" s="16"/>
    </row>
    <row r="27" spans="1:11">
      <c r="A27" s="14" t="s">
        <v>86</v>
      </c>
      <c r="B27" s="9" t="str">
        <f>CONCATENATE(A27,[14]res_pais_dest_manufacturas!B30)</f>
        <v xml:space="preserve">   Venezuela</v>
      </c>
      <c r="C27" s="22">
        <f>[14]res_pais_dest_manufacturas!C30/1000000</f>
        <v>773.04925100000003</v>
      </c>
      <c r="D27" s="25">
        <f>[14]res_pais_dest_manufacturas!D30/1000000</f>
        <v>325.01824900000003</v>
      </c>
      <c r="E27" s="22">
        <f t="shared" ref="E27" si="6">IF(OR(OR(D27=0,C27=0),D27=""),"",(D27/C27-1)*100)</f>
        <v>-57.956333496272926</v>
      </c>
      <c r="F27" s="22">
        <f t="shared" ref="F27" si="7">(D27/D$13)*100</f>
        <v>14.930618346444438</v>
      </c>
      <c r="G27" s="22">
        <f>[14]res_pais_dest_manufacturas!E30/1000000</f>
        <v>34.816194000000003</v>
      </c>
      <c r="H27" s="25">
        <f>[14]res_pais_dest_manufacturas!F30/1000000</f>
        <v>27.882995999999999</v>
      </c>
      <c r="I27" s="22">
        <f t="shared" ref="I27" si="8">IF(OR(OR(H27=0,G27=0),H27=""),"",(H27/G27-1)*100)</f>
        <v>-19.913716013875625</v>
      </c>
      <c r="J27" s="22">
        <f t="shared" ref="J27" si="9">(H27/H$13)*100</f>
        <v>16.575351933276718</v>
      </c>
      <c r="K27" s="16"/>
    </row>
    <row r="28" spans="1:11">
      <c r="A28" s="14" t="s">
        <v>86</v>
      </c>
      <c r="B28" s="9" t="str">
        <f>[14]res_pais_dest_manufacturas!B44</f>
        <v xml:space="preserve">Canadá </v>
      </c>
      <c r="C28" s="22">
        <f>[14]res_pais_dest_manufacturas!C44/1000000</f>
        <v>12.313154000000001</v>
      </c>
      <c r="D28" s="25">
        <f>[14]res_pais_dest_manufacturas!D44/1000000</f>
        <v>10.443177</v>
      </c>
      <c r="E28" s="22">
        <f t="shared" si="0"/>
        <v>-15.186823782111391</v>
      </c>
      <c r="F28" s="22">
        <f t="shared" si="1"/>
        <v>0.47973641661999905</v>
      </c>
      <c r="G28" s="22">
        <f>[14]res_pais_dest_manufacturas!E44/1000000</f>
        <v>4.6734049999999998</v>
      </c>
      <c r="H28" s="25">
        <f>[14]res_pais_dest_manufacturas!F44/1000000</f>
        <v>1.033631</v>
      </c>
      <c r="I28" s="22">
        <f t="shared" si="3"/>
        <v>-77.882700086981544</v>
      </c>
      <c r="J28" s="22">
        <f t="shared" si="5"/>
        <v>0.6144532529483111</v>
      </c>
      <c r="K28" s="16"/>
    </row>
    <row r="29" spans="1:11">
      <c r="A29" s="14" t="s">
        <v>86</v>
      </c>
      <c r="B29" s="9" t="str">
        <f>[14]res_pais_dest_manufacturas!B45</f>
        <v>Estados Unidos</v>
      </c>
      <c r="C29" s="22">
        <f>[14]res_pais_dest_manufacturas!C45/1000000</f>
        <v>282.832382</v>
      </c>
      <c r="D29" s="25">
        <f>[14]res_pais_dest_manufacturas!D45/1000000</f>
        <v>307.08988399999998</v>
      </c>
      <c r="E29" s="22">
        <f t="shared" si="0"/>
        <v>8.5766353302501273</v>
      </c>
      <c r="F29" s="22">
        <f t="shared" si="1"/>
        <v>14.107028975034241</v>
      </c>
      <c r="G29" s="22">
        <f>[14]res_pais_dest_manufacturas!E45/1000000</f>
        <v>23.432811000000001</v>
      </c>
      <c r="H29" s="25">
        <f>[14]res_pais_dest_manufacturas!F45/1000000</f>
        <v>18.789090000000002</v>
      </c>
      <c r="I29" s="22">
        <f t="shared" si="3"/>
        <v>-19.817174303159778</v>
      </c>
      <c r="J29" s="22">
        <f t="shared" si="5"/>
        <v>11.169380049977782</v>
      </c>
      <c r="K29" s="16"/>
    </row>
    <row r="30" spans="1:11">
      <c r="A30" s="14" t="s">
        <v>86</v>
      </c>
      <c r="B30" s="9" t="str">
        <f>[14]res_pais_dest_manufacturas!B46</f>
        <v xml:space="preserve">Puerto Rico </v>
      </c>
      <c r="C30" s="22">
        <f>[14]res_pais_dest_manufacturas!C46/1000000</f>
        <v>18.40306</v>
      </c>
      <c r="D30" s="25">
        <f>[14]res_pais_dest_manufacturas!D46/1000000</f>
        <v>16.396225999999999</v>
      </c>
      <c r="E30" s="22">
        <f t="shared" ref="E30" si="10">IF(OR(OR(D30=0,C30=0),D30=""),"",(D30/C30-1)*100)</f>
        <v>-10.904892990622217</v>
      </c>
      <c r="F30" s="22">
        <f t="shared" ref="F30" si="11">(D30/D$13)*100</f>
        <v>0.75320629989625376</v>
      </c>
      <c r="G30" s="22">
        <f>[14]res_pais_dest_manufacturas!E46/1000000</f>
        <v>1.581275</v>
      </c>
      <c r="H30" s="25">
        <f>[14]res_pais_dest_manufacturas!F46/1000000</f>
        <v>1.5074529999999999</v>
      </c>
      <c r="I30" s="22">
        <f t="shared" ref="I30" si="12">IF(OR(OR(H30=0,G30=0),H30=""),"",(H30/G30-1)*100)</f>
        <v>-4.6685111697838844</v>
      </c>
      <c r="J30" s="22">
        <f t="shared" ref="J30" si="13">(H30/H$13)*100</f>
        <v>0.89612192312023398</v>
      </c>
      <c r="K30" s="16"/>
    </row>
    <row r="31" spans="1:11">
      <c r="A31" s="14"/>
      <c r="B31" s="10" t="s">
        <v>55</v>
      </c>
      <c r="C31" s="22">
        <f>SUM(C32:C41)</f>
        <v>83.723028000000014</v>
      </c>
      <c r="D31" s="25">
        <f>SUM(D32:D41)</f>
        <v>135.51747399999999</v>
      </c>
      <c r="E31" s="22">
        <f t="shared" si="0"/>
        <v>61.864038171194636</v>
      </c>
      <c r="F31" s="22">
        <f t="shared" si="1"/>
        <v>6.2253725438297058</v>
      </c>
      <c r="G31" s="22">
        <f>SUM(G32:G41)</f>
        <v>10.183373999999999</v>
      </c>
      <c r="H31" s="25">
        <f>SUM(H32:H41)</f>
        <v>12.290180000000001</v>
      </c>
      <c r="I31" s="22">
        <f t="shared" si="3"/>
        <v>20.688683338154945</v>
      </c>
      <c r="J31" s="22">
        <f t="shared" si="5"/>
        <v>7.3060319207921163</v>
      </c>
      <c r="K31" s="16"/>
    </row>
    <row r="32" spans="1:11">
      <c r="A32" s="14" t="s">
        <v>86</v>
      </c>
      <c r="B32" s="9" t="str">
        <f>CONCATENATE(A32,[14]res_pais_dest_manufacturas!B60)</f>
        <v xml:space="preserve">   Alemania </v>
      </c>
      <c r="C32" s="22">
        <f>[14]res_pais_dest_manufacturas!C60/1000000</f>
        <v>10.320333</v>
      </c>
      <c r="D32" s="25">
        <f>[14]res_pais_dest_manufacturas!D60/1000000</f>
        <v>11.207668</v>
      </c>
      <c r="E32" s="22">
        <f t="shared" si="0"/>
        <v>8.5979299311369051</v>
      </c>
      <c r="F32" s="22">
        <f t="shared" si="1"/>
        <v>0.5148554395838193</v>
      </c>
      <c r="G32" s="22">
        <f>[14]res_pais_dest_manufacturas!E60/1000000</f>
        <v>0.960449</v>
      </c>
      <c r="H32" s="25">
        <f>[14]res_pais_dest_manufacturas!F60/1000000</f>
        <v>0.51652200000000004</v>
      </c>
      <c r="I32" s="22">
        <f t="shared" si="3"/>
        <v>-46.220777990294117</v>
      </c>
      <c r="J32" s="22">
        <f t="shared" si="5"/>
        <v>0.30705215218909609</v>
      </c>
      <c r="K32" s="16"/>
    </row>
    <row r="33" spans="1:11">
      <c r="A33" s="14" t="s">
        <v>86</v>
      </c>
      <c r="B33" s="9" t="str">
        <f>CONCATENATE(A33,[14]res_pais_dest_manufacturas!B61)</f>
        <v xml:space="preserve">   Bélgica </v>
      </c>
      <c r="C33" s="22">
        <f>[14]res_pais_dest_manufacturas!C61/1000000</f>
        <v>2.6187879999999999</v>
      </c>
      <c r="D33" s="25">
        <f>[14]res_pais_dest_manufacturas!D61/1000000</f>
        <v>3.0465689999999999</v>
      </c>
      <c r="E33" s="22">
        <f t="shared" si="0"/>
        <v>16.335075615131878</v>
      </c>
      <c r="F33" s="22">
        <f t="shared" si="1"/>
        <v>0.13995263079861364</v>
      </c>
      <c r="G33" s="22">
        <f>[14]res_pais_dest_manufacturas!E61/1000000</f>
        <v>0.14607300000000001</v>
      </c>
      <c r="H33" s="25">
        <f>[14]res_pais_dest_manufacturas!F61/1000000</f>
        <v>1.049186</v>
      </c>
      <c r="I33" s="22">
        <f t="shared" si="3"/>
        <v>618.26141723658714</v>
      </c>
      <c r="J33" s="22">
        <f t="shared" si="5"/>
        <v>0.6237000928259957</v>
      </c>
      <c r="K33" s="16"/>
    </row>
    <row r="34" spans="1:11">
      <c r="A34" s="14" t="s">
        <v>86</v>
      </c>
      <c r="B34" s="9" t="str">
        <f>CONCATENATE(A34,[14]res_pais_dest_manufacturas!B62)</f>
        <v xml:space="preserve">   España </v>
      </c>
      <c r="C34" s="22">
        <f>[14]res_pais_dest_manufacturas!C62/1000000</f>
        <v>29.977302999999999</v>
      </c>
      <c r="D34" s="25">
        <f>[14]res_pais_dest_manufacturas!D62/1000000</f>
        <v>18.103452000000001</v>
      </c>
      <c r="E34" s="22">
        <f t="shared" si="0"/>
        <v>-39.609470538427018</v>
      </c>
      <c r="F34" s="22">
        <f t="shared" si="1"/>
        <v>0.83163248032013193</v>
      </c>
      <c r="G34" s="22">
        <f>[14]res_pais_dest_manufacturas!E62/1000000</f>
        <v>3.73047</v>
      </c>
      <c r="H34" s="25">
        <f>[14]res_pais_dest_manufacturas!F62/1000000</f>
        <v>2.0602119999999999</v>
      </c>
      <c r="I34" s="22">
        <f t="shared" si="3"/>
        <v>-44.773393164936323</v>
      </c>
      <c r="J34" s="22">
        <f t="shared" si="5"/>
        <v>1.2247155562895715</v>
      </c>
      <c r="K34" s="16"/>
    </row>
    <row r="35" spans="1:11">
      <c r="A35" s="14" t="s">
        <v>86</v>
      </c>
      <c r="B35" s="9" t="str">
        <f>CONCATENATE(A35,[14]res_pais_dest_manufacturas!B63)</f>
        <v xml:space="preserve">   Francia </v>
      </c>
      <c r="C35" s="22">
        <f>[14]res_pais_dest_manufacturas!C63/1000000</f>
        <v>14.266266</v>
      </c>
      <c r="D35" s="25">
        <f>[14]res_pais_dest_manufacturas!D63/1000000</f>
        <v>21.115351</v>
      </c>
      <c r="E35" s="22">
        <f t="shared" si="0"/>
        <v>48.008953429019208</v>
      </c>
      <c r="F35" s="22">
        <f t="shared" si="1"/>
        <v>0.96999244812316343</v>
      </c>
      <c r="G35" s="22">
        <f>[14]res_pais_dest_manufacturas!E63/1000000</f>
        <v>2.2265579999999998</v>
      </c>
      <c r="H35" s="25">
        <f>[14]res_pais_dest_manufacturas!F63/1000000</f>
        <v>2.3390659999999999</v>
      </c>
      <c r="I35" s="22">
        <f t="shared" si="3"/>
        <v>5.0530010895741384</v>
      </c>
      <c r="J35" s="22">
        <f t="shared" si="5"/>
        <v>1.3904833664632683</v>
      </c>
      <c r="K35" s="16"/>
    </row>
    <row r="36" spans="1:11">
      <c r="A36" s="14" t="s">
        <v>86</v>
      </c>
      <c r="B36" s="9" t="str">
        <f>CONCATENATE(A36,[14]res_pais_dest_manufacturas!B64)</f>
        <v xml:space="preserve">   Grecia </v>
      </c>
      <c r="C36" s="22">
        <f>[14]res_pais_dest_manufacturas!C64/1000000</f>
        <v>0.31720500000000001</v>
      </c>
      <c r="D36" s="25">
        <f>[14]res_pais_dest_manufacturas!D64/1000000</f>
        <v>1.950062</v>
      </c>
      <c r="E36" s="22">
        <f t="shared" si="0"/>
        <v>514.76395390993207</v>
      </c>
      <c r="F36" s="22">
        <f t="shared" si="1"/>
        <v>8.9581528309520042E-2</v>
      </c>
      <c r="G36" s="22">
        <f>[14]res_pais_dest_manufacturas!E64/1000000</f>
        <v>5.6820000000000004E-3</v>
      </c>
      <c r="H36" s="25">
        <f>[14]res_pais_dest_manufacturas!F64/1000000</f>
        <v>0.23325699999999999</v>
      </c>
      <c r="I36" s="22">
        <f t="shared" si="3"/>
        <v>4005.1918338613164</v>
      </c>
      <c r="J36" s="22">
        <f t="shared" si="5"/>
        <v>0.13866217482154097</v>
      </c>
      <c r="K36" s="16"/>
    </row>
    <row r="37" spans="1:11">
      <c r="A37" s="14" t="s">
        <v>86</v>
      </c>
      <c r="B37" s="7" t="str">
        <f>CONCATENATE(A37,[14]res_pais_dest_manufacturas!B65)</f>
        <v xml:space="preserve">   Italia </v>
      </c>
      <c r="C37" s="22">
        <f>[14]res_pais_dest_manufacturas!C65/1000000</f>
        <v>7.6151400000000002</v>
      </c>
      <c r="D37" s="25">
        <f>[14]res_pais_dest_manufacturas!D65/1000000</f>
        <v>59.672182999999997</v>
      </c>
      <c r="E37" s="22">
        <f t="shared" si="0"/>
        <v>683.59929036104393</v>
      </c>
      <c r="F37" s="22">
        <f t="shared" si="1"/>
        <v>2.7412078952901804</v>
      </c>
      <c r="G37" s="22">
        <f>[14]res_pais_dest_manufacturas!E65/1000000</f>
        <v>0.34659400000000001</v>
      </c>
      <c r="H37" s="25">
        <f>[14]res_pais_dest_manufacturas!F65/1000000</f>
        <v>4.3944010000000002</v>
      </c>
      <c r="I37" s="22">
        <f t="shared" si="3"/>
        <v>1167.8814405327271</v>
      </c>
      <c r="J37" s="22">
        <f t="shared" si="5"/>
        <v>2.6122997367622602</v>
      </c>
      <c r="K37" s="16"/>
    </row>
    <row r="38" spans="1:11">
      <c r="A38" s="14" t="s">
        <v>86</v>
      </c>
      <c r="B38" s="7" t="str">
        <f>CONCATENATE(A38,[14]res_pais_dest_manufacturas!B66)</f>
        <v xml:space="preserve">   Países Bajos </v>
      </c>
      <c r="C38" s="22">
        <f>[14]res_pais_dest_manufacturas!C66/1000000</f>
        <v>9.8482800000000008</v>
      </c>
      <c r="D38" s="25">
        <f>[14]res_pais_dest_manufacturas!D66/1000000</f>
        <v>10.025653999999999</v>
      </c>
      <c r="E38" s="22">
        <f t="shared" si="0"/>
        <v>1.8010657698602994</v>
      </c>
      <c r="F38" s="22">
        <f t="shared" si="1"/>
        <v>0.46055633493830078</v>
      </c>
      <c r="G38" s="22">
        <f>[14]res_pais_dest_manufacturas!E66/1000000</f>
        <v>1.9001479999999999</v>
      </c>
      <c r="H38" s="25">
        <f>[14]res_pais_dest_manufacturas!F66/1000000</f>
        <v>0.51088500000000003</v>
      </c>
      <c r="I38" s="22">
        <f t="shared" si="3"/>
        <v>-73.113410113317485</v>
      </c>
      <c r="J38" s="22">
        <f t="shared" si="5"/>
        <v>0.30370117588626694</v>
      </c>
      <c r="K38" s="16"/>
    </row>
    <row r="39" spans="1:11">
      <c r="A39" s="14" t="s">
        <v>86</v>
      </c>
      <c r="B39" s="7" t="str">
        <f>CONCATENATE(A39,[14]res_pais_dest_manufacturas!B67)</f>
        <v xml:space="preserve">   Portugal </v>
      </c>
      <c r="C39" s="22">
        <f>[14]res_pais_dest_manufacturas!C67/1000000</f>
        <v>0.42128500000000002</v>
      </c>
      <c r="D39" s="25">
        <f>[14]res_pais_dest_manufacturas!D67/1000000</f>
        <v>1.725722</v>
      </c>
      <c r="E39" s="22">
        <f t="shared" si="0"/>
        <v>309.63290883843479</v>
      </c>
      <c r="F39" s="22">
        <f t="shared" si="1"/>
        <v>7.9275845689707053E-2</v>
      </c>
      <c r="G39" s="22">
        <f>[14]res_pais_dest_manufacturas!E67/1000000</f>
        <v>0.13650799999999999</v>
      </c>
      <c r="H39" s="25">
        <f>[14]res_pais_dest_manufacturas!F67/1000000</f>
        <v>0.13447500000000001</v>
      </c>
      <c r="I39" s="22">
        <f t="shared" si="3"/>
        <v>-1.4892900049813806</v>
      </c>
      <c r="J39" s="22">
        <f t="shared" si="5"/>
        <v>7.9940134525980894E-2</v>
      </c>
      <c r="K39" s="16"/>
    </row>
    <row r="40" spans="1:11">
      <c r="A40" s="14" t="s">
        <v>86</v>
      </c>
      <c r="B40" s="9" t="str">
        <f>CONCATENATE(A40,[14]res_pais_dest_manufacturas!B68)</f>
        <v xml:space="preserve">   Reino Unido </v>
      </c>
      <c r="C40" s="22">
        <f>[14]res_pais_dest_manufacturas!C68/1000000</f>
        <v>7.9220829999999998</v>
      </c>
      <c r="D40" s="25">
        <f>[14]res_pais_dest_manufacturas!D68/1000000</f>
        <v>6.7610859999999997</v>
      </c>
      <c r="E40" s="22">
        <f t="shared" si="0"/>
        <v>-14.655198639044809</v>
      </c>
      <c r="F40" s="22">
        <f t="shared" si="1"/>
        <v>0.31058931301266296</v>
      </c>
      <c r="G40" s="22">
        <f>[14]res_pais_dest_manufacturas!E68/1000000</f>
        <v>0.70342199999999999</v>
      </c>
      <c r="H40" s="25">
        <f>[14]res_pais_dest_manufacturas!F68/1000000</f>
        <v>0.45177099999999998</v>
      </c>
      <c r="I40" s="22">
        <f t="shared" si="3"/>
        <v>-35.77525297758671</v>
      </c>
      <c r="J40" s="22">
        <f t="shared" si="5"/>
        <v>0.2685602120463797</v>
      </c>
      <c r="K40" s="16"/>
    </row>
    <row r="41" spans="1:11">
      <c r="A41" s="14" t="s">
        <v>86</v>
      </c>
      <c r="B41" s="9" t="str">
        <f>CONCATENATE(A41,[14]res_pais_dest_manufacturas!B69)</f>
        <v xml:space="preserve">   Suecia </v>
      </c>
      <c r="C41" s="22">
        <f>[14]res_pais_dest_manufacturas!C69/1000000</f>
        <v>0.41634500000000002</v>
      </c>
      <c r="D41" s="25">
        <f>[14]res_pais_dest_manufacturas!D69/1000000</f>
        <v>1.909727</v>
      </c>
      <c r="E41" s="22">
        <f t="shared" si="0"/>
        <v>358.68858758961915</v>
      </c>
      <c r="F41" s="22">
        <f t="shared" si="1"/>
        <v>8.772862776360689E-2</v>
      </c>
      <c r="G41" s="22">
        <f>[14]res_pais_dest_manufacturas!E69/1000000</f>
        <v>2.7470000000000001E-2</v>
      </c>
      <c r="H41" s="25">
        <f>[14]res_pais_dest_manufacturas!F69/1000000</f>
        <v>0.60040499999999997</v>
      </c>
      <c r="I41" s="22">
        <f t="shared" si="3"/>
        <v>2085.6752821259556</v>
      </c>
      <c r="J41" s="22">
        <f t="shared" si="5"/>
        <v>0.35691731898175533</v>
      </c>
      <c r="K41" s="16"/>
    </row>
    <row r="42" spans="1:11">
      <c r="A42" s="14"/>
      <c r="B42" s="9" t="str">
        <f>[14]res_pais_dest_manufacturas!B84</f>
        <v>Suiza</v>
      </c>
      <c r="C42" s="22">
        <f>[14]res_pais_dest_manufacturas!C84/1000000</f>
        <v>121.481205</v>
      </c>
      <c r="D42" s="25">
        <f>[14]res_pais_dest_manufacturas!D84/1000000</f>
        <v>90.225887</v>
      </c>
      <c r="E42" s="22">
        <f>IF(OR(OR(D42=0,C42=0),D42=""),"",(D42/C42-1)*100)</f>
        <v>-25.72852154372357</v>
      </c>
      <c r="F42" s="22">
        <f t="shared" si="1"/>
        <v>4.1447773714589875</v>
      </c>
      <c r="G42" s="22">
        <f>[14]res_pais_dest_manufacturas!E84/1000000</f>
        <v>16.49474</v>
      </c>
      <c r="H42" s="25">
        <f>[14]res_pais_dest_manufacturas!F84/1000000</f>
        <v>7.9637669999999998</v>
      </c>
      <c r="I42" s="22">
        <f t="shared" si="3"/>
        <v>-51.719354169874762</v>
      </c>
      <c r="J42" s="22">
        <f t="shared" si="5"/>
        <v>4.7341483942261924</v>
      </c>
      <c r="K42" s="16"/>
    </row>
    <row r="43" spans="1:11">
      <c r="A43" s="14"/>
      <c r="B43" s="9" t="s">
        <v>5</v>
      </c>
      <c r="C43" s="22">
        <f>+C13-C14-C31-C42-C28-C29-C30</f>
        <v>1109.3208792999831</v>
      </c>
      <c r="D43" s="25">
        <f>+D13-D14-D31-D42-D28-D29-D30</f>
        <v>737.90223706999598</v>
      </c>
      <c r="E43" s="22">
        <f t="shared" si="0"/>
        <v>-33.48162368172175</v>
      </c>
      <c r="F43" s="22">
        <f t="shared" si="1"/>
        <v>33.897594096876929</v>
      </c>
      <c r="G43" s="22">
        <f>+G13-G14-G31-G42-G28-G29-G30</f>
        <v>63.911216920000065</v>
      </c>
      <c r="H43" s="25">
        <f>+H13-H14-H31-H42-H28-H29-H30</f>
        <v>77.979393850000264</v>
      </c>
      <c r="I43" s="22">
        <f t="shared" si="3"/>
        <v>22.012062370224996</v>
      </c>
      <c r="J43" s="22">
        <f t="shared" si="5"/>
        <v>46.355703548045859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8"/>
      <c r="E46" s="20"/>
    </row>
    <row r="47" spans="1:11">
      <c r="B47" s="20"/>
      <c r="C47" s="20"/>
      <c r="D47" s="88"/>
      <c r="E47" s="20"/>
    </row>
    <row r="48" spans="1:11">
      <c r="C48" s="20"/>
      <c r="D48" s="88"/>
    </row>
    <row r="49" spans="3:5">
      <c r="C49" s="20"/>
      <c r="D49" s="88"/>
    </row>
    <row r="50" spans="3:5">
      <c r="C50" s="20"/>
      <c r="D50" s="88"/>
      <c r="E50" s="88"/>
    </row>
    <row r="51" spans="3:5">
      <c r="C51" s="20"/>
      <c r="D51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91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f>+'Resumen exportaciones totales'!C26</f>
        <v>363.55766351999864</v>
      </c>
      <c r="D13" s="25">
        <f>+'Resumen exportaciones totales'!D26</f>
        <v>340.10272580000151</v>
      </c>
      <c r="E13" s="25">
        <f>IF(OR(OR(D13=0,C13=0),D13=""),"",(D13/C13-1)*100)</f>
        <v>-6.4515041418476198</v>
      </c>
      <c r="F13" s="23">
        <f>(D13/D$13)*100</f>
        <v>100</v>
      </c>
      <c r="G13" s="25">
        <f>+'Resumen exportaciones totales'!G26</f>
        <v>32.502700990000001</v>
      </c>
      <c r="H13" s="25">
        <f>+'Resumen exportaciones totales'!H26</f>
        <v>30.79724787</v>
      </c>
      <c r="I13" s="25">
        <f>IF(OR(OR(H13=0,G13=0),H13=""),"",(H13/G13-1)*100)</f>
        <v>-5.2471119877843808</v>
      </c>
      <c r="J13" s="23">
        <f>(H13/H$13)*100</f>
        <v>100</v>
      </c>
      <c r="K13" s="16"/>
    </row>
    <row r="14" spans="1:14">
      <c r="A14" s="14"/>
      <c r="B14" s="10" t="s">
        <v>54</v>
      </c>
      <c r="C14" s="22">
        <f>+C15+C19</f>
        <v>205.449378</v>
      </c>
      <c r="D14" s="25">
        <f>+D15+D19</f>
        <v>160.61971</v>
      </c>
      <c r="E14" s="22">
        <f t="shared" ref="E14:E44" si="0">IF(OR(OR(D14=0,C14=0),D14=""),"",(D14/C14-1)*100)</f>
        <v>-21.820298720982258</v>
      </c>
      <c r="F14" s="22">
        <f t="shared" ref="F14:F44" si="1">(D14/D$13)*100</f>
        <v>47.226822314400657</v>
      </c>
      <c r="G14" s="22">
        <f>+G15+G19</f>
        <v>14.509778999999998</v>
      </c>
      <c r="H14" s="25">
        <f t="shared" ref="H14" si="2">+H15+H19</f>
        <v>6.8350860000000004</v>
      </c>
      <c r="I14" s="22">
        <f t="shared" ref="I14:I44" si="3">IF(OR(OR(H14=0,G14=0),H14=""),"",(H14/G14-1)*100)</f>
        <v>-52.893245307182134</v>
      </c>
      <c r="J14" s="22">
        <f>(H14/H$13)*100</f>
        <v>22.193820788311889</v>
      </c>
      <c r="K14" s="16"/>
    </row>
    <row r="15" spans="1:14">
      <c r="A15" s="14"/>
      <c r="B15" s="10" t="s">
        <v>76</v>
      </c>
      <c r="C15" s="22">
        <f>+SUM(C16:C18)</f>
        <v>66.549071999999995</v>
      </c>
      <c r="D15" s="25">
        <f>+SUM(D16:D18)</f>
        <v>75.205405999999996</v>
      </c>
      <c r="E15" s="22">
        <f t="shared" si="0"/>
        <v>13.007445092547654</v>
      </c>
      <c r="F15" s="22">
        <f>(D15/D$13)*100</f>
        <v>22.112556088193415</v>
      </c>
      <c r="G15" s="22">
        <f t="shared" ref="G15:H15" si="4">+SUM(G16:G18)</f>
        <v>5.5730779999999998</v>
      </c>
      <c r="H15" s="25">
        <f t="shared" si="4"/>
        <v>6.8330760000000001</v>
      </c>
      <c r="I15" s="22">
        <f t="shared" si="3"/>
        <v>22.608655396533116</v>
      </c>
      <c r="J15" s="22">
        <f t="shared" ref="J15:J44" si="5">(H15/H$13)*100</f>
        <v>22.187294231106243</v>
      </c>
      <c r="K15" s="16"/>
    </row>
    <row r="16" spans="1:14">
      <c r="A16" s="14" t="s">
        <v>86</v>
      </c>
      <c r="B16" s="9" t="str">
        <f>CONCATENATE(A16,[15]res_pais_dest_rec_naturales!B7)</f>
        <v xml:space="preserve">   Bolivia</v>
      </c>
      <c r="C16" s="22">
        <f>[15]res_pais_dest_rec_naturales!C7/1000000</f>
        <v>3.5943559999999999</v>
      </c>
      <c r="D16" s="25">
        <f>[15]res_pais_dest_rec_naturales!D7/1000000</f>
        <v>3.2934559999999999</v>
      </c>
      <c r="E16" s="22">
        <f t="shared" si="0"/>
        <v>-8.3714579190263816</v>
      </c>
      <c r="F16" s="22">
        <f t="shared" si="1"/>
        <v>0.96837095093931336</v>
      </c>
      <c r="G16" s="22">
        <f>[15]res_pais_dest_rec_naturales!E7/1000000</f>
        <v>0.36196699999999998</v>
      </c>
      <c r="H16" s="25">
        <f>[15]res_pais_dest_rec_naturales!F7/1000000</f>
        <v>0.40984700000000002</v>
      </c>
      <c r="I16" s="22">
        <f t="shared" si="3"/>
        <v>13.227725179367189</v>
      </c>
      <c r="J16" s="22">
        <f t="shared" si="5"/>
        <v>1.3307909905782112</v>
      </c>
      <c r="K16" s="16"/>
    </row>
    <row r="17" spans="1:11">
      <c r="A17" s="14" t="s">
        <v>86</v>
      </c>
      <c r="B17" s="9" t="str">
        <f>CONCATENATE(A17,[15]res_pais_dest_rec_naturales!B8)</f>
        <v xml:space="preserve">   Ecuador</v>
      </c>
      <c r="C17" s="22">
        <f>[15]res_pais_dest_rec_naturales!C8/1000000</f>
        <v>37.397815000000001</v>
      </c>
      <c r="D17" s="25">
        <f>[15]res_pais_dest_rec_naturales!D8/1000000</f>
        <v>44.082259000000001</v>
      </c>
      <c r="E17" s="22">
        <f t="shared" si="0"/>
        <v>17.873889156358459</v>
      </c>
      <c r="F17" s="22">
        <f t="shared" si="1"/>
        <v>12.9614541889684</v>
      </c>
      <c r="G17" s="22">
        <f>[15]res_pais_dest_rec_naturales!E8/1000000</f>
        <v>3.0352899999999998</v>
      </c>
      <c r="H17" s="25">
        <f>[15]res_pais_dest_rec_naturales!F8/1000000</f>
        <v>3.6993659999999999</v>
      </c>
      <c r="I17" s="22">
        <f t="shared" si="3"/>
        <v>21.87850254835617</v>
      </c>
      <c r="J17" s="22">
        <f t="shared" si="5"/>
        <v>12.01200190229855</v>
      </c>
      <c r="K17" s="16"/>
    </row>
    <row r="18" spans="1:11">
      <c r="A18" s="14" t="s">
        <v>86</v>
      </c>
      <c r="B18" s="9" t="str">
        <f>CONCATENATE(A18,[15]res_pais_dest_rec_naturales!B9)</f>
        <v xml:space="preserve">   Perú </v>
      </c>
      <c r="C18" s="22">
        <f>[15]res_pais_dest_rec_naturales!C9/1000000</f>
        <v>25.556901</v>
      </c>
      <c r="D18" s="25">
        <f>[15]res_pais_dest_rec_naturales!D9/1000000</f>
        <v>27.829691</v>
      </c>
      <c r="E18" s="22">
        <f t="shared" si="0"/>
        <v>8.8930578867915102</v>
      </c>
      <c r="F18" s="22">
        <f t="shared" si="1"/>
        <v>8.1827309482857054</v>
      </c>
      <c r="G18" s="22">
        <f>[15]res_pais_dest_rec_naturales!E9/1000000</f>
        <v>2.175821</v>
      </c>
      <c r="H18" s="25">
        <f>[15]res_pais_dest_rec_naturales!F9/1000000</f>
        <v>2.7238630000000001</v>
      </c>
      <c r="I18" s="22">
        <f t="shared" si="3"/>
        <v>25.187825652937445</v>
      </c>
      <c r="J18" s="22">
        <f t="shared" si="5"/>
        <v>8.844501338229481</v>
      </c>
      <c r="K18" s="16"/>
    </row>
    <row r="19" spans="1:11">
      <c r="A19" s="14"/>
      <c r="B19" s="10" t="s">
        <v>77</v>
      </c>
      <c r="C19" s="22">
        <f>SUM(C20:C27)</f>
        <v>138.900306</v>
      </c>
      <c r="D19" s="25">
        <f>SUM(D20:D27)</f>
        <v>85.414304000000001</v>
      </c>
      <c r="E19" s="22">
        <f t="shared" si="0"/>
        <v>-38.506756061430124</v>
      </c>
      <c r="F19" s="22">
        <f t="shared" si="1"/>
        <v>25.114266226207242</v>
      </c>
      <c r="G19" s="22">
        <f>SUM(G20:G27)</f>
        <v>8.9367009999999993</v>
      </c>
      <c r="H19" s="25">
        <f>+[11]resumen_pais_destino!F22/1000000</f>
        <v>2.0100000000000001E-3</v>
      </c>
      <c r="I19" s="22">
        <f t="shared" si="3"/>
        <v>-99.977508478799948</v>
      </c>
      <c r="J19" s="22">
        <f t="shared" si="5"/>
        <v>6.5265572056455315E-3</v>
      </c>
      <c r="K19" s="16"/>
    </row>
    <row r="20" spans="1:11">
      <c r="A20" s="14" t="s">
        <v>86</v>
      </c>
      <c r="B20" s="9" t="str">
        <f>CONCATENATE(A20,[15]res_pais_dest_rec_naturales!B23)</f>
        <v xml:space="preserve">   Argentina</v>
      </c>
      <c r="C20" s="22">
        <f>[15]res_pais_dest_rec_naturales!C23/1000000</f>
        <v>1.3057110000000001</v>
      </c>
      <c r="D20" s="25">
        <f>[15]res_pais_dest_rec_naturales!D23/1000000</f>
        <v>1.1494260000000001</v>
      </c>
      <c r="E20" s="22">
        <f t="shared" si="0"/>
        <v>-11.969340841886144</v>
      </c>
      <c r="F20" s="22">
        <f t="shared" si="1"/>
        <v>0.3379643598257791</v>
      </c>
      <c r="G20" s="22">
        <f>[15]res_pais_dest_rec_naturales!E23/1000000</f>
        <v>0.12221</v>
      </c>
      <c r="H20" s="25">
        <f>[15]res_pais_dest_rec_naturales!F23/1000000</f>
        <v>0.15917000000000001</v>
      </c>
      <c r="I20" s="22">
        <f t="shared" si="3"/>
        <v>30.243024302430243</v>
      </c>
      <c r="J20" s="22">
        <f t="shared" si="5"/>
        <v>0.51683189573263644</v>
      </c>
      <c r="K20" s="16"/>
    </row>
    <row r="21" spans="1:11">
      <c r="A21" s="14" t="s">
        <v>86</v>
      </c>
      <c r="B21" s="9" t="str">
        <f>CONCATENATE(A21,[15]res_pais_dest_rec_naturales!B24)</f>
        <v xml:space="preserve">   Brasil </v>
      </c>
      <c r="C21" s="22">
        <f>[15]res_pais_dest_rec_naturales!C24/1000000</f>
        <v>6.5186060000000001</v>
      </c>
      <c r="D21" s="25">
        <f>[15]res_pais_dest_rec_naturales!D24/1000000</f>
        <v>6.3182159999999996</v>
      </c>
      <c r="E21" s="22">
        <f t="shared" si="0"/>
        <v>-3.0741235165923642</v>
      </c>
      <c r="F21" s="22">
        <f t="shared" si="1"/>
        <v>1.8577375365451925</v>
      </c>
      <c r="G21" s="22">
        <f>[15]res_pais_dest_rec_naturales!E24/1000000</f>
        <v>0.98085999999999995</v>
      </c>
      <c r="H21" s="25">
        <f>[15]res_pais_dest_rec_naturales!F24/1000000</f>
        <v>0.83492599999999995</v>
      </c>
      <c r="I21" s="22">
        <f t="shared" si="3"/>
        <v>-14.878168138164472</v>
      </c>
      <c r="J21" s="22">
        <f t="shared" si="5"/>
        <v>2.7110409460103484</v>
      </c>
      <c r="K21" s="16"/>
    </row>
    <row r="22" spans="1:11">
      <c r="A22" s="14" t="s">
        <v>86</v>
      </c>
      <c r="B22" s="9" t="str">
        <f>CONCATENATE(A22,[15]res_pais_dest_rec_naturales!B25)</f>
        <v xml:space="preserve">   Cuba </v>
      </c>
      <c r="C22" s="22">
        <f>[15]res_pais_dest_rec_naturales!C25/1000000</f>
        <v>0.53622700000000001</v>
      </c>
      <c r="D22" s="25">
        <f>[15]res_pais_dest_rec_naturales!D25/1000000</f>
        <v>1.9479280000000001</v>
      </c>
      <c r="E22" s="22">
        <f t="shared" si="0"/>
        <v>263.2655573106166</v>
      </c>
      <c r="F22" s="22">
        <f t="shared" si="1"/>
        <v>0.57274695326772695</v>
      </c>
      <c r="G22" s="22">
        <f>[15]res_pais_dest_rec_naturales!E25/1000000</f>
        <v>0.10077999999999999</v>
      </c>
      <c r="H22" s="25">
        <f>[15]res_pais_dest_rec_naturales!F25/1000000</f>
        <v>4.9083000000000002E-2</v>
      </c>
      <c r="I22" s="22">
        <f t="shared" si="3"/>
        <v>-51.296884302440951</v>
      </c>
      <c r="J22" s="22">
        <f t="shared" si="5"/>
        <v>0.1593746305098008</v>
      </c>
      <c r="K22" s="16"/>
    </row>
    <row r="23" spans="1:11">
      <c r="A23" s="14" t="s">
        <v>86</v>
      </c>
      <c r="B23" s="9" t="str">
        <f>CONCATENATE(A23,[15]res_pais_dest_rec_naturales!B26)</f>
        <v xml:space="preserve">   Chile </v>
      </c>
      <c r="C23" s="22">
        <f>[15]res_pais_dest_rec_naturales!C26/1000000</f>
        <v>13.308546</v>
      </c>
      <c r="D23" s="25">
        <f>[15]res_pais_dest_rec_naturales!D26/1000000</f>
        <v>18.511669000000001</v>
      </c>
      <c r="E23" s="22">
        <f t="shared" si="0"/>
        <v>39.096104112350069</v>
      </c>
      <c r="F23" s="22">
        <f t="shared" si="1"/>
        <v>5.4429640210781036</v>
      </c>
      <c r="G23" s="22">
        <f>[15]res_pais_dest_rec_naturales!E26/1000000</f>
        <v>1.010907</v>
      </c>
      <c r="H23" s="25">
        <f>[15]res_pais_dest_rec_naturales!F26/1000000</f>
        <v>2.3631790000000001</v>
      </c>
      <c r="I23" s="22">
        <f t="shared" si="3"/>
        <v>133.76819034787576</v>
      </c>
      <c r="J23" s="22">
        <f t="shared" si="5"/>
        <v>7.6733447416319418</v>
      </c>
      <c r="K23" s="16"/>
    </row>
    <row r="24" spans="1:11">
      <c r="A24" s="14" t="s">
        <v>86</v>
      </c>
      <c r="B24" s="9" t="str">
        <f>CONCATENATE(A24,[15]res_pais_dest_rec_naturales!B27)</f>
        <v xml:space="preserve">   México </v>
      </c>
      <c r="C24" s="22">
        <f>[15]res_pais_dest_rec_naturales!C27/1000000</f>
        <v>7.1329200000000004</v>
      </c>
      <c r="D24" s="25">
        <f>[15]res_pais_dest_rec_naturales!D27/1000000</f>
        <v>13.320886</v>
      </c>
      <c r="E24" s="22">
        <f t="shared" si="0"/>
        <v>86.752213679671144</v>
      </c>
      <c r="F24" s="22">
        <f t="shared" si="1"/>
        <v>3.9167242687238528</v>
      </c>
      <c r="G24" s="22">
        <f>[15]res_pais_dest_rec_naturales!E27/1000000</f>
        <v>0.63303500000000001</v>
      </c>
      <c r="H24" s="25">
        <f>[15]res_pais_dest_rec_naturales!F27/1000000</f>
        <v>0.93673600000000001</v>
      </c>
      <c r="I24" s="22">
        <f t="shared" si="3"/>
        <v>47.975388406644171</v>
      </c>
      <c r="J24" s="22">
        <f t="shared" si="5"/>
        <v>3.0416224331281456</v>
      </c>
      <c r="K24" s="16"/>
    </row>
    <row r="25" spans="1:11">
      <c r="A25" s="14" t="s">
        <v>86</v>
      </c>
      <c r="B25" s="9" t="str">
        <f>CONCATENATE(A25,[15]res_pais_dest_rec_naturales!B28)</f>
        <v xml:space="preserve">   Paraguay </v>
      </c>
      <c r="C25" s="22">
        <f>[15]res_pais_dest_rec_naturales!C28/1000000</f>
        <v>3.1999E-2</v>
      </c>
      <c r="D25" s="25">
        <f>[15]res_pais_dest_rec_naturales!D28/1000000</f>
        <v>5.985E-2</v>
      </c>
      <c r="E25" s="22">
        <f t="shared" si="0"/>
        <v>87.037094909215924</v>
      </c>
      <c r="F25" s="22">
        <f t="shared" si="1"/>
        <v>1.7597624323421327E-2</v>
      </c>
      <c r="G25" s="22">
        <f>[15]res_pais_dest_rec_naturales!E28/1000000</f>
        <v>0</v>
      </c>
      <c r="H25" s="25">
        <f>[15]res_pais_dest_rec_naturales!F28/1000000</f>
        <v>1.6799999999999999E-2</v>
      </c>
      <c r="I25" s="22" t="str">
        <f t="shared" si="3"/>
        <v/>
      </c>
      <c r="J25" s="22">
        <f t="shared" si="5"/>
        <v>5.4550328883007426E-2</v>
      </c>
      <c r="K25" s="16"/>
    </row>
    <row r="26" spans="1:11">
      <c r="A26" s="14" t="s">
        <v>86</v>
      </c>
      <c r="B26" s="9" t="str">
        <f>CONCATENATE(A26,[15]res_pais_dest_rec_naturales!B29)</f>
        <v xml:space="preserve">   Uruguay </v>
      </c>
      <c r="C26" s="22">
        <f>[15]res_pais_dest_rec_naturales!C29/1000000</f>
        <v>0.13406499999999999</v>
      </c>
      <c r="D26" s="25">
        <f>[15]res_pais_dest_rec_naturales!D29/1000000</f>
        <v>8.9635000000000006E-2</v>
      </c>
      <c r="E26" s="22">
        <f t="shared" si="0"/>
        <v>-33.140640733972319</v>
      </c>
      <c r="F26" s="22">
        <f t="shared" si="1"/>
        <v>2.6355272451626909E-2</v>
      </c>
      <c r="G26" s="22">
        <f>[15]res_pais_dest_rec_naturales!E29/1000000</f>
        <v>0</v>
      </c>
      <c r="H26" s="25">
        <f>[15]res_pais_dest_rec_naturales!F29/1000000</f>
        <v>1.5623E-2</v>
      </c>
      <c r="I26" s="22" t="str">
        <f t="shared" si="3"/>
        <v/>
      </c>
      <c r="J26" s="22">
        <f t="shared" si="5"/>
        <v>5.072855881781102E-2</v>
      </c>
      <c r="K26" s="16"/>
    </row>
    <row r="27" spans="1:11">
      <c r="A27" s="14" t="s">
        <v>86</v>
      </c>
      <c r="B27" s="9" t="str">
        <f>CONCATENATE(A27,[15]res_pais_dest_rec_naturales!B30)</f>
        <v xml:space="preserve">   Venezuela</v>
      </c>
      <c r="C27" s="22">
        <f>[15]res_pais_dest_rec_naturales!C30/1000000</f>
        <v>109.932232</v>
      </c>
      <c r="D27" s="25">
        <f>[15]res_pais_dest_rec_naturales!D30/1000000</f>
        <v>44.016694000000001</v>
      </c>
      <c r="E27" s="22">
        <f t="shared" si="0"/>
        <v>-59.960156180582239</v>
      </c>
      <c r="F27" s="22">
        <f>(D27/D$13)*100</f>
        <v>12.942176189991539</v>
      </c>
      <c r="G27" s="22">
        <f>[15]res_pais_dest_rec_naturales!E30/1000000</f>
        <v>6.0889090000000001</v>
      </c>
      <c r="H27" s="25">
        <f>[15]res_pais_dest_rec_naturales!F30/1000000</f>
        <v>2.5360960000000001</v>
      </c>
      <c r="I27" s="22">
        <f t="shared" si="3"/>
        <v>-58.348925891321414</v>
      </c>
      <c r="J27" s="22">
        <f t="shared" si="5"/>
        <v>8.234813742790454</v>
      </c>
      <c r="K27" s="16"/>
    </row>
    <row r="28" spans="1:11">
      <c r="A28" s="14" t="s">
        <v>86</v>
      </c>
      <c r="B28" s="9" t="str">
        <f>[15]res_pais_dest_rec_naturales!B44</f>
        <v xml:space="preserve">Canadá </v>
      </c>
      <c r="C28" s="22">
        <f>[15]res_pais_dest_rec_naturales!C44/1000000</f>
        <v>3.4259979999999999</v>
      </c>
      <c r="D28" s="25">
        <f>[15]res_pais_dest_rec_naturales!D44/1000000</f>
        <v>4.6303850000000004</v>
      </c>
      <c r="E28" s="22">
        <f t="shared" si="0"/>
        <v>35.154340428686794</v>
      </c>
      <c r="F28" s="22">
        <f>(D28/D$13)*100</f>
        <v>1.361466594867256</v>
      </c>
      <c r="G28" s="22">
        <f>[15]res_pais_dest_rec_naturales!E44/1000000</f>
        <v>0.42576799999999998</v>
      </c>
      <c r="H28" s="25">
        <f>[15]res_pais_dest_rec_naturales!F44/1000000</f>
        <v>0.62090599999999996</v>
      </c>
      <c r="I28" s="22">
        <f t="shared" si="3"/>
        <v>45.832002405065666</v>
      </c>
      <c r="J28" s="22">
        <f t="shared" si="5"/>
        <v>2.0161087205614647</v>
      </c>
      <c r="K28" s="16"/>
    </row>
    <row r="29" spans="1:11">
      <c r="A29" s="14" t="s">
        <v>86</v>
      </c>
      <c r="B29" s="9" t="str">
        <f>[15]res_pais_dest_rec_naturales!B45</f>
        <v>Estados Unidos</v>
      </c>
      <c r="C29" s="22">
        <f>[15]res_pais_dest_rec_naturales!C45/1000000</f>
        <v>41.144587000000001</v>
      </c>
      <c r="D29" s="25">
        <f>[15]res_pais_dest_rec_naturales!D45/1000000</f>
        <v>59.765602000000001</v>
      </c>
      <c r="E29" s="22">
        <f t="shared" si="0"/>
        <v>45.257508600098475</v>
      </c>
      <c r="F29" s="22">
        <f t="shared" si="1"/>
        <v>17.5728088798516</v>
      </c>
      <c r="G29" s="22">
        <f>[15]res_pais_dest_rec_naturales!E45/1000000</f>
        <v>4.5672579999999998</v>
      </c>
      <c r="H29" s="25">
        <f>[15]res_pais_dest_rec_naturales!F45/1000000</f>
        <v>5.16031</v>
      </c>
      <c r="I29" s="22">
        <f t="shared" si="3"/>
        <v>12.984858748947392</v>
      </c>
      <c r="J29" s="22">
        <f t="shared" si="5"/>
        <v>16.755750454659051</v>
      </c>
      <c r="K29" s="16"/>
    </row>
    <row r="30" spans="1:11">
      <c r="A30" s="14" t="s">
        <v>86</v>
      </c>
      <c r="B30" s="9" t="str">
        <f>[15]res_pais_dest_rec_naturales!B46</f>
        <v xml:space="preserve">Puerto Rico </v>
      </c>
      <c r="C30" s="22">
        <f>[15]res_pais_dest_rec_naturales!C46/1000000</f>
        <v>3.9493040000000001</v>
      </c>
      <c r="D30" s="25">
        <f>[15]res_pais_dest_rec_naturales!D46/1000000</f>
        <v>6.6805919999999999</v>
      </c>
      <c r="E30" s="22">
        <f t="shared" si="0"/>
        <v>69.15871758669374</v>
      </c>
      <c r="F30" s="22">
        <f t="shared" si="1"/>
        <v>1.9642865208697395</v>
      </c>
      <c r="G30" s="22">
        <f>[15]res_pais_dest_rec_naturales!E46/1000000</f>
        <v>0.53493000000000002</v>
      </c>
      <c r="H30" s="25">
        <f>[15]res_pais_dest_rec_naturales!F46/1000000</f>
        <v>0.59994099999999995</v>
      </c>
      <c r="I30" s="22">
        <f t="shared" si="3"/>
        <v>12.153178920606411</v>
      </c>
      <c r="J30" s="22">
        <f t="shared" si="5"/>
        <v>1.9480344559762119</v>
      </c>
      <c r="K30" s="16"/>
    </row>
    <row r="31" spans="1:11">
      <c r="A31" s="14"/>
      <c r="B31" s="10" t="s">
        <v>55</v>
      </c>
      <c r="C31" s="22">
        <f>SUM(C32:C42)</f>
        <v>40.680414999999996</v>
      </c>
      <c r="D31" s="25">
        <f>SUM(D32:D42)</f>
        <v>34.431677000000001</v>
      </c>
      <c r="E31" s="22">
        <f t="shared" si="0"/>
        <v>-15.360556179183515</v>
      </c>
      <c r="F31" s="22">
        <f t="shared" si="1"/>
        <v>10.123905040457586</v>
      </c>
      <c r="G31" s="22">
        <f>SUM(G32:G42)</f>
        <v>5.4577140000000002</v>
      </c>
      <c r="H31" s="25">
        <f>SUM(H32:H42)</f>
        <v>4.3156799999999995</v>
      </c>
      <c r="I31" s="22">
        <f t="shared" si="3"/>
        <v>-20.925134589317075</v>
      </c>
      <c r="J31" s="22">
        <f t="shared" si="5"/>
        <v>14.013200199631992</v>
      </c>
      <c r="K31" s="16"/>
    </row>
    <row r="32" spans="1:11">
      <c r="A32" s="14" t="s">
        <v>86</v>
      </c>
      <c r="B32" s="9" t="str">
        <f>CONCATENATE(A32,[15]res_pais_dest_rec_naturales!B60)</f>
        <v xml:space="preserve">   Alemania </v>
      </c>
      <c r="C32" s="22">
        <f>[15]res_pais_dest_rec_naturales!C60/1000000</f>
        <v>3.7455720000000001</v>
      </c>
      <c r="D32" s="25">
        <f>[15]res_pais_dest_rec_naturales!D60/1000000</f>
        <v>3.0169999999999999</v>
      </c>
      <c r="E32" s="22">
        <f t="shared" si="0"/>
        <v>-19.451555062884928</v>
      </c>
      <c r="F32" s="22">
        <f t="shared" si="1"/>
        <v>0.88708492203445499</v>
      </c>
      <c r="G32" s="22">
        <f>[15]res_pais_dest_rec_naturales!E60/1000000</f>
        <v>0.240476</v>
      </c>
      <c r="H32" s="25">
        <f>[15]res_pais_dest_rec_naturales!F60/1000000</f>
        <v>0.21653800000000001</v>
      </c>
      <c r="I32" s="22">
        <f t="shared" si="3"/>
        <v>-9.9544237262762181</v>
      </c>
      <c r="J32" s="22">
        <f t="shared" si="5"/>
        <v>0.70310828069456333</v>
      </c>
      <c r="K32" s="16"/>
    </row>
    <row r="33" spans="1:11">
      <c r="A33" s="14" t="s">
        <v>86</v>
      </c>
      <c r="B33" s="9" t="str">
        <f>CONCATENATE(A33,[15]res_pais_dest_rec_naturales!B61)</f>
        <v xml:space="preserve">   Bélgica </v>
      </c>
      <c r="C33" s="22">
        <f>[15]res_pais_dest_rec_naturales!C61/1000000</f>
        <v>0.94802799999999998</v>
      </c>
      <c r="D33" s="25">
        <f>[15]res_pais_dest_rec_naturales!D61/1000000</f>
        <v>0.17474600000000001</v>
      </c>
      <c r="E33" s="22">
        <f t="shared" si="0"/>
        <v>-81.567422059264075</v>
      </c>
      <c r="F33" s="22">
        <f t="shared" si="1"/>
        <v>5.1380358563418257E-2</v>
      </c>
      <c r="G33" s="22">
        <f>[15]res_pais_dest_rec_naturales!E61/1000000</f>
        <v>0</v>
      </c>
      <c r="H33" s="25">
        <f>[15]res_pais_dest_rec_naturales!F61/1000000</f>
        <v>0.11444</v>
      </c>
      <c r="I33" s="22" t="str">
        <f t="shared" si="3"/>
        <v/>
      </c>
      <c r="J33" s="22">
        <f t="shared" si="5"/>
        <v>0.37159164508162917</v>
      </c>
      <c r="K33" s="16"/>
    </row>
    <row r="34" spans="1:11">
      <c r="A34" s="14" t="s">
        <v>86</v>
      </c>
      <c r="B34" s="9" t="str">
        <f>CONCATENATE(A34,[15]res_pais_dest_rec_naturales!B62)</f>
        <v xml:space="preserve">   Dinamarca </v>
      </c>
      <c r="C34" s="22">
        <f>[15]res_pais_dest_rec_naturales!C62/1000000</f>
        <v>3.8609999999999998E-3</v>
      </c>
      <c r="D34" s="25">
        <f>[15]res_pais_dest_rec_naturales!D62/1000000</f>
        <v>0.114929</v>
      </c>
      <c r="E34" s="22">
        <f t="shared" si="0"/>
        <v>2876.6640766640771</v>
      </c>
      <c r="F34" s="22">
        <f t="shared" si="1"/>
        <v>3.3792437190751708E-2</v>
      </c>
      <c r="G34" s="22">
        <f>[15]res_pais_dest_rec_naturales!E62/1000000</f>
        <v>0</v>
      </c>
      <c r="H34" s="25">
        <f>[15]res_pais_dest_rec_naturales!F62/1000000</f>
        <v>0</v>
      </c>
      <c r="I34" s="22" t="str">
        <f t="shared" si="3"/>
        <v/>
      </c>
      <c r="J34" s="22">
        <f t="shared" si="5"/>
        <v>0</v>
      </c>
      <c r="K34" s="16"/>
    </row>
    <row r="35" spans="1:11">
      <c r="A35" s="14" t="s">
        <v>86</v>
      </c>
      <c r="B35" s="9" t="str">
        <f>CONCATENATE(A35,[15]res_pais_dest_rec_naturales!B63)</f>
        <v xml:space="preserve">   España </v>
      </c>
      <c r="C35" s="22">
        <f>[15]res_pais_dest_rec_naturales!C63/1000000</f>
        <v>22.556806999999999</v>
      </c>
      <c r="D35" s="25">
        <f>[15]res_pais_dest_rec_naturales!D63/1000000</f>
        <v>7.0393270000000001</v>
      </c>
      <c r="E35" s="22">
        <f t="shared" si="0"/>
        <v>-68.792892540154284</v>
      </c>
      <c r="F35" s="22">
        <f t="shared" si="1"/>
        <v>2.0697649462943435</v>
      </c>
      <c r="G35" s="22">
        <f>[15]res_pais_dest_rec_naturales!E63/1000000</f>
        <v>3.122941</v>
      </c>
      <c r="H35" s="25">
        <f>[15]res_pais_dest_rec_naturales!F63/1000000</f>
        <v>1.141518</v>
      </c>
      <c r="I35" s="22">
        <f t="shared" si="3"/>
        <v>-63.447340183500103</v>
      </c>
      <c r="J35" s="22">
        <f t="shared" si="5"/>
        <v>3.706558471778147</v>
      </c>
      <c r="K35" s="16"/>
    </row>
    <row r="36" spans="1:11">
      <c r="A36" s="14" t="s">
        <v>86</v>
      </c>
      <c r="B36" s="9" t="str">
        <f>CONCATENATE(A36,[15]res_pais_dest_rec_naturales!B64)</f>
        <v xml:space="preserve">   Francia </v>
      </c>
      <c r="C36" s="22">
        <f>[15]res_pais_dest_rec_naturales!C64/1000000</f>
        <v>10.843716000000001</v>
      </c>
      <c r="D36" s="25">
        <f>[15]res_pais_dest_rec_naturales!D64/1000000</f>
        <v>18.573304</v>
      </c>
      <c r="E36" s="22">
        <f t="shared" si="0"/>
        <v>71.281726670082463</v>
      </c>
      <c r="F36" s="22">
        <f t="shared" si="1"/>
        <v>5.461086486828715</v>
      </c>
      <c r="G36" s="22">
        <f>[15]res_pais_dest_rec_naturales!E64/1000000</f>
        <v>1.395562</v>
      </c>
      <c r="H36" s="25">
        <f>[15]res_pais_dest_rec_naturales!F64/1000000</f>
        <v>2.2228400000000001</v>
      </c>
      <c r="I36" s="22">
        <f t="shared" si="3"/>
        <v>59.279200780760746</v>
      </c>
      <c r="J36" s="22">
        <f t="shared" si="5"/>
        <v>7.2176579198990618</v>
      </c>
      <c r="K36" s="16"/>
    </row>
    <row r="37" spans="1:11">
      <c r="A37" s="14" t="s">
        <v>86</v>
      </c>
      <c r="B37" s="9" t="str">
        <f>CONCATENATE(A37,[15]res_pais_dest_rec_naturales!B65)</f>
        <v xml:space="preserve">   Grecia </v>
      </c>
      <c r="C37" s="22">
        <f>[15]res_pais_dest_rec_naturales!C65/1000000</f>
        <v>9.1893000000000002E-2</v>
      </c>
      <c r="D37" s="25">
        <f>[15]res_pais_dest_rec_naturales!D65/1000000</f>
        <v>1.562281</v>
      </c>
      <c r="E37" s="22">
        <f t="shared" si="0"/>
        <v>1600.1088222171441</v>
      </c>
      <c r="F37" s="22">
        <f t="shared" si="1"/>
        <v>0.45935562448820366</v>
      </c>
      <c r="G37" s="22">
        <f>[15]res_pais_dest_rec_naturales!E65/1000000</f>
        <v>1.704E-3</v>
      </c>
      <c r="H37" s="25">
        <f>[15]res_pais_dest_rec_naturales!F65/1000000</f>
        <v>0.18314</v>
      </c>
      <c r="I37" s="22">
        <f t="shared" si="3"/>
        <v>10647.652582159624</v>
      </c>
      <c r="J37" s="22">
        <f t="shared" si="5"/>
        <v>0.59466352569249892</v>
      </c>
      <c r="K37" s="16"/>
    </row>
    <row r="38" spans="1:11">
      <c r="A38" s="14" t="s">
        <v>86</v>
      </c>
      <c r="B38" s="7" t="str">
        <f>CONCATENATE(A38,[15]res_pais_dest_rec_naturales!B66)</f>
        <v xml:space="preserve">   Italia </v>
      </c>
      <c r="C38" s="22">
        <f>[15]res_pais_dest_rec_naturales!C66/1000000</f>
        <v>0.26626</v>
      </c>
      <c r="D38" s="25">
        <f>[15]res_pais_dest_rec_naturales!D66/1000000</f>
        <v>0.47616000000000003</v>
      </c>
      <c r="E38" s="22">
        <f t="shared" si="0"/>
        <v>78.832719897844214</v>
      </c>
      <c r="F38" s="22">
        <f t="shared" si="1"/>
        <v>0.1400047585269891</v>
      </c>
      <c r="G38" s="22">
        <f>[15]res_pais_dest_rec_naturales!E66/1000000</f>
        <v>8.0800000000000002E-4</v>
      </c>
      <c r="H38" s="25">
        <f>[15]res_pais_dest_rec_naturales!F66/1000000</f>
        <v>0.11</v>
      </c>
      <c r="I38" s="22">
        <f t="shared" si="3"/>
        <v>13513.861386138615</v>
      </c>
      <c r="J38" s="22">
        <f t="shared" si="5"/>
        <v>0.35717477244826296</v>
      </c>
      <c r="K38" s="16"/>
    </row>
    <row r="39" spans="1:11">
      <c r="A39" s="14" t="s">
        <v>86</v>
      </c>
      <c r="B39" s="7" t="str">
        <f>CONCATENATE(A39,[15]res_pais_dest_rec_naturales!B67)</f>
        <v xml:space="preserve">   Países Bajos </v>
      </c>
      <c r="C39" s="22">
        <f>[15]res_pais_dest_rec_naturales!C67/1000000</f>
        <v>1.1241890000000001</v>
      </c>
      <c r="D39" s="25">
        <f>[15]res_pais_dest_rec_naturales!D67/1000000</f>
        <v>1.2270909999999999</v>
      </c>
      <c r="E39" s="22">
        <f t="shared" si="0"/>
        <v>9.1534430598413365</v>
      </c>
      <c r="F39" s="22">
        <f t="shared" si="1"/>
        <v>0.36080010741272173</v>
      </c>
      <c r="G39" s="22">
        <f>[15]res_pais_dest_rec_naturales!E67/1000000</f>
        <v>0.49269000000000002</v>
      </c>
      <c r="H39" s="25">
        <f>[15]res_pais_dest_rec_naturales!F67/1000000</f>
        <v>3.2971E-2</v>
      </c>
      <c r="I39" s="22">
        <f t="shared" si="3"/>
        <v>-93.307962410440638</v>
      </c>
      <c r="J39" s="22">
        <f t="shared" si="5"/>
        <v>0.10705826747628797</v>
      </c>
      <c r="K39" s="16"/>
    </row>
    <row r="40" spans="1:11">
      <c r="A40" s="14" t="s">
        <v>86</v>
      </c>
      <c r="B40" s="7" t="str">
        <f>CONCATENATE(A40,[15]res_pais_dest_rec_naturales!B68)</f>
        <v xml:space="preserve">   Portugal </v>
      </c>
      <c r="C40" s="22">
        <f>[15]res_pais_dest_rec_naturales!C68/1000000</f>
        <v>6.2052000000000003E-2</v>
      </c>
      <c r="D40" s="25">
        <f>[15]res_pais_dest_rec_naturales!D68/1000000</f>
        <v>1.1068469999999999</v>
      </c>
      <c r="E40" s="22">
        <f t="shared" si="0"/>
        <v>1683.7410558886095</v>
      </c>
      <c r="F40" s="22">
        <f t="shared" si="1"/>
        <v>0.3254449070928308</v>
      </c>
      <c r="G40" s="22">
        <f>[15]res_pais_dest_rec_naturales!E68/1000000</f>
        <v>6.2052000000000003E-2</v>
      </c>
      <c r="H40" s="25">
        <f>[15]res_pais_dest_rec_naturales!F68/1000000</f>
        <v>0.128943</v>
      </c>
      <c r="I40" s="22">
        <f t="shared" si="3"/>
        <v>107.79829820150839</v>
      </c>
      <c r="J40" s="22">
        <f t="shared" si="5"/>
        <v>0.41868351530723968</v>
      </c>
      <c r="K40" s="16"/>
    </row>
    <row r="41" spans="1:11">
      <c r="A41" s="14" t="s">
        <v>86</v>
      </c>
      <c r="B41" s="9" t="str">
        <f>CONCATENATE(A41,[15]res_pais_dest_rec_naturales!B69)</f>
        <v xml:space="preserve">   Reino Unido </v>
      </c>
      <c r="C41" s="22">
        <f>[15]res_pais_dest_rec_naturales!C69/1000000</f>
        <v>0.94452499999999995</v>
      </c>
      <c r="D41" s="25">
        <f>[15]res_pais_dest_rec_naturales!D69/1000000</f>
        <v>1.0585450000000001</v>
      </c>
      <c r="E41" s="22">
        <f t="shared" si="0"/>
        <v>12.071676239379592</v>
      </c>
      <c r="F41" s="22">
        <f t="shared" si="1"/>
        <v>0.31124272747595705</v>
      </c>
      <c r="G41" s="22">
        <f>[15]res_pais_dest_rec_naturales!E69/1000000</f>
        <v>7.8732999999999997E-2</v>
      </c>
      <c r="H41" s="25">
        <f>[15]res_pais_dest_rec_naturales!F69/1000000</f>
        <v>0.13303499999999999</v>
      </c>
      <c r="I41" s="22">
        <f t="shared" si="3"/>
        <v>68.969809355670407</v>
      </c>
      <c r="J41" s="22">
        <f t="shared" si="5"/>
        <v>0.43197041684231502</v>
      </c>
      <c r="K41" s="16"/>
    </row>
    <row r="42" spans="1:11">
      <c r="A42" s="14" t="s">
        <v>86</v>
      </c>
      <c r="B42" s="9" t="str">
        <f>CONCATENATE(A42,[15]res_pais_dest_rec_naturales!B70)</f>
        <v xml:space="preserve">   Resto </v>
      </c>
      <c r="C42" s="22">
        <f>[15]res_pais_dest_rec_naturales!C70/1000000</f>
        <v>9.3511999999999998E-2</v>
      </c>
      <c r="D42" s="25">
        <f>[15]res_pais_dest_rec_naturales!D70/1000000</f>
        <v>8.1447000000000006E-2</v>
      </c>
      <c r="E42" s="22">
        <f t="shared" si="0"/>
        <v>-12.902087432628962</v>
      </c>
      <c r="F42" s="22">
        <f t="shared" si="1"/>
        <v>2.3947764549201282E-2</v>
      </c>
      <c r="G42" s="22">
        <f>[15]res_pais_dest_rec_naturales!E70/1000000</f>
        <v>6.2747999999999998E-2</v>
      </c>
      <c r="H42" s="25">
        <f>[15]res_pais_dest_rec_naturales!F70/1000000</f>
        <v>3.2254999999999999E-2</v>
      </c>
      <c r="I42" s="22">
        <f t="shared" si="3"/>
        <v>-48.595971186332633</v>
      </c>
      <c r="J42" s="22">
        <f t="shared" si="5"/>
        <v>0.10473338441198837</v>
      </c>
      <c r="K42" s="16"/>
    </row>
    <row r="43" spans="1:11">
      <c r="A43" s="14"/>
      <c r="B43" s="9" t="str">
        <f>[15]res_pais_dest_rec_naturales!B84</f>
        <v>Suiza</v>
      </c>
      <c r="C43" s="22">
        <f>+[15]res_pais_dest_rec_naturales!C84/1000000</f>
        <v>1.6337000000000001E-2</v>
      </c>
      <c r="D43" s="25">
        <f>+[15]res_pais_dest_rec_naturales!D84/1000000</f>
        <v>0.35178599999999999</v>
      </c>
      <c r="E43" s="22">
        <f t="shared" si="0"/>
        <v>2053.3084409622329</v>
      </c>
      <c r="F43" s="22">
        <f t="shared" si="1"/>
        <v>0.10343521921869832</v>
      </c>
      <c r="G43" s="22">
        <f>+[15]res_pais_dest_rec_naturales!E84/1000000</f>
        <v>8.9999999999999998E-4</v>
      </c>
      <c r="H43" s="25">
        <f>+[15]res_pais_dest_rec_naturales!F84/1000000</f>
        <v>0</v>
      </c>
      <c r="I43" s="22" t="str">
        <f t="shared" si="3"/>
        <v/>
      </c>
      <c r="J43" s="22">
        <f t="shared" si="5"/>
        <v>0</v>
      </c>
      <c r="K43" s="16"/>
    </row>
    <row r="44" spans="1:11">
      <c r="A44" s="14"/>
      <c r="B44" s="9" t="s">
        <v>5</v>
      </c>
      <c r="C44" s="22">
        <f>+C13-C14-C31-C43-C28-C29-C30</f>
        <v>68.89164451999865</v>
      </c>
      <c r="D44" s="25">
        <f>+D13-D14-D31-D43-D28-D29-D30</f>
        <v>73.622973800001503</v>
      </c>
      <c r="E44" s="22">
        <f t="shared" si="0"/>
        <v>6.8677839133733931</v>
      </c>
      <c r="F44" s="22">
        <f t="shared" si="1"/>
        <v>21.64727543033446</v>
      </c>
      <c r="G44" s="22">
        <f t="shared" ref="G44:H44" si="6">+G13-G14-G31-G43-G28-G29-G30</f>
        <v>7.0063519900000042</v>
      </c>
      <c r="H44" s="25">
        <f t="shared" si="6"/>
        <v>13.265324869999999</v>
      </c>
      <c r="I44" s="22">
        <f t="shared" si="3"/>
        <v>89.332835246263315</v>
      </c>
      <c r="J44" s="22">
        <f t="shared" si="5"/>
        <v>43.073085380859389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f>+'Resumen exportaciones totales'!C27</f>
        <v>781.09335747998523</v>
      </c>
      <c r="D13" s="25">
        <f>+'Resumen exportaciones totales'!D27</f>
        <v>682.81410770999992</v>
      </c>
      <c r="E13" s="25">
        <f>IF(OR(OR(D13=0,C13=0),D13=""),"",(D13/C13-1)*100)</f>
        <v>-12.582266745560389</v>
      </c>
      <c r="F13" s="23">
        <f>(D13/D$13)*100</f>
        <v>100</v>
      </c>
      <c r="G13" s="25">
        <f>+'Resumen exportaciones totales'!G27</f>
        <v>61.088584490000059</v>
      </c>
      <c r="H13" s="25">
        <f>+'Resumen exportaciones totales'!H27</f>
        <v>65.737679910000253</v>
      </c>
      <c r="I13" s="25">
        <f>IF(OR(OR(H13=0,G13=0),H13=""),"",(H13/G13-1)*100)</f>
        <v>7.6104160193157355</v>
      </c>
      <c r="J13" s="23">
        <f>(H13/H$13)*100</f>
        <v>100</v>
      </c>
      <c r="K13" s="16"/>
    </row>
    <row r="14" spans="1:14">
      <c r="A14" s="14"/>
      <c r="B14" s="10" t="s">
        <v>54</v>
      </c>
      <c r="C14" s="22">
        <f>+C15+C19</f>
        <v>560.18791099999999</v>
      </c>
      <c r="D14" s="25">
        <f>+D15+D19</f>
        <v>423.71941300000003</v>
      </c>
      <c r="E14" s="22">
        <f t="shared" ref="E14:E44" si="0">IF(OR(OR(D14=0,C14=0),D14=""),"",(D14/C14-1)*100)</f>
        <v>-24.361200111653236</v>
      </c>
      <c r="F14" s="22">
        <f t="shared" ref="F14:F44" si="1">(D14/D$13)*100</f>
        <v>62.054870896129643</v>
      </c>
      <c r="G14" s="22">
        <f>+G15+G19</f>
        <v>36.891970000000001</v>
      </c>
      <c r="H14" s="25">
        <f t="shared" ref="H14" si="2">+H15+H19</f>
        <v>15.34221</v>
      </c>
      <c r="I14" s="22">
        <f t="shared" ref="I14:I44" si="3">IF(OR(OR(H14=0,G14=0),H14=""),"",(H14/G14-1)*100)</f>
        <v>-58.413145191216408</v>
      </c>
      <c r="J14" s="22">
        <f>(H14/H$13)*100</f>
        <v>23.338532818627947</v>
      </c>
      <c r="K14" s="16"/>
    </row>
    <row r="15" spans="1:14">
      <c r="A15" s="14"/>
      <c r="B15" s="10" t="s">
        <v>76</v>
      </c>
      <c r="C15" s="22">
        <f>+SUM(C16:C18)</f>
        <v>123.77453399999999</v>
      </c>
      <c r="D15" s="25">
        <f>+SUM(D16:D18)</f>
        <v>174.59645400000002</v>
      </c>
      <c r="E15" s="22">
        <f t="shared" si="0"/>
        <v>41.060077834750764</v>
      </c>
      <c r="F15" s="22">
        <f>(D15/D$13)*100</f>
        <v>25.570129853578454</v>
      </c>
      <c r="G15" s="22">
        <f t="shared" ref="G15:H15" si="4">+SUM(G16:G18)</f>
        <v>14.181723999999999</v>
      </c>
      <c r="H15" s="25">
        <f t="shared" si="4"/>
        <v>15.340199999999999</v>
      </c>
      <c r="I15" s="22">
        <f t="shared" si="3"/>
        <v>8.1687952748199066</v>
      </c>
      <c r="J15" s="22">
        <f t="shared" ref="J15:J44" si="5">(H15/H$13)*100</f>
        <v>23.335475211479732</v>
      </c>
      <c r="K15" s="16"/>
    </row>
    <row r="16" spans="1:14">
      <c r="A16" s="14" t="s">
        <v>86</v>
      </c>
      <c r="B16" s="9" t="str">
        <f>CONCATENATE(A16,[16]res_pais_dest_baja_tek!B7)</f>
        <v xml:space="preserve">   Bolivia</v>
      </c>
      <c r="C16" s="22">
        <f>[16]res_pais_dest_baja_tek!C7/1000000</f>
        <v>4.0799060000000003</v>
      </c>
      <c r="D16" s="25">
        <f>[16]res_pais_dest_baja_tek!D7/1000000</f>
        <v>4.4742160000000002</v>
      </c>
      <c r="E16" s="22">
        <f t="shared" si="0"/>
        <v>9.6646834510403004</v>
      </c>
      <c r="F16" s="22">
        <f t="shared" si="1"/>
        <v>0.65526121230937684</v>
      </c>
      <c r="G16" s="22">
        <f>[16]res_pais_dest_baja_tek!E7/1000000</f>
        <v>0.51091600000000004</v>
      </c>
      <c r="H16" s="25">
        <f>[16]res_pais_dest_baja_tek!F7/1000000</f>
        <v>0.34235700000000002</v>
      </c>
      <c r="I16" s="22">
        <f t="shared" si="3"/>
        <v>-32.991528940178036</v>
      </c>
      <c r="J16" s="22">
        <f t="shared" si="5"/>
        <v>0.52079264201096254</v>
      </c>
      <c r="K16" s="16"/>
    </row>
    <row r="17" spans="1:11">
      <c r="A17" s="14" t="s">
        <v>86</v>
      </c>
      <c r="B17" s="9" t="str">
        <f>CONCATENATE(A17,[16]res_pais_dest_baja_tek!B8)</f>
        <v xml:space="preserve">   Ecuador</v>
      </c>
      <c r="C17" s="22">
        <f>[16]res_pais_dest_baja_tek!C8/1000000</f>
        <v>90.526646999999997</v>
      </c>
      <c r="D17" s="25">
        <f>[16]res_pais_dest_baja_tek!D8/1000000</f>
        <v>124.946089</v>
      </c>
      <c r="E17" s="22">
        <f t="shared" si="0"/>
        <v>38.021337518443609</v>
      </c>
      <c r="F17" s="22">
        <f t="shared" si="1"/>
        <v>18.298697638079005</v>
      </c>
      <c r="G17" s="22">
        <f>[16]res_pais_dest_baja_tek!E8/1000000</f>
        <v>9.6081029999999998</v>
      </c>
      <c r="H17" s="25">
        <f>[16]res_pais_dest_baja_tek!F8/1000000</f>
        <v>12.026448</v>
      </c>
      <c r="I17" s="22">
        <f t="shared" si="3"/>
        <v>25.169848824476592</v>
      </c>
      <c r="J17" s="22">
        <f t="shared" si="5"/>
        <v>18.294603667888946</v>
      </c>
      <c r="K17" s="16"/>
    </row>
    <row r="18" spans="1:11">
      <c r="A18" s="14" t="s">
        <v>86</v>
      </c>
      <c r="B18" s="9" t="str">
        <f>CONCATENATE(A18,[16]res_pais_dest_baja_tek!B9)</f>
        <v xml:space="preserve">   Perú </v>
      </c>
      <c r="C18" s="22">
        <f>[16]res_pais_dest_baja_tek!C9/1000000</f>
        <v>29.167981000000001</v>
      </c>
      <c r="D18" s="25">
        <f>[16]res_pais_dest_baja_tek!D9/1000000</f>
        <v>45.176149000000002</v>
      </c>
      <c r="E18" s="22">
        <f t="shared" si="0"/>
        <v>54.882674258461691</v>
      </c>
      <c r="F18" s="22">
        <f t="shared" si="1"/>
        <v>6.6161710031900665</v>
      </c>
      <c r="G18" s="22">
        <f>[16]res_pais_dest_baja_tek!E9/1000000</f>
        <v>4.0627050000000002</v>
      </c>
      <c r="H18" s="25">
        <f>[16]res_pais_dest_baja_tek!F9/1000000</f>
        <v>2.9713949999999998</v>
      </c>
      <c r="I18" s="22">
        <f t="shared" si="3"/>
        <v>-26.861659903931013</v>
      </c>
      <c r="J18" s="22">
        <f t="shared" si="5"/>
        <v>4.5200789015798239</v>
      </c>
      <c r="K18" s="16"/>
    </row>
    <row r="19" spans="1:11">
      <c r="A19" s="14"/>
      <c r="B19" s="10" t="s">
        <v>77</v>
      </c>
      <c r="C19" s="22">
        <f>SUM(C20:C27)</f>
        <v>436.41337699999997</v>
      </c>
      <c r="D19" s="25">
        <f>SUM(D20:D27)</f>
        <v>249.12295899999998</v>
      </c>
      <c r="E19" s="22">
        <f t="shared" si="0"/>
        <v>-42.915828861038783</v>
      </c>
      <c r="F19" s="22">
        <f t="shared" si="1"/>
        <v>36.484741042551185</v>
      </c>
      <c r="G19" s="22">
        <f>SUM(G20:G27)</f>
        <v>22.710245999999998</v>
      </c>
      <c r="H19" s="25">
        <f>+[11]resumen_pais_destino!F22/1000000</f>
        <v>2.0100000000000001E-3</v>
      </c>
      <c r="I19" s="22">
        <f t="shared" si="3"/>
        <v>-99.991149369319913</v>
      </c>
      <c r="J19" s="22">
        <f t="shared" si="5"/>
        <v>3.0576071482167283E-3</v>
      </c>
      <c r="K19" s="16"/>
    </row>
    <row r="20" spans="1:11">
      <c r="A20" s="14" t="s">
        <v>86</v>
      </c>
      <c r="B20" s="9" t="str">
        <f>CONCATENATE(A20,[16]res_pais_dest_baja_tek!B23)</f>
        <v xml:space="preserve">   Argentina</v>
      </c>
      <c r="C20" s="22">
        <f>[16]res_pais_dest_baja_tek!C23/1000000</f>
        <v>3.6897229999999999</v>
      </c>
      <c r="D20" s="25">
        <f>[16]res_pais_dest_baja_tek!D23/1000000</f>
        <v>3.4318680000000001</v>
      </c>
      <c r="E20" s="22">
        <f t="shared" si="0"/>
        <v>-6.988464987751108</v>
      </c>
      <c r="F20" s="22">
        <f t="shared" si="1"/>
        <v>0.50260648707298816</v>
      </c>
      <c r="G20" s="22">
        <f>[16]res_pais_dest_baja_tek!E23/1000000</f>
        <v>0.23128399999999999</v>
      </c>
      <c r="H20" s="25">
        <f>[16]res_pais_dest_baja_tek!F23/1000000</f>
        <v>0.193137</v>
      </c>
      <c r="I20" s="22">
        <f t="shared" si="3"/>
        <v>-16.493574998702886</v>
      </c>
      <c r="J20" s="22">
        <f t="shared" si="5"/>
        <v>0.29379953820155935</v>
      </c>
      <c r="K20" s="16"/>
    </row>
    <row r="21" spans="1:11">
      <c r="A21" s="14" t="s">
        <v>86</v>
      </c>
      <c r="B21" s="9" t="str">
        <f>CONCATENATE(A21,[16]res_pais_dest_baja_tek!B24)</f>
        <v xml:space="preserve">   Brasil </v>
      </c>
      <c r="C21" s="22">
        <f>[16]res_pais_dest_baja_tek!C24/1000000</f>
        <v>10.933192999999999</v>
      </c>
      <c r="D21" s="25">
        <f>[16]res_pais_dest_baja_tek!D24/1000000</f>
        <v>14.664388000000001</v>
      </c>
      <c r="E21" s="22">
        <f t="shared" si="0"/>
        <v>34.127221571959822</v>
      </c>
      <c r="F21" s="22">
        <f t="shared" si="1"/>
        <v>2.147639867779088</v>
      </c>
      <c r="G21" s="22">
        <f>[16]res_pais_dest_baja_tek!E24/1000000</f>
        <v>0.92164199999999996</v>
      </c>
      <c r="H21" s="25">
        <f>[16]res_pais_dest_baja_tek!F24/1000000</f>
        <v>0.97311800000000004</v>
      </c>
      <c r="I21" s="22">
        <f t="shared" si="3"/>
        <v>5.5852489361378987</v>
      </c>
      <c r="J21" s="22">
        <f t="shared" si="5"/>
        <v>1.4803047526658539</v>
      </c>
      <c r="K21" s="16"/>
    </row>
    <row r="22" spans="1:11">
      <c r="A22" s="14" t="s">
        <v>86</v>
      </c>
      <c r="B22" s="9" t="str">
        <f>CONCATENATE(A22,[16]res_pais_dest_baja_tek!B25)</f>
        <v xml:space="preserve">   Cuba </v>
      </c>
      <c r="C22" s="22">
        <f>[16]res_pais_dest_baja_tek!C25/1000000</f>
        <v>4.1616309999999999</v>
      </c>
      <c r="D22" s="25">
        <f>[16]res_pais_dest_baja_tek!D25/1000000</f>
        <v>5.180885</v>
      </c>
      <c r="E22" s="22">
        <f t="shared" si="0"/>
        <v>24.49169568373555</v>
      </c>
      <c r="F22" s="22">
        <f t="shared" si="1"/>
        <v>0.75875482675299233</v>
      </c>
      <c r="G22" s="22">
        <f>[16]res_pais_dest_baja_tek!E25/1000000</f>
        <v>0.57010300000000003</v>
      </c>
      <c r="H22" s="25">
        <f>[16]res_pais_dest_baja_tek!F25/1000000</f>
        <v>0.80466000000000004</v>
      </c>
      <c r="I22" s="22">
        <f t="shared" si="3"/>
        <v>41.14291628004063</v>
      </c>
      <c r="J22" s="22">
        <f t="shared" si="5"/>
        <v>1.2240468496935686</v>
      </c>
      <c r="K22" s="16"/>
    </row>
    <row r="23" spans="1:11">
      <c r="A23" s="14" t="s">
        <v>86</v>
      </c>
      <c r="B23" s="9" t="str">
        <f>CONCATENATE(A23,[16]res_pais_dest_baja_tek!B26)</f>
        <v xml:space="preserve">   Chile </v>
      </c>
      <c r="C23" s="22">
        <f>[16]res_pais_dest_baja_tek!C26/1000000</f>
        <v>11.71166</v>
      </c>
      <c r="D23" s="25">
        <f>[16]res_pais_dest_baja_tek!D26/1000000</f>
        <v>14.859876999999999</v>
      </c>
      <c r="E23" s="22">
        <f t="shared" si="0"/>
        <v>26.881048459398581</v>
      </c>
      <c r="F23" s="22">
        <f t="shared" si="1"/>
        <v>2.176269768332201</v>
      </c>
      <c r="G23" s="22">
        <f>[16]res_pais_dest_baja_tek!E26/1000000</f>
        <v>1.1043559999999999</v>
      </c>
      <c r="H23" s="25">
        <f>[16]res_pais_dest_baja_tek!F26/1000000</f>
        <v>1.653778</v>
      </c>
      <c r="I23" s="22">
        <f t="shared" si="3"/>
        <v>49.750442791998253</v>
      </c>
      <c r="J23" s="22">
        <f t="shared" si="5"/>
        <v>2.5157231016734154</v>
      </c>
      <c r="K23" s="16"/>
    </row>
    <row r="24" spans="1:11">
      <c r="A24" s="14" t="s">
        <v>86</v>
      </c>
      <c r="B24" s="9" t="str">
        <f>CONCATENATE(A24,[16]res_pais_dest_baja_tek!B27)</f>
        <v xml:space="preserve">   México </v>
      </c>
      <c r="C24" s="22">
        <f>[16]res_pais_dest_baja_tek!C27/1000000</f>
        <v>50.011907999999998</v>
      </c>
      <c r="D24" s="25">
        <f>[16]res_pais_dest_baja_tek!D27/1000000</f>
        <v>48.044742999999997</v>
      </c>
      <c r="E24" s="22">
        <f t="shared" si="0"/>
        <v>-3.933393223069992</v>
      </c>
      <c r="F24" s="22">
        <f t="shared" si="1"/>
        <v>7.0362844671049514</v>
      </c>
      <c r="G24" s="22">
        <f>[16]res_pais_dest_baja_tek!E27/1000000</f>
        <v>4.2915279999999996</v>
      </c>
      <c r="H24" s="25">
        <f>[16]res_pais_dest_baja_tek!F27/1000000</f>
        <v>5.5717780000000001</v>
      </c>
      <c r="I24" s="22">
        <f t="shared" si="3"/>
        <v>29.832031854388475</v>
      </c>
      <c r="J24" s="22">
        <f t="shared" si="5"/>
        <v>8.47577524431677</v>
      </c>
      <c r="K24" s="16"/>
    </row>
    <row r="25" spans="1:11">
      <c r="A25" s="14" t="s">
        <v>86</v>
      </c>
      <c r="B25" s="9" t="str">
        <f>CONCATENATE(A25,[16]res_pais_dest_baja_tek!B28)</f>
        <v xml:space="preserve">   Paraguay </v>
      </c>
      <c r="C25" s="22">
        <f>[16]res_pais_dest_baja_tek!C28/1000000</f>
        <v>0.315108</v>
      </c>
      <c r="D25" s="25">
        <f>[16]res_pais_dest_baja_tek!D28/1000000</f>
        <v>0.51401600000000003</v>
      </c>
      <c r="E25" s="22">
        <f t="shared" si="0"/>
        <v>63.123754395318429</v>
      </c>
      <c r="F25" s="22">
        <f t="shared" si="1"/>
        <v>7.5279053873665625E-2</v>
      </c>
      <c r="G25" s="22">
        <f>[16]res_pais_dest_baja_tek!E28/1000000</f>
        <v>0.102731</v>
      </c>
      <c r="H25" s="25">
        <f>[16]res_pais_dest_baja_tek!F28/1000000</f>
        <v>9.8741999999999996E-2</v>
      </c>
      <c r="I25" s="22">
        <f t="shared" si="3"/>
        <v>-3.8829564591019272</v>
      </c>
      <c r="J25" s="22">
        <f t="shared" si="5"/>
        <v>0.15020609205433641</v>
      </c>
      <c r="K25" s="16"/>
    </row>
    <row r="26" spans="1:11">
      <c r="A26" s="14" t="s">
        <v>86</v>
      </c>
      <c r="B26" s="9" t="str">
        <f>CONCATENATE(A26,[16]res_pais_dest_baja_tek!B29)</f>
        <v xml:space="preserve">   Uruguay </v>
      </c>
      <c r="C26" s="22">
        <f>[16]res_pais_dest_baja_tek!C29/1000000</f>
        <v>1.0471459999999999</v>
      </c>
      <c r="D26" s="25">
        <f>[16]res_pais_dest_baja_tek!D29/1000000</f>
        <v>0.90352200000000005</v>
      </c>
      <c r="E26" s="22">
        <f t="shared" si="0"/>
        <v>-13.715756924058331</v>
      </c>
      <c r="F26" s="22">
        <f t="shared" si="1"/>
        <v>0.13232327654011181</v>
      </c>
      <c r="G26" s="22">
        <f>[16]res_pais_dest_baja_tek!E29/1000000</f>
        <v>3.1806000000000001E-2</v>
      </c>
      <c r="H26" s="25">
        <f>[16]res_pais_dest_baja_tek!F29/1000000</f>
        <v>9.7187999999999997E-2</v>
      </c>
      <c r="I26" s="22">
        <f t="shared" si="3"/>
        <v>205.56498773816259</v>
      </c>
      <c r="J26" s="22">
        <f t="shared" si="5"/>
        <v>0.14784215100541662</v>
      </c>
      <c r="K26" s="16"/>
    </row>
    <row r="27" spans="1:11">
      <c r="A27" s="14" t="s">
        <v>86</v>
      </c>
      <c r="B27" s="9" t="str">
        <f>CONCATENATE(A27,[16]res_pais_dest_baja_tek!B30)</f>
        <v xml:space="preserve">   Venezuela</v>
      </c>
      <c r="C27" s="22">
        <f>[16]res_pais_dest_baja_tek!C30/1000000</f>
        <v>354.54300799999999</v>
      </c>
      <c r="D27" s="25">
        <f>[16]res_pais_dest_baja_tek!D30/1000000</f>
        <v>161.52366000000001</v>
      </c>
      <c r="E27" s="22">
        <f t="shared" si="0"/>
        <v>-54.441730239960052</v>
      </c>
      <c r="F27" s="22">
        <f>(D27/D$13)*100</f>
        <v>23.655583295095191</v>
      </c>
      <c r="G27" s="22">
        <f>[16]res_pais_dest_baja_tek!E30/1000000</f>
        <v>15.456796000000001</v>
      </c>
      <c r="H27" s="25">
        <f>[16]res_pais_dest_baja_tek!F30/1000000</f>
        <v>18.791055</v>
      </c>
      <c r="I27" s="22">
        <f t="shared" si="3"/>
        <v>21.571475744391002</v>
      </c>
      <c r="J27" s="22">
        <f t="shared" si="5"/>
        <v>28.584907507728207</v>
      </c>
      <c r="K27" s="16"/>
    </row>
    <row r="28" spans="1:11">
      <c r="A28" s="14" t="s">
        <v>86</v>
      </c>
      <c r="B28" s="9" t="str">
        <f>[16]res_pais_dest_baja_tek!B44</f>
        <v xml:space="preserve">Canadá </v>
      </c>
      <c r="C28" s="22">
        <f>[16]res_pais_dest_baja_tek!C44/1000000</f>
        <v>2.5576460000000001</v>
      </c>
      <c r="D28" s="25">
        <f>[16]res_pais_dest_baja_tek!D44/1000000</f>
        <v>2.7528519999999999</v>
      </c>
      <c r="E28" s="22">
        <f t="shared" si="0"/>
        <v>7.6322524696537331</v>
      </c>
      <c r="F28" s="22">
        <f>(D28/D$13)*100</f>
        <v>0.40316273037070466</v>
      </c>
      <c r="G28" s="22">
        <f>[16]res_pais_dest_baja_tek!E44/1000000</f>
        <v>0.109004</v>
      </c>
      <c r="H28" s="25">
        <f>[16]res_pais_dest_baja_tek!F44/1000000</f>
        <v>0.24710799999999999</v>
      </c>
      <c r="I28" s="22">
        <f t="shared" si="3"/>
        <v>126.69626802686138</v>
      </c>
      <c r="J28" s="22">
        <f t="shared" si="5"/>
        <v>0.37590009312514394</v>
      </c>
      <c r="K28" s="16"/>
    </row>
    <row r="29" spans="1:11">
      <c r="A29" s="14" t="s">
        <v>86</v>
      </c>
      <c r="B29" s="9" t="str">
        <f>[16]res_pais_dest_baja_tek!B45</f>
        <v>Estados Unidos</v>
      </c>
      <c r="C29" s="22">
        <f>[16]res_pais_dest_baja_tek!C45/1000000</f>
        <v>83.967877000000001</v>
      </c>
      <c r="D29" s="25">
        <f>[16]res_pais_dest_baja_tek!D45/1000000</f>
        <v>96.147900000000007</v>
      </c>
      <c r="E29" s="22">
        <f t="shared" si="0"/>
        <v>14.505574554421564</v>
      </c>
      <c r="F29" s="22">
        <f t="shared" si="1"/>
        <v>14.081123824822214</v>
      </c>
      <c r="G29" s="22">
        <f>[16]res_pais_dest_baja_tek!E45/1000000</f>
        <v>8.5637819999999998</v>
      </c>
      <c r="H29" s="25">
        <f>[16]res_pais_dest_baja_tek!F45/1000000</f>
        <v>9.1206960000000006</v>
      </c>
      <c r="I29" s="22">
        <f t="shared" si="3"/>
        <v>6.5031314435608056</v>
      </c>
      <c r="J29" s="22">
        <f t="shared" si="5"/>
        <v>13.874380739458569</v>
      </c>
      <c r="K29" s="16"/>
    </row>
    <row r="30" spans="1:11">
      <c r="A30" s="14" t="s">
        <v>86</v>
      </c>
      <c r="B30" s="9" t="str">
        <f>[16]res_pais_dest_baja_tek!B46</f>
        <v xml:space="preserve">Puerto Rico </v>
      </c>
      <c r="C30" s="22">
        <f>[16]res_pais_dest_baja_tek!C46/1000000</f>
        <v>8.8173030000000008</v>
      </c>
      <c r="D30" s="25">
        <f>[16]res_pais_dest_baja_tek!D46/1000000</f>
        <v>8.8772819999999992</v>
      </c>
      <c r="E30" s="22">
        <f t="shared" si="0"/>
        <v>0.68024201958352126</v>
      </c>
      <c r="F30" s="22">
        <f t="shared" si="1"/>
        <v>1.3001023118535648</v>
      </c>
      <c r="G30" s="22">
        <f>[16]res_pais_dest_baja_tek!E46/1000000</f>
        <v>0.97392299999999998</v>
      </c>
      <c r="H30" s="25">
        <f>[16]res_pais_dest_baja_tek!F46/1000000</f>
        <v>0.85400500000000001</v>
      </c>
      <c r="I30" s="22">
        <f t="shared" si="3"/>
        <v>-12.312883051329514</v>
      </c>
      <c r="J30" s="22">
        <f t="shared" si="5"/>
        <v>1.2991103445834962</v>
      </c>
      <c r="K30" s="16"/>
    </row>
    <row r="31" spans="1:11">
      <c r="A31" s="14"/>
      <c r="B31" s="10" t="s">
        <v>55</v>
      </c>
      <c r="C31" s="22">
        <f>SUM(C32:C42)</f>
        <v>22.888209</v>
      </c>
      <c r="D31" s="25">
        <f>SUM(D32:D42)</f>
        <v>27.223281</v>
      </c>
      <c r="E31" s="22">
        <f t="shared" si="0"/>
        <v>18.940197548877681</v>
      </c>
      <c r="F31" s="22">
        <f t="shared" si="1"/>
        <v>3.9869242144542927</v>
      </c>
      <c r="G31" s="22">
        <f>SUM(G32:G42)</f>
        <v>2.3003619999999998</v>
      </c>
      <c r="H31" s="25">
        <f>SUM(H32:H42)</f>
        <v>1.861769</v>
      </c>
      <c r="I31" s="22">
        <f t="shared" si="3"/>
        <v>-19.066260006033829</v>
      </c>
      <c r="J31" s="22">
        <f t="shared" si="5"/>
        <v>2.8321185088200549</v>
      </c>
      <c r="K31" s="16"/>
    </row>
    <row r="32" spans="1:11">
      <c r="A32" s="14" t="s">
        <v>86</v>
      </c>
      <c r="B32" s="9" t="str">
        <f>CONCATENATE(A32,[16]res_pais_dest_baja_tek!B60)</f>
        <v xml:space="preserve">   Alemania </v>
      </c>
      <c r="C32" s="22">
        <f>[16]res_pais_dest_baja_tek!C60/1000000</f>
        <v>2.026459</v>
      </c>
      <c r="D32" s="25">
        <f>[16]res_pais_dest_baja_tek!D60/1000000</f>
        <v>2.340754</v>
      </c>
      <c r="E32" s="22">
        <f t="shared" si="0"/>
        <v>15.509566194036006</v>
      </c>
      <c r="F32" s="22">
        <f t="shared" si="1"/>
        <v>0.34280984730241526</v>
      </c>
      <c r="G32" s="22">
        <f>[16]res_pais_dest_baja_tek!E60/1000000</f>
        <v>0.15428700000000001</v>
      </c>
      <c r="H32" s="25">
        <f>[16]res_pais_dest_baja_tek!F60/1000000</f>
        <v>0.19597300000000001</v>
      </c>
      <c r="I32" s="22">
        <f t="shared" si="3"/>
        <v>27.018478549715795</v>
      </c>
      <c r="J32" s="22">
        <f t="shared" si="5"/>
        <v>0.29811365455595867</v>
      </c>
      <c r="K32" s="16"/>
    </row>
    <row r="33" spans="1:11">
      <c r="A33" s="14" t="s">
        <v>86</v>
      </c>
      <c r="B33" s="9" t="str">
        <f>CONCATENATE(A33,[16]res_pais_dest_baja_tek!B61)</f>
        <v xml:space="preserve">   Austria </v>
      </c>
      <c r="C33" s="22">
        <f>[16]res_pais_dest_baja_tek!C61/1000000</f>
        <v>8.8685E-2</v>
      </c>
      <c r="D33" s="25">
        <f>[16]res_pais_dest_baja_tek!D61/1000000</f>
        <v>0.21297199999999999</v>
      </c>
      <c r="E33" s="22">
        <f t="shared" si="0"/>
        <v>140.14433105936743</v>
      </c>
      <c r="F33" s="22">
        <f t="shared" si="1"/>
        <v>3.1190333883735745E-2</v>
      </c>
      <c r="G33" s="22">
        <f>[16]res_pais_dest_baja_tek!E61/1000000</f>
        <v>1.8400000000000001E-3</v>
      </c>
      <c r="H33" s="25">
        <f>[16]res_pais_dest_baja_tek!F61/1000000</f>
        <v>0</v>
      </c>
      <c r="I33" s="22" t="str">
        <f t="shared" si="3"/>
        <v/>
      </c>
      <c r="J33" s="22">
        <f t="shared" si="5"/>
        <v>0</v>
      </c>
      <c r="K33" s="16"/>
    </row>
    <row r="34" spans="1:11">
      <c r="A34" s="14" t="s">
        <v>86</v>
      </c>
      <c r="B34" s="9" t="str">
        <f>CONCATENATE(A34,[16]res_pais_dest_baja_tek!B62)</f>
        <v xml:space="preserve">   Bélgica </v>
      </c>
      <c r="C34" s="22">
        <f>[16]res_pais_dest_baja_tek!C62/1000000</f>
        <v>1.337334</v>
      </c>
      <c r="D34" s="25">
        <f>[16]res_pais_dest_baja_tek!D62/1000000</f>
        <v>1.297528</v>
      </c>
      <c r="E34" s="22">
        <f t="shared" si="0"/>
        <v>-2.9765189548758952</v>
      </c>
      <c r="F34" s="22">
        <f t="shared" si="1"/>
        <v>0.19002653655642937</v>
      </c>
      <c r="G34" s="22">
        <f>[16]res_pais_dest_baja_tek!E62/1000000</f>
        <v>5.0478000000000002E-2</v>
      </c>
      <c r="H34" s="25">
        <f>[16]res_pais_dest_baja_tek!F62/1000000</f>
        <v>4.6196000000000001E-2</v>
      </c>
      <c r="I34" s="22">
        <f t="shared" si="3"/>
        <v>-8.4829034430841226</v>
      </c>
      <c r="J34" s="22">
        <f t="shared" si="5"/>
        <v>7.0273243691054726E-2</v>
      </c>
      <c r="K34" s="16"/>
    </row>
    <row r="35" spans="1:11">
      <c r="A35" s="14" t="s">
        <v>86</v>
      </c>
      <c r="B35" s="9" t="str">
        <f>CONCATENATE(A35,[16]res_pais_dest_baja_tek!B63)</f>
        <v xml:space="preserve">   España </v>
      </c>
      <c r="C35" s="22">
        <f>[16]res_pais_dest_baja_tek!C63/1000000</f>
        <v>2.431683</v>
      </c>
      <c r="D35" s="25">
        <f>[16]res_pais_dest_baja_tek!D63/1000000</f>
        <v>4.061985</v>
      </c>
      <c r="E35" s="22">
        <f t="shared" si="0"/>
        <v>67.044182979442638</v>
      </c>
      <c r="F35" s="22">
        <f t="shared" si="1"/>
        <v>0.59488885102608013</v>
      </c>
      <c r="G35" s="22">
        <f>[16]res_pais_dest_baja_tek!E63/1000000</f>
        <v>0.38801200000000002</v>
      </c>
      <c r="H35" s="25">
        <f>[16]res_pais_dest_baja_tek!F63/1000000</f>
        <v>0.246364</v>
      </c>
      <c r="I35" s="22">
        <f t="shared" si="3"/>
        <v>-36.506087440594627</v>
      </c>
      <c r="J35" s="22">
        <f t="shared" si="5"/>
        <v>0.3747683221210279</v>
      </c>
      <c r="K35" s="16"/>
    </row>
    <row r="36" spans="1:11">
      <c r="A36" s="14" t="s">
        <v>86</v>
      </c>
      <c r="B36" s="9" t="str">
        <f>CONCATENATE(A36,[16]res_pais_dest_baja_tek!B64)</f>
        <v xml:space="preserve">   Francia </v>
      </c>
      <c r="C36" s="22">
        <f>[16]res_pais_dest_baja_tek!C64/1000000</f>
        <v>1.626447</v>
      </c>
      <c r="D36" s="25">
        <f>[16]res_pais_dest_baja_tek!D64/1000000</f>
        <v>1.5625830000000001</v>
      </c>
      <c r="E36" s="22">
        <f t="shared" si="0"/>
        <v>-3.9265958251329391</v>
      </c>
      <c r="F36" s="22">
        <f t="shared" si="1"/>
        <v>0.22884456872757666</v>
      </c>
      <c r="G36" s="22">
        <f>[16]res_pais_dest_baja_tek!E64/1000000</f>
        <v>0.30676399999999998</v>
      </c>
      <c r="H36" s="25">
        <f>[16]res_pais_dest_baja_tek!F64/1000000</f>
        <v>4.2962E-2</v>
      </c>
      <c r="I36" s="22">
        <f t="shared" si="3"/>
        <v>-85.995097208277372</v>
      </c>
      <c r="J36" s="22">
        <f t="shared" si="5"/>
        <v>6.5353690697356762E-2</v>
      </c>
      <c r="K36" s="16"/>
    </row>
    <row r="37" spans="1:11">
      <c r="A37" s="14" t="s">
        <v>86</v>
      </c>
      <c r="B37" s="9" t="str">
        <f>CONCATENATE(A37,[16]res_pais_dest_baja_tek!B65)</f>
        <v xml:space="preserve">   Italia </v>
      </c>
      <c r="C37" s="22">
        <f>[16]res_pais_dest_baja_tek!C65/1000000</f>
        <v>6.3894599999999997</v>
      </c>
      <c r="D37" s="25">
        <f>[16]res_pais_dest_baja_tek!D65/1000000</f>
        <v>11.162421</v>
      </c>
      <c r="E37" s="22">
        <f t="shared" si="0"/>
        <v>74.700538073640033</v>
      </c>
      <c r="F37" s="22">
        <f t="shared" si="1"/>
        <v>1.6347671897752918</v>
      </c>
      <c r="G37" s="22">
        <f>[16]res_pais_dest_baja_tek!E65/1000000</f>
        <v>0.31599500000000003</v>
      </c>
      <c r="H37" s="25">
        <f>[16]res_pais_dest_baja_tek!F65/1000000</f>
        <v>0.56453299999999995</v>
      </c>
      <c r="I37" s="22">
        <f t="shared" si="3"/>
        <v>78.652510324530425</v>
      </c>
      <c r="J37" s="22">
        <f t="shared" si="5"/>
        <v>0.85876623691752951</v>
      </c>
      <c r="K37" s="16"/>
    </row>
    <row r="38" spans="1:11">
      <c r="A38" s="14" t="s">
        <v>86</v>
      </c>
      <c r="B38" s="7" t="str">
        <f>CONCATENATE(A38,[16]res_pais_dest_baja_tek!B66)</f>
        <v xml:space="preserve">   Países Bajos </v>
      </c>
      <c r="C38" s="22">
        <f>[16]res_pais_dest_baja_tek!C66/1000000</f>
        <v>3.6055519999999999</v>
      </c>
      <c r="D38" s="25">
        <f>[16]res_pais_dest_baja_tek!D66/1000000</f>
        <v>1.9907189999999999</v>
      </c>
      <c r="E38" s="22">
        <f t="shared" si="0"/>
        <v>-44.787400098514738</v>
      </c>
      <c r="F38" s="22">
        <f t="shared" si="1"/>
        <v>0.29154626091080771</v>
      </c>
      <c r="G38" s="22">
        <f>[16]res_pais_dest_baja_tek!E66/1000000</f>
        <v>0.51641599999999999</v>
      </c>
      <c r="H38" s="25">
        <f>[16]res_pais_dest_baja_tek!F66/1000000</f>
        <v>0.47082499999999999</v>
      </c>
      <c r="I38" s="22">
        <f t="shared" si="3"/>
        <v>-8.8283476886850902</v>
      </c>
      <c r="J38" s="22">
        <f t="shared" si="5"/>
        <v>0.7162178535120105</v>
      </c>
      <c r="K38" s="16"/>
    </row>
    <row r="39" spans="1:11">
      <c r="A39" s="14" t="s">
        <v>86</v>
      </c>
      <c r="B39" s="7" t="str">
        <f>CONCATENATE(A39,[16]res_pais_dest_baja_tek!B67)</f>
        <v xml:space="preserve">   Portugal </v>
      </c>
      <c r="C39" s="22">
        <f>[16]res_pais_dest_baja_tek!C67/1000000</f>
        <v>0.25914500000000001</v>
      </c>
      <c r="D39" s="25">
        <f>[16]res_pais_dest_baja_tek!D67/1000000</f>
        <v>0.39402500000000001</v>
      </c>
      <c r="E39" s="22">
        <f t="shared" si="0"/>
        <v>52.048081190067343</v>
      </c>
      <c r="F39" s="22">
        <f t="shared" si="1"/>
        <v>5.7706042618461476E-2</v>
      </c>
      <c r="G39" s="22">
        <f>[16]res_pais_dest_baja_tek!E67/1000000</f>
        <v>2.988E-2</v>
      </c>
      <c r="H39" s="25">
        <f>[16]res_pais_dest_baja_tek!F67/1000000</f>
        <v>4.9319999999999998E-3</v>
      </c>
      <c r="I39" s="22">
        <f t="shared" si="3"/>
        <v>-83.493975903614455</v>
      </c>
      <c r="J39" s="22">
        <f t="shared" si="5"/>
        <v>7.5025464950273157E-3</v>
      </c>
      <c r="K39" s="16"/>
    </row>
    <row r="40" spans="1:11">
      <c r="A40" s="14" t="s">
        <v>86</v>
      </c>
      <c r="B40" s="7" t="str">
        <f>CONCATENATE(A40,[16]res_pais_dest_baja_tek!B68)</f>
        <v xml:space="preserve">   Reino Unido </v>
      </c>
      <c r="C40" s="22">
        <f>[16]res_pais_dest_baja_tek!C68/1000000</f>
        <v>4.3458990000000002</v>
      </c>
      <c r="D40" s="25">
        <f>[16]res_pais_dest_baja_tek!D68/1000000</f>
        <v>3.5893480000000002</v>
      </c>
      <c r="E40" s="22">
        <f t="shared" si="0"/>
        <v>-17.408388920221107</v>
      </c>
      <c r="F40" s="22">
        <f t="shared" si="1"/>
        <v>0.52566986526359871</v>
      </c>
      <c r="G40" s="22">
        <f>[16]res_pais_dest_baja_tek!E68/1000000</f>
        <v>0.52703500000000003</v>
      </c>
      <c r="H40" s="25">
        <f>[16]res_pais_dest_baja_tek!F68/1000000</f>
        <v>0.25249899999999997</v>
      </c>
      <c r="I40" s="22">
        <f t="shared" si="3"/>
        <v>-52.090658115684917</v>
      </c>
      <c r="J40" s="22">
        <f t="shared" si="5"/>
        <v>0.3841008693122267</v>
      </c>
      <c r="K40" s="16"/>
    </row>
    <row r="41" spans="1:11">
      <c r="A41" s="14" t="s">
        <v>86</v>
      </c>
      <c r="B41" s="9" t="str">
        <f>CONCATENATE(A41,[16]res_pais_dest_baja_tek!B69)</f>
        <v xml:space="preserve">   Suecia </v>
      </c>
      <c r="C41" s="22">
        <f>[16]res_pais_dest_baja_tek!C69/1000000</f>
        <v>0.18715999999999999</v>
      </c>
      <c r="D41" s="25">
        <f>[16]res_pais_dest_baja_tek!D69/1000000</f>
        <v>0.25658700000000001</v>
      </c>
      <c r="E41" s="22">
        <f t="shared" si="0"/>
        <v>37.094998931395608</v>
      </c>
      <c r="F41" s="22">
        <f t="shared" si="1"/>
        <v>3.7577870331433727E-2</v>
      </c>
      <c r="G41" s="22">
        <f>[16]res_pais_dest_baja_tek!E69/1000000</f>
        <v>0</v>
      </c>
      <c r="H41" s="25">
        <f>[16]res_pais_dest_baja_tek!F69/1000000</f>
        <v>5.5999999999999999E-3</v>
      </c>
      <c r="I41" s="22" t="str">
        <f t="shared" si="3"/>
        <v/>
      </c>
      <c r="J41" s="22">
        <f t="shared" si="5"/>
        <v>8.5187064825938703E-3</v>
      </c>
      <c r="K41" s="16"/>
    </row>
    <row r="42" spans="1:11">
      <c r="A42" s="14" t="s">
        <v>86</v>
      </c>
      <c r="B42" s="9" t="str">
        <f>CONCATENATE(A42,[16]res_pais_dest_baja_tek!B70)</f>
        <v xml:space="preserve">   Resto </v>
      </c>
      <c r="C42" s="22">
        <f>[16]res_pais_dest_baja_tek!C70/1000000</f>
        <v>0.59038500000000005</v>
      </c>
      <c r="D42" s="25">
        <f>[16]res_pais_dest_baja_tek!D70/1000000</f>
        <v>0.35435899999999998</v>
      </c>
      <c r="E42" s="22">
        <f t="shared" si="0"/>
        <v>-39.978319232365337</v>
      </c>
      <c r="F42" s="22">
        <f t="shared" si="1"/>
        <v>5.1896848058461745E-2</v>
      </c>
      <c r="G42" s="22">
        <f>[16]res_pais_dest_baja_tek!E70/1000000</f>
        <v>9.6550000000000004E-3</v>
      </c>
      <c r="H42" s="25">
        <f>[16]res_pais_dest_baja_tek!F70/1000000</f>
        <v>3.1884999999999997E-2</v>
      </c>
      <c r="I42" s="22">
        <f t="shared" si="3"/>
        <v>230.24339720352143</v>
      </c>
      <c r="J42" s="22">
        <f t="shared" si="5"/>
        <v>4.8503385035268846E-2</v>
      </c>
      <c r="K42" s="16"/>
    </row>
    <row r="43" spans="1:11">
      <c r="A43" s="14"/>
      <c r="B43" s="9" t="str">
        <f>[16]res_pais_dest_baja_tek!B84</f>
        <v>Suiza</v>
      </c>
      <c r="C43" s="22">
        <f>[16]res_pais_dest_baja_tek!C84/1000000</f>
        <v>0.176867</v>
      </c>
      <c r="D43" s="25">
        <f>[16]res_pais_dest_baja_tek!D84/1000000</f>
        <v>1.0927929999999999</v>
      </c>
      <c r="E43" s="22">
        <f t="shared" si="0"/>
        <v>517.86144390983054</v>
      </c>
      <c r="F43" s="22">
        <f t="shared" si="1"/>
        <v>0.16004253392844708</v>
      </c>
      <c r="G43" s="22">
        <f>[16]res_pais_dest_baja_tek!E84/1000000</f>
        <v>8.3429999999999997E-3</v>
      </c>
      <c r="H43" s="25">
        <f>[16]res_pais_dest_baja_tek!F84/1000000</f>
        <v>2.1484E-2</v>
      </c>
      <c r="I43" s="22">
        <f t="shared" si="3"/>
        <v>157.50928922449958</v>
      </c>
      <c r="J43" s="22">
        <f t="shared" si="5"/>
        <v>3.268140894143691E-2</v>
      </c>
      <c r="K43" s="16"/>
    </row>
    <row r="44" spans="1:11">
      <c r="A44" s="14"/>
      <c r="B44" s="9" t="s">
        <v>5</v>
      </c>
      <c r="C44" s="22">
        <f>+C13-C14-C31-C43-C28-C29-C30</f>
        <v>102.49754447998527</v>
      </c>
      <c r="D44" s="25">
        <f>+D13-D14-D31-D43-D28-D29-D30</f>
        <v>123.00058670999992</v>
      </c>
      <c r="E44" s="22">
        <f t="shared" si="0"/>
        <v>20.00344723772216</v>
      </c>
      <c r="F44" s="22">
        <f t="shared" si="1"/>
        <v>18.013773488441142</v>
      </c>
      <c r="G44" s="22">
        <f t="shared" ref="G44:H44" si="6">+G13-G14-G31-G43-G28-G29-G30</f>
        <v>12.241200490000061</v>
      </c>
      <c r="H44" s="25">
        <f t="shared" si="6"/>
        <v>38.290407910000248</v>
      </c>
      <c r="I44" s="22">
        <f t="shared" si="3"/>
        <v>212.79945084863209</v>
      </c>
      <c r="J44" s="22">
        <f t="shared" si="5"/>
        <v>58.247276086443343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92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f>+'Resumen exportaciones totales'!C28</f>
        <v>681.58941965999941</v>
      </c>
      <c r="D13" s="25">
        <f>+'Resumen exportaciones totales'!D28</f>
        <v>675.88548984999818</v>
      </c>
      <c r="E13" s="25">
        <f>IF(OR(OR(D13=0,C13=0),D13=""),"",(D13/C13-1)*100)</f>
        <v>-0.8368571526310542</v>
      </c>
      <c r="F13" s="23">
        <f>(D13/D$13)*100</f>
        <v>100</v>
      </c>
      <c r="G13" s="25">
        <f>+'Resumen exportaciones totales'!G28</f>
        <v>57.841998800000006</v>
      </c>
      <c r="H13" s="25">
        <f>+'Resumen exportaciones totales'!H28</f>
        <v>52.165011019999994</v>
      </c>
      <c r="I13" s="25">
        <f>IF(OR(OR(H13=0,G13=0),H13=""),"",(H13/G13-1)*100)</f>
        <v>-9.8146466197153828</v>
      </c>
      <c r="J13" s="23">
        <f>(H13/H$13)*100</f>
        <v>100</v>
      </c>
      <c r="K13" s="16"/>
    </row>
    <row r="14" spans="1:14">
      <c r="A14" s="14"/>
      <c r="B14" s="10" t="s">
        <v>54</v>
      </c>
      <c r="C14" s="22">
        <f>+C15+C19</f>
        <v>431.25017600000001</v>
      </c>
      <c r="D14" s="25">
        <f>+D15+D19</f>
        <v>398.89641100000006</v>
      </c>
      <c r="E14" s="22">
        <f t="shared" ref="E14:E44" si="0">IF(OR(OR(D14=0,C14=0),D14=""),"",(D14/C14-1)*100)</f>
        <v>-7.5023192570244817</v>
      </c>
      <c r="F14" s="22">
        <f t="shared" ref="F14:F44" si="1">(D14/D$13)*100</f>
        <v>59.018342158599765</v>
      </c>
      <c r="G14" s="22">
        <f>+G15+G19</f>
        <v>29.779972000000001</v>
      </c>
      <c r="H14" s="25">
        <f t="shared" ref="H14" si="2">+H15+H19</f>
        <v>21.959147999999999</v>
      </c>
      <c r="I14" s="22">
        <f t="shared" ref="I14:I44" si="3">IF(OR(OR(H14=0,G14=0),H14=""),"",(H14/G14-1)*100)</f>
        <v>-26.262026035484521</v>
      </c>
      <c r="J14" s="22">
        <f>(H14/H$13)*100</f>
        <v>42.095549431746292</v>
      </c>
      <c r="K14" s="16"/>
    </row>
    <row r="15" spans="1:14">
      <c r="A15" s="14"/>
      <c r="B15" s="10" t="s">
        <v>76</v>
      </c>
      <c r="C15" s="22">
        <f>+SUM(C16:C18)</f>
        <v>208.130124</v>
      </c>
      <c r="D15" s="25">
        <f>+SUM(D16:D18)</f>
        <v>257.13581600000003</v>
      </c>
      <c r="E15" s="22">
        <f t="shared" si="0"/>
        <v>23.54569874757777</v>
      </c>
      <c r="F15" s="22">
        <f>(D15/D$13)*100</f>
        <v>38.044287066595729</v>
      </c>
      <c r="G15" s="22">
        <f t="shared" ref="G15:H15" si="4">+SUM(G16:G18)</f>
        <v>18.449209</v>
      </c>
      <c r="H15" s="25">
        <f t="shared" si="4"/>
        <v>21.957138</v>
      </c>
      <c r="I15" s="22">
        <f t="shared" si="3"/>
        <v>19.013980490979311</v>
      </c>
      <c r="J15" s="22">
        <f t="shared" ref="J15:J44" si="5">(H15/H$13)*100</f>
        <v>42.091696274312419</v>
      </c>
      <c r="K15" s="16"/>
    </row>
    <row r="16" spans="1:14">
      <c r="A16" s="14" t="s">
        <v>86</v>
      </c>
      <c r="B16" s="9" t="str">
        <f>CONCATENATE(A16,[17]res_pais_dest_media_tek!B7)</f>
        <v xml:space="preserve">   Bolivia</v>
      </c>
      <c r="C16" s="22">
        <f>[17]res_pais_dest_media_tek!C7/1000000</f>
        <v>7.5346739999999999</v>
      </c>
      <c r="D16" s="25">
        <f>[17]res_pais_dest_media_tek!D7/1000000</f>
        <v>2.2847710000000001</v>
      </c>
      <c r="E16" s="22">
        <f t="shared" si="0"/>
        <v>-69.676577911665461</v>
      </c>
      <c r="F16" s="22">
        <f t="shared" si="1"/>
        <v>0.33804113778312772</v>
      </c>
      <c r="G16" s="22">
        <f>[17]res_pais_dest_media_tek!E7/1000000</f>
        <v>8.0991999999999995E-2</v>
      </c>
      <c r="H16" s="25">
        <f>[17]res_pais_dest_media_tek!F7/1000000</f>
        <v>0.16063</v>
      </c>
      <c r="I16" s="22">
        <f t="shared" si="3"/>
        <v>98.328229948636903</v>
      </c>
      <c r="J16" s="22">
        <f t="shared" si="5"/>
        <v>0.30792670577298387</v>
      </c>
      <c r="K16" s="16"/>
    </row>
    <row r="17" spans="1:11">
      <c r="A17" s="14" t="s">
        <v>86</v>
      </c>
      <c r="B17" s="9" t="str">
        <f>CONCATENATE(A17,[17]res_pais_dest_media_tek!B8)</f>
        <v xml:space="preserve">   Ecuador</v>
      </c>
      <c r="C17" s="22">
        <f>[17]res_pais_dest_media_tek!C8/1000000</f>
        <v>153.920346</v>
      </c>
      <c r="D17" s="25">
        <f>[17]res_pais_dest_media_tek!D8/1000000</f>
        <v>214.43505500000001</v>
      </c>
      <c r="E17" s="22">
        <f t="shared" si="0"/>
        <v>39.315600940761918</v>
      </c>
      <c r="F17" s="22">
        <f t="shared" si="1"/>
        <v>31.726536258026545</v>
      </c>
      <c r="G17" s="22">
        <f>[17]res_pais_dest_media_tek!E8/1000000</f>
        <v>14.33845</v>
      </c>
      <c r="H17" s="25">
        <f>[17]res_pais_dest_media_tek!F8/1000000</f>
        <v>17.956002999999999</v>
      </c>
      <c r="I17" s="22">
        <f t="shared" si="3"/>
        <v>25.229735431654031</v>
      </c>
      <c r="J17" s="22">
        <f t="shared" si="5"/>
        <v>34.421545493617728</v>
      </c>
      <c r="K17" s="16"/>
    </row>
    <row r="18" spans="1:11">
      <c r="A18" s="14" t="s">
        <v>86</v>
      </c>
      <c r="B18" s="9" t="str">
        <f>CONCATENATE(A18,[17]res_pais_dest_media_tek!B9)</f>
        <v xml:space="preserve">   Perú </v>
      </c>
      <c r="C18" s="22">
        <f>[17]res_pais_dest_media_tek!C9/1000000</f>
        <v>46.675103999999997</v>
      </c>
      <c r="D18" s="25">
        <f>[17]res_pais_dest_media_tek!D9/1000000</f>
        <v>40.415990000000001</v>
      </c>
      <c r="E18" s="22">
        <f t="shared" si="0"/>
        <v>-13.409962621615145</v>
      </c>
      <c r="F18" s="22">
        <f t="shared" si="1"/>
        <v>5.9797096707860486</v>
      </c>
      <c r="G18" s="22">
        <f>[17]res_pais_dest_media_tek!E9/1000000</f>
        <v>4.0297669999999997</v>
      </c>
      <c r="H18" s="25">
        <f>[17]res_pais_dest_media_tek!F9/1000000</f>
        <v>3.8405049999999998</v>
      </c>
      <c r="I18" s="22">
        <f t="shared" si="3"/>
        <v>-4.6965990837683602</v>
      </c>
      <c r="J18" s="22">
        <f t="shared" si="5"/>
        <v>7.3622240749217038</v>
      </c>
      <c r="K18" s="16"/>
    </row>
    <row r="19" spans="1:11">
      <c r="A19" s="14"/>
      <c r="B19" s="10" t="s">
        <v>77</v>
      </c>
      <c r="C19" s="22">
        <f>SUM(C20:C27)</f>
        <v>223.12005199999999</v>
      </c>
      <c r="D19" s="25">
        <f>SUM(D20:D27)</f>
        <v>141.76059500000002</v>
      </c>
      <c r="E19" s="22">
        <f t="shared" si="0"/>
        <v>-36.46443081682321</v>
      </c>
      <c r="F19" s="22">
        <f t="shared" si="1"/>
        <v>20.974055092004047</v>
      </c>
      <c r="G19" s="22">
        <f>SUM(G20:G27)</f>
        <v>11.330763000000001</v>
      </c>
      <c r="H19" s="25">
        <f>+[11]resumen_pais_destino!F22/1000000</f>
        <v>2.0100000000000001E-3</v>
      </c>
      <c r="I19" s="22">
        <f t="shared" si="3"/>
        <v>-99.982260682709551</v>
      </c>
      <c r="J19" s="22">
        <f t="shared" si="5"/>
        <v>3.8531574338772187E-3</v>
      </c>
      <c r="K19" s="16"/>
    </row>
    <row r="20" spans="1:11">
      <c r="A20" s="14" t="s">
        <v>86</v>
      </c>
      <c r="B20" s="9" t="str">
        <f>CONCATENATE(A20,[17]res_pais_dest_media_tek!B23)</f>
        <v xml:space="preserve">   Argentina</v>
      </c>
      <c r="C20" s="22">
        <f>[17]res_pais_dest_media_tek!C23/1000000</f>
        <v>4.4532970000000001</v>
      </c>
      <c r="D20" s="25">
        <f>[17]res_pais_dest_media_tek!D23/1000000</f>
        <v>8.4986899999999999</v>
      </c>
      <c r="E20" s="22">
        <f t="shared" si="0"/>
        <v>90.84040431168188</v>
      </c>
      <c r="F20" s="22">
        <f t="shared" si="1"/>
        <v>1.2574156610295253</v>
      </c>
      <c r="G20" s="22">
        <f>[17]res_pais_dest_media_tek!E23/1000000</f>
        <v>0.70219100000000001</v>
      </c>
      <c r="H20" s="25">
        <f>[17]res_pais_dest_media_tek!F23/1000000</f>
        <v>0.37930799999999998</v>
      </c>
      <c r="I20" s="22">
        <f t="shared" si="3"/>
        <v>-45.982218513196557</v>
      </c>
      <c r="J20" s="22">
        <f t="shared" si="5"/>
        <v>0.72713106464134314</v>
      </c>
      <c r="K20" s="16"/>
    </row>
    <row r="21" spans="1:11">
      <c r="A21" s="14" t="s">
        <v>86</v>
      </c>
      <c r="B21" s="9" t="str">
        <f>CONCATENATE(A21,[17]res_pais_dest_media_tek!B24)</f>
        <v xml:space="preserve">   Brasil </v>
      </c>
      <c r="C21" s="22">
        <f>[17]res_pais_dest_media_tek!C24/1000000</f>
        <v>8.029871</v>
      </c>
      <c r="D21" s="25">
        <f>[17]res_pais_dest_media_tek!D24/1000000</f>
        <v>9.4256799999999998</v>
      </c>
      <c r="E21" s="22">
        <f t="shared" si="0"/>
        <v>17.382707642501359</v>
      </c>
      <c r="F21" s="22">
        <f t="shared" si="1"/>
        <v>1.3945675919292004</v>
      </c>
      <c r="G21" s="22">
        <f>[17]res_pais_dest_media_tek!E24/1000000</f>
        <v>0.43942199999999998</v>
      </c>
      <c r="H21" s="25">
        <f>[17]res_pais_dest_media_tek!F24/1000000</f>
        <v>1.465327</v>
      </c>
      <c r="I21" s="22">
        <f t="shared" si="3"/>
        <v>233.46691790579445</v>
      </c>
      <c r="J21" s="22">
        <f t="shared" si="5"/>
        <v>2.8090226980651756</v>
      </c>
      <c r="K21" s="16"/>
    </row>
    <row r="22" spans="1:11">
      <c r="A22" s="14" t="s">
        <v>86</v>
      </c>
      <c r="B22" s="9" t="str">
        <f>CONCATENATE(A22,[17]res_pais_dest_media_tek!B25)</f>
        <v xml:space="preserve">   Cuba </v>
      </c>
      <c r="C22" s="22">
        <f>[17]res_pais_dest_media_tek!C25/1000000</f>
        <v>0.78947199999999995</v>
      </c>
      <c r="D22" s="25">
        <f>[17]res_pais_dest_media_tek!D25/1000000</f>
        <v>0.95648900000000003</v>
      </c>
      <c r="E22" s="22">
        <f t="shared" si="0"/>
        <v>21.155531798467852</v>
      </c>
      <c r="F22" s="22">
        <f t="shared" si="1"/>
        <v>0.14151642761442879</v>
      </c>
      <c r="G22" s="22">
        <f>[17]res_pais_dest_media_tek!E25/1000000</f>
        <v>2.3966000000000001E-2</v>
      </c>
      <c r="H22" s="25">
        <f>[17]res_pais_dest_media_tek!F25/1000000</f>
        <v>0.19867699999999999</v>
      </c>
      <c r="I22" s="22">
        <f t="shared" si="3"/>
        <v>728.99524326128676</v>
      </c>
      <c r="J22" s="22">
        <f t="shared" si="5"/>
        <v>0.38086256691065873</v>
      </c>
      <c r="K22" s="16"/>
    </row>
    <row r="23" spans="1:11">
      <c r="A23" s="14" t="s">
        <v>86</v>
      </c>
      <c r="B23" s="9" t="str">
        <f>CONCATENATE(A23,[17]res_pais_dest_media_tek!B26)</f>
        <v xml:space="preserve">   Chile </v>
      </c>
      <c r="C23" s="22">
        <f>[17]res_pais_dest_media_tek!C26/1000000</f>
        <v>13.655468000000001</v>
      </c>
      <c r="D23" s="25">
        <f>[17]res_pais_dest_media_tek!D26/1000000</f>
        <v>16.169533000000001</v>
      </c>
      <c r="E23" s="22">
        <f t="shared" si="0"/>
        <v>18.410683544496621</v>
      </c>
      <c r="F23" s="22">
        <f t="shared" si="1"/>
        <v>2.3923480001898794</v>
      </c>
      <c r="G23" s="22">
        <f>[17]res_pais_dest_media_tek!E26/1000000</f>
        <v>2.2546900000000001</v>
      </c>
      <c r="H23" s="25">
        <f>[17]res_pais_dest_media_tek!F26/1000000</f>
        <v>1.2896879999999999</v>
      </c>
      <c r="I23" s="22">
        <f t="shared" si="3"/>
        <v>-42.799764047385679</v>
      </c>
      <c r="J23" s="22">
        <f t="shared" si="5"/>
        <v>2.4723238331254933</v>
      </c>
      <c r="K23" s="16"/>
    </row>
    <row r="24" spans="1:11">
      <c r="A24" s="14" t="s">
        <v>86</v>
      </c>
      <c r="B24" s="9" t="str">
        <f>CONCATENATE(A24,[17]res_pais_dest_media_tek!B27)</f>
        <v xml:space="preserve">   México </v>
      </c>
      <c r="C24" s="22">
        <f>[17]res_pais_dest_media_tek!C27/1000000</f>
        <v>23.074506</v>
      </c>
      <c r="D24" s="25">
        <f>[17]res_pais_dest_media_tek!D27/1000000</f>
        <v>20.989761000000001</v>
      </c>
      <c r="E24" s="22">
        <f t="shared" si="0"/>
        <v>-9.034841309278729</v>
      </c>
      <c r="F24" s="22">
        <f t="shared" si="1"/>
        <v>3.1055202863814015</v>
      </c>
      <c r="G24" s="22">
        <f>[17]res_pais_dest_media_tek!E27/1000000</f>
        <v>1.93147</v>
      </c>
      <c r="H24" s="25">
        <f>[17]res_pais_dest_media_tek!F27/1000000</f>
        <v>0.84582500000000005</v>
      </c>
      <c r="I24" s="22">
        <f t="shared" si="3"/>
        <v>-56.208224823579968</v>
      </c>
      <c r="J24" s="22">
        <f t="shared" si="5"/>
        <v>1.621441237069253</v>
      </c>
      <c r="K24" s="16"/>
    </row>
    <row r="25" spans="1:11">
      <c r="A25" s="14" t="s">
        <v>86</v>
      </c>
      <c r="B25" s="9" t="str">
        <f>CONCATENATE(A25,[17]res_pais_dest_media_tek!B28)</f>
        <v xml:space="preserve">   Paraguay </v>
      </c>
      <c r="C25" s="22">
        <f>[17]res_pais_dest_media_tek!C28/1000000</f>
        <v>1.0072380000000001</v>
      </c>
      <c r="D25" s="25">
        <f>[17]res_pais_dest_media_tek!D28/1000000</f>
        <v>1.616776</v>
      </c>
      <c r="E25" s="22">
        <f t="shared" si="0"/>
        <v>60.515786735607669</v>
      </c>
      <c r="F25" s="22">
        <f t="shared" si="1"/>
        <v>0.23920856776475807</v>
      </c>
      <c r="G25" s="22">
        <f>[17]res_pais_dest_media_tek!E28/1000000</f>
        <v>6.9446999999999995E-2</v>
      </c>
      <c r="H25" s="25">
        <f>[17]res_pais_dest_media_tek!F28/1000000</f>
        <v>0</v>
      </c>
      <c r="I25" s="22" t="str">
        <f t="shared" si="3"/>
        <v/>
      </c>
      <c r="J25" s="22">
        <f t="shared" si="5"/>
        <v>0</v>
      </c>
      <c r="K25" s="16"/>
    </row>
    <row r="26" spans="1:11">
      <c r="A26" s="14" t="s">
        <v>86</v>
      </c>
      <c r="B26" s="9" t="str">
        <f>CONCATENATE(A26,[17]res_pais_dest_media_tek!B29)</f>
        <v xml:space="preserve">   Uruguay </v>
      </c>
      <c r="C26" s="22">
        <f>[17]res_pais_dest_media_tek!C29/1000000</f>
        <v>0.60630099999999998</v>
      </c>
      <c r="D26" s="25">
        <f>[17]res_pais_dest_media_tek!D29/1000000</f>
        <v>0.94831799999999999</v>
      </c>
      <c r="E26" s="22">
        <f t="shared" si="0"/>
        <v>56.410429803018644</v>
      </c>
      <c r="F26" s="22">
        <f t="shared" si="1"/>
        <v>0.14030749501819662</v>
      </c>
      <c r="G26" s="22">
        <f>[17]res_pais_dest_media_tek!E29/1000000</f>
        <v>2.9381000000000001E-2</v>
      </c>
      <c r="H26" s="25">
        <f>[17]res_pais_dest_media_tek!F29/1000000</f>
        <v>0.40714499999999998</v>
      </c>
      <c r="I26" s="22">
        <f t="shared" si="3"/>
        <v>1285.7424866410265</v>
      </c>
      <c r="J26" s="22">
        <f t="shared" si="5"/>
        <v>0.78049441960992039</v>
      </c>
      <c r="K26" s="16"/>
    </row>
    <row r="27" spans="1:11">
      <c r="A27" s="14" t="s">
        <v>86</v>
      </c>
      <c r="B27" s="9" t="str">
        <f>CONCATENATE(A27,[17]res_pais_dest_media_tek!B30)</f>
        <v xml:space="preserve">   Venezuela</v>
      </c>
      <c r="C27" s="22">
        <f>[17]res_pais_dest_media_tek!C30/1000000</f>
        <v>171.50389899999999</v>
      </c>
      <c r="D27" s="25">
        <f>[17]res_pais_dest_media_tek!D30/1000000</f>
        <v>83.155348000000004</v>
      </c>
      <c r="E27" s="22">
        <f t="shared" si="0"/>
        <v>-51.514018932012732</v>
      </c>
      <c r="F27" s="22">
        <f>(D27/D$13)*100</f>
        <v>12.303171062076652</v>
      </c>
      <c r="G27" s="22">
        <f>[17]res_pais_dest_media_tek!E30/1000000</f>
        <v>5.8801959999999998</v>
      </c>
      <c r="H27" s="25">
        <f>[17]res_pais_dest_media_tek!F30/1000000</f>
        <v>5.2622030000000004</v>
      </c>
      <c r="I27" s="22">
        <f t="shared" si="3"/>
        <v>-10.509734709523277</v>
      </c>
      <c r="J27" s="22">
        <f t="shared" si="5"/>
        <v>10.087610252746767</v>
      </c>
      <c r="K27" s="16"/>
    </row>
    <row r="28" spans="1:11">
      <c r="A28" s="14" t="s">
        <v>86</v>
      </c>
      <c r="B28" s="9" t="str">
        <f>[17]res_pais_dest_media_tek!B44</f>
        <v xml:space="preserve">Canadá </v>
      </c>
      <c r="C28" s="22">
        <f>[17]res_pais_dest_media_tek!C44/1000000</f>
        <v>1.2837179999999999</v>
      </c>
      <c r="D28" s="25">
        <f>[17]res_pais_dest_media_tek!D44/1000000</f>
        <v>1.234964</v>
      </c>
      <c r="E28" s="22">
        <f t="shared" si="0"/>
        <v>-3.7978746110905903</v>
      </c>
      <c r="F28" s="22">
        <f>(D28/D$13)*100</f>
        <v>0.18271793351771468</v>
      </c>
      <c r="G28" s="22">
        <f>[17]res_pais_dest_media_tek!E44/1000000</f>
        <v>8.6580000000000008E-3</v>
      </c>
      <c r="H28" s="25">
        <f>[17]res_pais_dest_media_tek!F44/1000000</f>
        <v>2.7101E-2</v>
      </c>
      <c r="I28" s="22">
        <f t="shared" si="3"/>
        <v>213.016863016863</v>
      </c>
      <c r="J28" s="22">
        <f t="shared" si="5"/>
        <v>5.1952447569903727E-2</v>
      </c>
      <c r="K28" s="16"/>
    </row>
    <row r="29" spans="1:11">
      <c r="A29" s="14" t="s">
        <v>86</v>
      </c>
      <c r="B29" s="9" t="str">
        <f>[17]res_pais_dest_media_tek!B45</f>
        <v>Estados Unidos</v>
      </c>
      <c r="C29" s="22">
        <f>[17]res_pais_dest_media_tek!C45/1000000</f>
        <v>39.958213000000001</v>
      </c>
      <c r="D29" s="25">
        <f>[17]res_pais_dest_media_tek!D45/1000000</f>
        <v>51.200507999999999</v>
      </c>
      <c r="E29" s="22">
        <f t="shared" si="0"/>
        <v>28.135129566479854</v>
      </c>
      <c r="F29" s="22">
        <f t="shared" si="1"/>
        <v>7.5753228570364959</v>
      </c>
      <c r="G29" s="22">
        <f>[17]res_pais_dest_media_tek!E45/1000000</f>
        <v>4.9226140000000003</v>
      </c>
      <c r="H29" s="25">
        <f>[17]res_pais_dest_media_tek!F45/1000000</f>
        <v>2.0184839999999999</v>
      </c>
      <c r="I29" s="22">
        <f t="shared" si="3"/>
        <v>-58.995688063293208</v>
      </c>
      <c r="J29" s="22">
        <f t="shared" si="5"/>
        <v>3.8694212088369269</v>
      </c>
      <c r="K29" s="16"/>
    </row>
    <row r="30" spans="1:11">
      <c r="A30" s="14" t="s">
        <v>86</v>
      </c>
      <c r="B30" s="9" t="str">
        <f>[17]res_pais_dest_media_tek!B46</f>
        <v xml:space="preserve">Puerto Rico </v>
      </c>
      <c r="C30" s="22">
        <f>[17]res_pais_dest_media_tek!C46/1000000</f>
        <v>0.92876300000000001</v>
      </c>
      <c r="D30" s="25">
        <f>[17]res_pais_dest_media_tek!D46/1000000</f>
        <v>0.78132500000000005</v>
      </c>
      <c r="E30" s="22">
        <f t="shared" si="0"/>
        <v>-15.874663396366994</v>
      </c>
      <c r="F30" s="22">
        <f t="shared" si="1"/>
        <v>0.11560020324942949</v>
      </c>
      <c r="G30" s="22">
        <f>[17]res_pais_dest_media_tek!E46/1000000</f>
        <v>6.6152000000000002E-2</v>
      </c>
      <c r="H30" s="25">
        <f>[17]res_pais_dest_media_tek!F46/1000000</f>
        <v>4.4061000000000003E-2</v>
      </c>
      <c r="I30" s="22">
        <f t="shared" si="3"/>
        <v>-33.394304027089127</v>
      </c>
      <c r="J30" s="22">
        <f t="shared" si="5"/>
        <v>8.4464661539335392E-2</v>
      </c>
      <c r="K30" s="16"/>
    </row>
    <row r="31" spans="1:11">
      <c r="A31" s="14"/>
      <c r="B31" s="10" t="s">
        <v>55</v>
      </c>
      <c r="C31" s="22">
        <f>SUM(C32:C42)</f>
        <v>12.219275</v>
      </c>
      <c r="D31" s="25">
        <f>SUM(D32:D42)</f>
        <v>63.201731000000009</v>
      </c>
      <c r="E31" s="22">
        <f t="shared" si="0"/>
        <v>417.2297947300475</v>
      </c>
      <c r="F31" s="22">
        <f t="shared" si="1"/>
        <v>9.3509524836857505</v>
      </c>
      <c r="G31" s="22">
        <f>SUM(G32:G42)</f>
        <v>0.74193799999999999</v>
      </c>
      <c r="H31" s="25">
        <f>SUM(H32:H42)</f>
        <v>5.1542859999999999</v>
      </c>
      <c r="I31" s="22">
        <f t="shared" si="3"/>
        <v>594.70575708482386</v>
      </c>
      <c r="J31" s="22">
        <f t="shared" si="5"/>
        <v>9.8807340384225242</v>
      </c>
      <c r="K31" s="16"/>
    </row>
    <row r="32" spans="1:11">
      <c r="A32" s="14" t="s">
        <v>86</v>
      </c>
      <c r="B32" s="9" t="str">
        <f>CONCATENATE(A32,[17]res_pais_dest_media_tek!B60)</f>
        <v xml:space="preserve">   Alemania </v>
      </c>
      <c r="C32" s="22">
        <f>[17]res_pais_dest_media_tek!C60/1000000</f>
        <v>2.635713</v>
      </c>
      <c r="D32" s="25">
        <f>[17]res_pais_dest_media_tek!D60/1000000</f>
        <v>4.9156019999999998</v>
      </c>
      <c r="E32" s="22">
        <f t="shared" si="0"/>
        <v>86.49989585360774</v>
      </c>
      <c r="F32" s="22">
        <f t="shared" si="1"/>
        <v>0.72728325638281388</v>
      </c>
      <c r="G32" s="22">
        <f>[17]res_pais_dest_media_tek!E60/1000000</f>
        <v>0.12624099999999999</v>
      </c>
      <c r="H32" s="25">
        <f>[17]res_pais_dest_media_tek!F60/1000000</f>
        <v>9.3306E-2</v>
      </c>
      <c r="I32" s="22">
        <f t="shared" si="3"/>
        <v>-26.088988521954036</v>
      </c>
      <c r="J32" s="22">
        <f t="shared" si="5"/>
        <v>0.17886701866932725</v>
      </c>
      <c r="K32" s="16"/>
    </row>
    <row r="33" spans="1:11">
      <c r="A33" s="14" t="s">
        <v>86</v>
      </c>
      <c r="B33" s="9" t="str">
        <f>CONCATENATE(A33,[17]res_pais_dest_media_tek!B61)</f>
        <v xml:space="preserve">   Bélgica </v>
      </c>
      <c r="C33" s="22">
        <f>[17]res_pais_dest_media_tek!C61/1000000</f>
        <v>0.32214799999999999</v>
      </c>
      <c r="D33" s="25">
        <f>[17]res_pais_dest_media_tek!D61/1000000</f>
        <v>0.69327499999999997</v>
      </c>
      <c r="E33" s="22">
        <f t="shared" si="0"/>
        <v>115.2038814457951</v>
      </c>
      <c r="F33" s="22">
        <f t="shared" si="1"/>
        <v>0.10257284856845517</v>
      </c>
      <c r="G33" s="22">
        <f>[17]res_pais_dest_media_tek!E61/1000000</f>
        <v>9.5596E-2</v>
      </c>
      <c r="H33" s="25">
        <f>[17]res_pais_dest_media_tek!F61/1000000</f>
        <v>7.5617000000000004E-2</v>
      </c>
      <c r="I33" s="22">
        <f t="shared" si="3"/>
        <v>-20.899410017155528</v>
      </c>
      <c r="J33" s="22">
        <f t="shared" si="5"/>
        <v>0.14495731625745953</v>
      </c>
      <c r="K33" s="16"/>
    </row>
    <row r="34" spans="1:11">
      <c r="A34" s="14" t="s">
        <v>86</v>
      </c>
      <c r="B34" s="9" t="str">
        <f>CONCATENATE(A34,[17]res_pais_dest_media_tek!B62)</f>
        <v xml:space="preserve">   España </v>
      </c>
      <c r="C34" s="22">
        <f>[17]res_pais_dest_media_tek!C62/1000000</f>
        <v>4.7596290000000003</v>
      </c>
      <c r="D34" s="25">
        <f>[17]res_pais_dest_media_tek!D62/1000000</f>
        <v>6.5977880000000004</v>
      </c>
      <c r="E34" s="22">
        <f t="shared" si="0"/>
        <v>38.619795786604371</v>
      </c>
      <c r="F34" s="22">
        <f t="shared" si="1"/>
        <v>0.97616949898780525</v>
      </c>
      <c r="G34" s="22">
        <f>[17]res_pais_dest_media_tek!E62/1000000</f>
        <v>0.21176900000000001</v>
      </c>
      <c r="H34" s="25">
        <f>[17]res_pais_dest_media_tek!F62/1000000</f>
        <v>0.62241800000000003</v>
      </c>
      <c r="I34" s="22">
        <f t="shared" si="3"/>
        <v>193.91365119540632</v>
      </c>
      <c r="J34" s="22">
        <f t="shared" si="5"/>
        <v>1.1931714147656669</v>
      </c>
      <c r="K34" s="16"/>
    </row>
    <row r="35" spans="1:11">
      <c r="A35" s="14" t="s">
        <v>86</v>
      </c>
      <c r="B35" s="9" t="str">
        <f>CONCATENATE(A35,[17]res_pais_dest_media_tek!B63)</f>
        <v xml:space="preserve">   Francia </v>
      </c>
      <c r="C35" s="22">
        <f>[17]res_pais_dest_media_tek!C63/1000000</f>
        <v>0.65015999999999996</v>
      </c>
      <c r="D35" s="25">
        <f>[17]res_pais_dest_media_tek!D63/1000000</f>
        <v>0.60958599999999996</v>
      </c>
      <c r="E35" s="22">
        <f t="shared" si="0"/>
        <v>-6.2406176941060654</v>
      </c>
      <c r="F35" s="22">
        <f t="shared" si="1"/>
        <v>9.0190721528181889E-2</v>
      </c>
      <c r="G35" s="22">
        <f>[17]res_pais_dest_media_tek!E63/1000000</f>
        <v>8.2917000000000005E-2</v>
      </c>
      <c r="H35" s="25">
        <f>[17]res_pais_dest_media_tek!F63/1000000</f>
        <v>5.8741000000000002E-2</v>
      </c>
      <c r="I35" s="22">
        <f t="shared" si="3"/>
        <v>-29.156867711084576</v>
      </c>
      <c r="J35" s="22">
        <f t="shared" si="5"/>
        <v>0.11260612976287646</v>
      </c>
      <c r="K35" s="16"/>
    </row>
    <row r="36" spans="1:11">
      <c r="A36" s="14" t="s">
        <v>86</v>
      </c>
      <c r="B36" s="9" t="str">
        <f>CONCATENATE(A36,[17]res_pais_dest_media_tek!B64)</f>
        <v xml:space="preserve">   Grecia </v>
      </c>
      <c r="C36" s="22">
        <f>[17]res_pais_dest_media_tek!C64/1000000</f>
        <v>4.2352000000000001E-2</v>
      </c>
      <c r="D36" s="25">
        <f>[17]res_pais_dest_media_tek!D64/1000000</f>
        <v>0.18820100000000001</v>
      </c>
      <c r="E36" s="22">
        <f t="shared" si="0"/>
        <v>344.373347185493</v>
      </c>
      <c r="F36" s="22">
        <f t="shared" si="1"/>
        <v>2.7845101400500276E-2</v>
      </c>
      <c r="G36" s="22">
        <f>[17]res_pais_dest_media_tek!E64/1000000</f>
        <v>0</v>
      </c>
      <c r="H36" s="25">
        <f>[17]res_pais_dest_media_tek!F64/1000000</f>
        <v>3.4612999999999998E-2</v>
      </c>
      <c r="I36" s="22" t="str">
        <f t="shared" si="3"/>
        <v/>
      </c>
      <c r="J36" s="22">
        <f t="shared" si="5"/>
        <v>6.6352904606364255E-2</v>
      </c>
      <c r="K36" s="16"/>
    </row>
    <row r="37" spans="1:11">
      <c r="A37" s="14" t="s">
        <v>86</v>
      </c>
      <c r="B37" s="9" t="str">
        <f>CONCATENATE(A37,[17]res_pais_dest_media_tek!B65)</f>
        <v xml:space="preserve">   Italia </v>
      </c>
      <c r="C37" s="22">
        <f>[17]res_pais_dest_media_tek!C65/1000000</f>
        <v>0.94541500000000001</v>
      </c>
      <c r="D37" s="25">
        <f>[17]res_pais_dest_media_tek!D65/1000000</f>
        <v>47.853523000000003</v>
      </c>
      <c r="E37" s="22">
        <f t="shared" si="0"/>
        <v>4961.6420302195338</v>
      </c>
      <c r="F37" s="22">
        <f t="shared" si="1"/>
        <v>7.0801228490080943</v>
      </c>
      <c r="G37" s="22">
        <f>[17]res_pais_dest_media_tek!E65/1000000</f>
        <v>2.9391E-2</v>
      </c>
      <c r="H37" s="25">
        <f>[17]res_pais_dest_media_tek!F65/1000000</f>
        <v>3.7109570000000001</v>
      </c>
      <c r="I37" s="22">
        <f t="shared" si="3"/>
        <v>12526.167874519411</v>
      </c>
      <c r="J37" s="22">
        <f t="shared" si="5"/>
        <v>7.1138813688301994</v>
      </c>
      <c r="K37" s="16"/>
    </row>
    <row r="38" spans="1:11">
      <c r="A38" s="14" t="s">
        <v>86</v>
      </c>
      <c r="B38" s="7" t="str">
        <f>CONCATENATE(A38,[17]res_pais_dest_media_tek!B66)</f>
        <v xml:space="preserve">   Países Bajos </v>
      </c>
      <c r="C38" s="22">
        <f>[17]res_pais_dest_media_tek!C66/1000000</f>
        <v>0.40526800000000002</v>
      </c>
      <c r="D38" s="25">
        <f>[17]res_pais_dest_media_tek!D66/1000000</f>
        <v>0.26381700000000002</v>
      </c>
      <c r="E38" s="22">
        <f t="shared" si="0"/>
        <v>-34.90307648272254</v>
      </c>
      <c r="F38" s="22">
        <f t="shared" si="1"/>
        <v>3.903279534208523E-2</v>
      </c>
      <c r="G38" s="22">
        <f>[17]res_pais_dest_media_tek!E66/1000000</f>
        <v>0.16380900000000001</v>
      </c>
      <c r="H38" s="25">
        <f>[17]res_pais_dest_media_tek!F66/1000000</f>
        <v>7.0899999999999999E-3</v>
      </c>
      <c r="I38" s="22">
        <f t="shared" si="3"/>
        <v>-95.671788485370158</v>
      </c>
      <c r="J38" s="22">
        <f t="shared" si="5"/>
        <v>1.3591485674721134E-2</v>
      </c>
      <c r="K38" s="16"/>
    </row>
    <row r="39" spans="1:11">
      <c r="A39" s="14" t="s">
        <v>86</v>
      </c>
      <c r="B39" s="7" t="str">
        <f>CONCATENATE(A39,[17]res_pais_dest_media_tek!B67)</f>
        <v xml:space="preserve">   Polonia </v>
      </c>
      <c r="C39" s="22">
        <f>[17]res_pais_dest_media_tek!C67/1000000</f>
        <v>0.39527899999999999</v>
      </c>
      <c r="D39" s="25">
        <f>[17]res_pais_dest_media_tek!D67/1000000</f>
        <v>8.5805000000000006E-2</v>
      </c>
      <c r="E39" s="22">
        <f t="shared" si="0"/>
        <v>-78.292547795354679</v>
      </c>
      <c r="F39" s="22">
        <f t="shared" si="1"/>
        <v>1.2695197823975039E-2</v>
      </c>
      <c r="G39" s="22">
        <f>[17]res_pais_dest_media_tek!E67/1000000</f>
        <v>0</v>
      </c>
      <c r="H39" s="25">
        <f>[17]res_pais_dest_media_tek!F67/1000000</f>
        <v>0</v>
      </c>
      <c r="I39" s="22" t="str">
        <f t="shared" si="3"/>
        <v/>
      </c>
      <c r="J39" s="22">
        <f t="shared" si="5"/>
        <v>0</v>
      </c>
      <c r="K39" s="16"/>
    </row>
    <row r="40" spans="1:11">
      <c r="A40" s="14" t="s">
        <v>86</v>
      </c>
      <c r="B40" s="7" t="str">
        <f>CONCATENATE(A40,[17]res_pais_dest_media_tek!B68)</f>
        <v xml:space="preserve">   Reino Unido </v>
      </c>
      <c r="C40" s="22">
        <f>[17]res_pais_dest_media_tek!C68/1000000</f>
        <v>1.3140160000000001</v>
      </c>
      <c r="D40" s="25">
        <f>[17]res_pais_dest_media_tek!D68/1000000</f>
        <v>0.30557499999999999</v>
      </c>
      <c r="E40" s="22">
        <f t="shared" si="0"/>
        <v>-76.744955921389092</v>
      </c>
      <c r="F40" s="22">
        <f t="shared" si="1"/>
        <v>4.5211060836328559E-2</v>
      </c>
      <c r="G40" s="22">
        <f>[17]res_pais_dest_media_tek!E68/1000000</f>
        <v>2.3021E-2</v>
      </c>
      <c r="H40" s="25">
        <f>[17]res_pais_dest_media_tek!F68/1000000</f>
        <v>1.044E-2</v>
      </c>
      <c r="I40" s="22">
        <f t="shared" si="3"/>
        <v>-54.650102080708919</v>
      </c>
      <c r="J40" s="22">
        <f t="shared" si="5"/>
        <v>2.0013414731183163E-2</v>
      </c>
      <c r="K40" s="16"/>
    </row>
    <row r="41" spans="1:11">
      <c r="A41" s="14" t="s">
        <v>86</v>
      </c>
      <c r="B41" s="9" t="str">
        <f>CONCATENATE(A41,[17]res_pais_dest_media_tek!B69)</f>
        <v xml:space="preserve">   Suecia </v>
      </c>
      <c r="C41" s="22">
        <f>[17]res_pais_dest_media_tek!C69/1000000</f>
        <v>0.109987</v>
      </c>
      <c r="D41" s="25">
        <f>[17]res_pais_dest_media_tek!D69/1000000</f>
        <v>1.431465</v>
      </c>
      <c r="E41" s="22">
        <f t="shared" si="0"/>
        <v>1201.4856301199234</v>
      </c>
      <c r="F41" s="22">
        <f t="shared" si="1"/>
        <v>0.21179105358774464</v>
      </c>
      <c r="G41" s="22">
        <f>[17]res_pais_dest_media_tek!E69/1000000</f>
        <v>5.0000000000000001E-3</v>
      </c>
      <c r="H41" s="25">
        <f>[17]res_pais_dest_media_tek!F69/1000000</f>
        <v>0.53893000000000002</v>
      </c>
      <c r="I41" s="22">
        <f t="shared" si="3"/>
        <v>10678.6</v>
      </c>
      <c r="J41" s="22">
        <f t="shared" si="5"/>
        <v>1.0331254407161439</v>
      </c>
      <c r="K41" s="16"/>
    </row>
    <row r="42" spans="1:11">
      <c r="A42" s="14" t="s">
        <v>86</v>
      </c>
      <c r="B42" s="9" t="str">
        <f>CONCATENATE(A42,[17]res_pais_dest_media_tek!B70)</f>
        <v xml:space="preserve">   Resto </v>
      </c>
      <c r="C42" s="22">
        <f>[17]res_pais_dest_media_tek!C70/1000000</f>
        <v>0.63930799999999999</v>
      </c>
      <c r="D42" s="25">
        <f>[17]res_pais_dest_media_tek!D70/1000000</f>
        <v>0.25709399999999999</v>
      </c>
      <c r="E42" s="22">
        <f t="shared" si="0"/>
        <v>-59.785580659087636</v>
      </c>
      <c r="F42" s="22">
        <f t="shared" si="1"/>
        <v>3.8038100219766197E-2</v>
      </c>
      <c r="G42" s="22">
        <f>[17]res_pais_dest_media_tek!E70/1000000</f>
        <v>4.1939999999999998E-3</v>
      </c>
      <c r="H42" s="25">
        <f>[17]res_pais_dest_media_tek!F70/1000000</f>
        <v>2.1740000000000002E-3</v>
      </c>
      <c r="I42" s="22">
        <f t="shared" si="3"/>
        <v>-48.16404387219837</v>
      </c>
      <c r="J42" s="22">
        <f t="shared" si="5"/>
        <v>4.1675444085816291E-3</v>
      </c>
      <c r="K42" s="16"/>
    </row>
    <row r="43" spans="1:11">
      <c r="A43" s="14"/>
      <c r="B43" s="9" t="str">
        <f>[17]res_pais_dest_media_tek!B84</f>
        <v>Suiza</v>
      </c>
      <c r="C43" s="22">
        <f>[17]res_pais_dest_media_tek!C84/1000000</f>
        <v>121.176751</v>
      </c>
      <c r="D43" s="25">
        <f>[17]res_pais_dest_media_tek!D84/1000000</f>
        <v>88.289957000000001</v>
      </c>
      <c r="E43" s="22">
        <f t="shared" si="0"/>
        <v>-27.13952447858583</v>
      </c>
      <c r="F43" s="22">
        <f t="shared" si="1"/>
        <v>13.062857292526656</v>
      </c>
      <c r="G43" s="22">
        <f>[17]res_pais_dest_media_tek!E84/1000000</f>
        <v>16.485496999999999</v>
      </c>
      <c r="H43" s="25">
        <f>[17]res_pais_dest_media_tek!F84/1000000</f>
        <v>7.9413660000000004</v>
      </c>
      <c r="I43" s="22">
        <f t="shared" si="3"/>
        <v>-51.828167509902791</v>
      </c>
      <c r="J43" s="22">
        <f t="shared" si="5"/>
        <v>15.223548974149152</v>
      </c>
      <c r="K43" s="16"/>
    </row>
    <row r="44" spans="1:11">
      <c r="A44" s="14"/>
      <c r="B44" s="9" t="s">
        <v>5</v>
      </c>
      <c r="C44" s="22">
        <f>+C13-C14-C31-C43-C28-C29-C30</f>
        <v>74.772523659999393</v>
      </c>
      <c r="D44" s="25">
        <f>+D13-D14-D31-D43-D28-D29-D30</f>
        <v>72.280593849998127</v>
      </c>
      <c r="E44" s="22">
        <f t="shared" si="0"/>
        <v>-3.3326811615084773</v>
      </c>
      <c r="F44" s="22">
        <f t="shared" si="1"/>
        <v>10.694207071384183</v>
      </c>
      <c r="G44" s="22">
        <f>+G13-G14-G31-G43-G28-G29-G30</f>
        <v>5.8371678000000049</v>
      </c>
      <c r="H44" s="25">
        <f>+H13-H14-H31-H43-H28-H29-H30</f>
        <v>15.020565019999996</v>
      </c>
      <c r="I44" s="22">
        <f t="shared" si="3"/>
        <v>157.32625024074144</v>
      </c>
      <c r="J44" s="22">
        <f t="shared" si="5"/>
        <v>28.794329237735866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93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3"/>
      <c r="F11" s="123"/>
      <c r="G11" s="108">
        <v>2009</v>
      </c>
      <c r="H11" s="108">
        <v>2010</v>
      </c>
      <c r="I11" s="123"/>
      <c r="J11" s="123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f>+'Resumen exportaciones totales'!C29</f>
        <v>498.76623064000029</v>
      </c>
      <c r="D13" s="25">
        <f>+'Resumen exportaciones totales'!D29</f>
        <v>478.05493370999653</v>
      </c>
      <c r="E13" s="25">
        <f>IF(OR(OR(D13=0,C13=0),D13=""),"",(D13/C13-1)*100)</f>
        <v>-4.1525058549829463</v>
      </c>
      <c r="F13" s="23">
        <f>(D13/D$13)*100</f>
        <v>100</v>
      </c>
      <c r="G13" s="25">
        <f>+'Resumen exportaciones totales'!G29</f>
        <v>37.997848640000001</v>
      </c>
      <c r="H13" s="25">
        <f>+'Resumen exportaciones totales'!H29</f>
        <v>19.519693049999997</v>
      </c>
      <c r="I13" s="25">
        <f>IF(OR(OR(H13=0,G13=0),H13=""),"",(H13/G13-1)*100)</f>
        <v>-48.629478381963473</v>
      </c>
      <c r="J13" s="23">
        <f>(H13/H$13)*100</f>
        <v>100</v>
      </c>
      <c r="K13" s="16"/>
    </row>
    <row r="14" spans="1:14">
      <c r="A14" s="14"/>
      <c r="B14" s="10" t="s">
        <v>54</v>
      </c>
      <c r="C14" s="22">
        <f>+C15+C19</f>
        <v>273.09474999999998</v>
      </c>
      <c r="D14" s="25">
        <f>+D15+D19</f>
        <v>221.06508499999998</v>
      </c>
      <c r="E14" s="22">
        <f t="shared" ref="E14:E44" si="0">IF(OR(OR(D14=0,C14=0),D14=""),"",(D14/C14-1)*100)</f>
        <v>-19.051873022092146</v>
      </c>
      <c r="F14" s="22">
        <f t="shared" ref="F14:F44" si="1">(D14/D$13)*100</f>
        <v>46.242611342675765</v>
      </c>
      <c r="G14" s="22">
        <f>+G15+G19</f>
        <v>22.788782999999999</v>
      </c>
      <c r="H14" s="25">
        <f t="shared" ref="H14" si="2">+H15+H19</f>
        <v>4.525703</v>
      </c>
      <c r="I14" s="22">
        <f t="shared" ref="I14:I44" si="3">IF(OR(OR(H14=0,G14=0),H14=""),"",(H14/G14-1)*100)</f>
        <v>-80.140655163551287</v>
      </c>
      <c r="J14" s="22">
        <f>(H14/H$13)*100</f>
        <v>23.185318480200181</v>
      </c>
      <c r="K14" s="16"/>
    </row>
    <row r="15" spans="1:14">
      <c r="A15" s="14"/>
      <c r="B15" s="10" t="s">
        <v>76</v>
      </c>
      <c r="C15" s="22">
        <f>+SUM(C16:C18)</f>
        <v>90.996910999999997</v>
      </c>
      <c r="D15" s="25">
        <f>+SUM(D16:D18)</f>
        <v>82.639508000000006</v>
      </c>
      <c r="E15" s="22">
        <f t="shared" si="0"/>
        <v>-9.1842711012464875</v>
      </c>
      <c r="F15" s="22">
        <f>(D15/D$13)*100</f>
        <v>17.286613351873026</v>
      </c>
      <c r="G15" s="22">
        <f t="shared" ref="G15:H15" si="4">+SUM(G16:G18)</f>
        <v>5.7398879999999997</v>
      </c>
      <c r="H15" s="25">
        <f t="shared" si="4"/>
        <v>4.5236929999999997</v>
      </c>
      <c r="I15" s="22">
        <f t="shared" si="3"/>
        <v>-21.188479635839585</v>
      </c>
      <c r="J15" s="22">
        <f t="shared" ref="J15:J44" si="5">(H15/H$13)*100</f>
        <v>23.17502118712876</v>
      </c>
      <c r="K15" s="16"/>
    </row>
    <row r="16" spans="1:14">
      <c r="A16" s="14" t="s">
        <v>86</v>
      </c>
      <c r="B16" s="9" t="str">
        <f>CONCATENATE(A16,[18]res_pais_dest_alta_tek!B7)</f>
        <v xml:space="preserve">   Bolivia</v>
      </c>
      <c r="C16" s="22">
        <f>[18]res_pais_dest_alta_tek!C7/1000000</f>
        <v>8.1813959999999994</v>
      </c>
      <c r="D16" s="25">
        <f>[18]res_pais_dest_alta_tek!D7/1000000</f>
        <v>2.8306110000000002</v>
      </c>
      <c r="E16" s="22">
        <f t="shared" si="0"/>
        <v>-65.401858069209709</v>
      </c>
      <c r="F16" s="22">
        <f t="shared" si="1"/>
        <v>0.59210998577773066</v>
      </c>
      <c r="G16" s="22">
        <f>[18]res_pais_dest_alta_tek!E7/1000000</f>
        <v>5.0876999999999999E-2</v>
      </c>
      <c r="H16" s="25">
        <f>[18]res_pais_dest_alta_tek!F7/1000000</f>
        <v>0.18066099999999999</v>
      </c>
      <c r="I16" s="22">
        <f t="shared" si="3"/>
        <v>255.09365725180336</v>
      </c>
      <c r="J16" s="22">
        <f t="shared" si="5"/>
        <v>0.92553197192821646</v>
      </c>
      <c r="K16" s="16"/>
    </row>
    <row r="17" spans="1:11">
      <c r="A17" s="14" t="s">
        <v>86</v>
      </c>
      <c r="B17" s="9" t="str">
        <f>CONCATENATE(A17,[18]res_pais_dest_alta_tek!B8)</f>
        <v xml:space="preserve">   Ecuador</v>
      </c>
      <c r="C17" s="22">
        <f>[18]res_pais_dest_alta_tek!C8/1000000</f>
        <v>55.185018999999997</v>
      </c>
      <c r="D17" s="25">
        <f>[18]res_pais_dest_alta_tek!D8/1000000</f>
        <v>61.276502000000001</v>
      </c>
      <c r="E17" s="22">
        <f t="shared" si="0"/>
        <v>11.038291026048208</v>
      </c>
      <c r="F17" s="22">
        <f t="shared" si="1"/>
        <v>12.817878799923085</v>
      </c>
      <c r="G17" s="22">
        <f>[18]res_pais_dest_alta_tek!E8/1000000</f>
        <v>4.000203</v>
      </c>
      <c r="H17" s="25">
        <f>[18]res_pais_dest_alta_tek!F8/1000000</f>
        <v>3.2732929999999998</v>
      </c>
      <c r="I17" s="22">
        <f t="shared" si="3"/>
        <v>-18.17182777974018</v>
      </c>
      <c r="J17" s="22">
        <f t="shared" si="5"/>
        <v>16.769182751057656</v>
      </c>
      <c r="K17" s="16"/>
    </row>
    <row r="18" spans="1:11">
      <c r="A18" s="14" t="s">
        <v>86</v>
      </c>
      <c r="B18" s="9" t="str">
        <f>CONCATENATE(A18,[18]res_pais_dest_alta_tek!B9)</f>
        <v xml:space="preserve">   Perú </v>
      </c>
      <c r="C18" s="22">
        <f>[18]res_pais_dest_alta_tek!C9/1000000</f>
        <v>27.630496000000001</v>
      </c>
      <c r="D18" s="25">
        <f>[18]res_pais_dest_alta_tek!D9/1000000</f>
        <v>18.532395000000001</v>
      </c>
      <c r="E18" s="22">
        <f t="shared" si="0"/>
        <v>-32.927751278876784</v>
      </c>
      <c r="F18" s="22">
        <f t="shared" si="1"/>
        <v>3.8766245661722105</v>
      </c>
      <c r="G18" s="22">
        <f>[18]res_pais_dest_alta_tek!E9/1000000</f>
        <v>1.6888080000000001</v>
      </c>
      <c r="H18" s="25">
        <f>[18]res_pais_dest_alta_tek!F9/1000000</f>
        <v>1.069739</v>
      </c>
      <c r="I18" s="22">
        <f t="shared" si="3"/>
        <v>-36.657157000677408</v>
      </c>
      <c r="J18" s="22">
        <f t="shared" si="5"/>
        <v>5.4803064641428891</v>
      </c>
      <c r="K18" s="16"/>
    </row>
    <row r="19" spans="1:11">
      <c r="A19" s="14"/>
      <c r="B19" s="10" t="s">
        <v>77</v>
      </c>
      <c r="C19" s="22">
        <f>SUM(C20:C27)</f>
        <v>182.09783899999999</v>
      </c>
      <c r="D19" s="25">
        <f>SUM(D20:D27)</f>
        <v>138.42557699999998</v>
      </c>
      <c r="E19" s="22">
        <f t="shared" si="0"/>
        <v>-23.982855721862805</v>
      </c>
      <c r="F19" s="22">
        <f t="shared" si="1"/>
        <v>28.955997990802739</v>
      </c>
      <c r="G19" s="22">
        <f>SUM(G20:G27)</f>
        <v>17.048894999999998</v>
      </c>
      <c r="H19" s="25">
        <f>+[11]resumen_pais_destino!F22/1000000</f>
        <v>2.0100000000000001E-3</v>
      </c>
      <c r="I19" s="22">
        <f t="shared" si="3"/>
        <v>-99.988210379616987</v>
      </c>
      <c r="J19" s="22">
        <f t="shared" si="5"/>
        <v>1.0297293071419482E-2</v>
      </c>
      <c r="K19" s="16"/>
    </row>
    <row r="20" spans="1:11">
      <c r="A20" s="14" t="s">
        <v>86</v>
      </c>
      <c r="B20" s="9" t="str">
        <f>CONCATENATE(A20,[18]res_pais_dest_alta_tek!B23)</f>
        <v xml:space="preserve">   Argentina</v>
      </c>
      <c r="C20" s="22">
        <f>[18]res_pais_dest_alta_tek!C23/1000000</f>
        <v>0.89149999999999996</v>
      </c>
      <c r="D20" s="25">
        <f>[18]res_pais_dest_alta_tek!D23/1000000</f>
        <v>2.6340880000000002</v>
      </c>
      <c r="E20" s="22">
        <f t="shared" si="0"/>
        <v>195.46696578799779</v>
      </c>
      <c r="F20" s="22">
        <f t="shared" si="1"/>
        <v>0.55100111185086575</v>
      </c>
      <c r="G20" s="22">
        <f>[18]res_pais_dest_alta_tek!E23/1000000</f>
        <v>0.16763600000000001</v>
      </c>
      <c r="H20" s="25">
        <f>[18]res_pais_dest_alta_tek!F23/1000000</f>
        <v>0.150949</v>
      </c>
      <c r="I20" s="22">
        <f t="shared" si="3"/>
        <v>-9.9543057577131435</v>
      </c>
      <c r="J20" s="22">
        <f t="shared" si="5"/>
        <v>0.77331646360084549</v>
      </c>
      <c r="K20" s="16"/>
    </row>
    <row r="21" spans="1:11">
      <c r="A21" s="14" t="s">
        <v>86</v>
      </c>
      <c r="B21" s="9" t="str">
        <f>CONCATENATE(A21,[18]res_pais_dest_alta_tek!B24)</f>
        <v xml:space="preserve">   Brasil </v>
      </c>
      <c r="C21" s="22">
        <f>[18]res_pais_dest_alta_tek!C24/1000000</f>
        <v>10.893929999999999</v>
      </c>
      <c r="D21" s="25">
        <f>[18]res_pais_dest_alta_tek!D24/1000000</f>
        <v>63.197122</v>
      </c>
      <c r="E21" s="22">
        <f t="shared" si="0"/>
        <v>480.11316393624713</v>
      </c>
      <c r="F21" s="22">
        <f t="shared" si="1"/>
        <v>13.219635975629823</v>
      </c>
      <c r="G21" s="22">
        <f>[18]res_pais_dest_alta_tek!E24/1000000</f>
        <v>6.9718359999999997</v>
      </c>
      <c r="H21" s="25">
        <f>[18]res_pais_dest_alta_tek!F24/1000000</f>
        <v>0.42415700000000001</v>
      </c>
      <c r="I21" s="22">
        <f t="shared" si="3"/>
        <v>-93.916136294657534</v>
      </c>
      <c r="J21" s="22">
        <f t="shared" si="5"/>
        <v>2.1729696205443152</v>
      </c>
      <c r="K21" s="16"/>
    </row>
    <row r="22" spans="1:11">
      <c r="A22" s="14" t="s">
        <v>86</v>
      </c>
      <c r="B22" s="9" t="str">
        <f>CONCATENATE(A22,[18]res_pais_dest_alta_tek!B25)</f>
        <v xml:space="preserve">   Cuba </v>
      </c>
      <c r="C22" s="22">
        <f>[18]res_pais_dest_alta_tek!C25/1000000</f>
        <v>0.137381</v>
      </c>
      <c r="D22" s="25">
        <f>[18]res_pais_dest_alta_tek!D25/1000000</f>
        <v>0.33859600000000001</v>
      </c>
      <c r="E22" s="22">
        <f t="shared" si="0"/>
        <v>146.46494056674504</v>
      </c>
      <c r="F22" s="22">
        <f t="shared" si="1"/>
        <v>7.0827843438888802E-2</v>
      </c>
      <c r="G22" s="22">
        <f>[18]res_pais_dest_alta_tek!E25/1000000</f>
        <v>2.4771999999999999E-2</v>
      </c>
      <c r="H22" s="25">
        <f>[18]res_pais_dest_alta_tek!F25/1000000</f>
        <v>1.8933999999999999E-2</v>
      </c>
      <c r="I22" s="22">
        <f t="shared" si="3"/>
        <v>-23.566930405296304</v>
      </c>
      <c r="J22" s="22">
        <f t="shared" si="5"/>
        <v>9.6999476126495759E-2</v>
      </c>
      <c r="K22" s="16"/>
    </row>
    <row r="23" spans="1:11">
      <c r="A23" s="14" t="s">
        <v>86</v>
      </c>
      <c r="B23" s="9" t="str">
        <f>CONCATENATE(A23,[18]res_pais_dest_alta_tek!B26)</f>
        <v xml:space="preserve">   Chile </v>
      </c>
      <c r="C23" s="22">
        <f>[18]res_pais_dest_alta_tek!C26/1000000</f>
        <v>9.6283849999999997</v>
      </c>
      <c r="D23" s="25">
        <f>[18]res_pais_dest_alta_tek!D26/1000000</f>
        <v>11.507472</v>
      </c>
      <c r="E23" s="22">
        <f t="shared" si="0"/>
        <v>19.516118227511669</v>
      </c>
      <c r="F23" s="22">
        <f t="shared" si="1"/>
        <v>2.4071442816613211</v>
      </c>
      <c r="G23" s="22">
        <f>[18]res_pais_dest_alta_tek!E26/1000000</f>
        <v>0.58187999999999995</v>
      </c>
      <c r="H23" s="25">
        <f>[18]res_pais_dest_alta_tek!F26/1000000</f>
        <v>0.78558499999999998</v>
      </c>
      <c r="I23" s="22">
        <f t="shared" si="3"/>
        <v>35.008077266790409</v>
      </c>
      <c r="J23" s="22">
        <f t="shared" si="5"/>
        <v>4.0245766057269021</v>
      </c>
      <c r="K23" s="16"/>
    </row>
    <row r="24" spans="1:11">
      <c r="A24" s="14" t="s">
        <v>86</v>
      </c>
      <c r="B24" s="9" t="str">
        <f>CONCATENATE(A24,[18]res_pais_dest_alta_tek!B27)</f>
        <v xml:space="preserve">   México </v>
      </c>
      <c r="C24" s="22">
        <f>[18]res_pais_dest_alta_tek!C27/1000000</f>
        <v>21.724032000000001</v>
      </c>
      <c r="D24" s="25">
        <f>[18]res_pais_dest_alta_tek!D27/1000000</f>
        <v>18.902732</v>
      </c>
      <c r="E24" s="22">
        <f t="shared" si="0"/>
        <v>-12.986999835021418</v>
      </c>
      <c r="F24" s="22">
        <f t="shared" si="1"/>
        <v>3.9540920231286649</v>
      </c>
      <c r="G24" s="22">
        <f>[18]res_pais_dest_alta_tek!E27/1000000</f>
        <v>0.62015500000000001</v>
      </c>
      <c r="H24" s="25">
        <f>[18]res_pais_dest_alta_tek!F27/1000000</f>
        <v>1.067086</v>
      </c>
      <c r="I24" s="22">
        <f t="shared" si="3"/>
        <v>72.067628254226761</v>
      </c>
      <c r="J24" s="22">
        <f t="shared" si="5"/>
        <v>5.4667150618948908</v>
      </c>
      <c r="K24" s="16"/>
    </row>
    <row r="25" spans="1:11">
      <c r="A25" s="14" t="s">
        <v>86</v>
      </c>
      <c r="B25" s="9" t="str">
        <f>CONCATENATE(A25,[18]res_pais_dest_alta_tek!B28)</f>
        <v xml:space="preserve">   Paraguay </v>
      </c>
      <c r="C25" s="22">
        <f>[18]res_pais_dest_alta_tek!C28/1000000</f>
        <v>0.25930300000000001</v>
      </c>
      <c r="D25" s="25">
        <f>[18]res_pais_dest_alta_tek!D28/1000000</f>
        <v>1.2842960000000001</v>
      </c>
      <c r="E25" s="22">
        <f t="shared" si="0"/>
        <v>395.28775216638456</v>
      </c>
      <c r="F25" s="22">
        <f t="shared" si="1"/>
        <v>0.26865029716001121</v>
      </c>
      <c r="G25" s="22">
        <f>[18]res_pais_dest_alta_tek!E28/1000000</f>
        <v>6.8820000000000001E-3</v>
      </c>
      <c r="H25" s="25">
        <f>[18]res_pais_dest_alta_tek!F28/1000000</f>
        <v>0.35472700000000001</v>
      </c>
      <c r="I25" s="22">
        <f t="shared" si="3"/>
        <v>5054.417320546353</v>
      </c>
      <c r="J25" s="22">
        <f t="shared" si="5"/>
        <v>1.8172775519131439</v>
      </c>
      <c r="K25" s="16"/>
    </row>
    <row r="26" spans="1:11">
      <c r="A26" s="14" t="s">
        <v>86</v>
      </c>
      <c r="B26" s="9" t="str">
        <f>CONCATENATE(A26,[18]res_pais_dest_alta_tek!B29)</f>
        <v xml:space="preserve">   Uruguay </v>
      </c>
      <c r="C26" s="22">
        <f>[18]res_pais_dest_alta_tek!C29/1000000</f>
        <v>1.4931950000000001</v>
      </c>
      <c r="D26" s="25">
        <f>[18]res_pais_dest_alta_tek!D29/1000000</f>
        <v>4.2387230000000002</v>
      </c>
      <c r="E26" s="22">
        <f t="shared" si="0"/>
        <v>183.86935396917349</v>
      </c>
      <c r="F26" s="22">
        <f t="shared" si="1"/>
        <v>0.88666023527985294</v>
      </c>
      <c r="G26" s="22">
        <f>[18]res_pais_dest_alta_tek!E29/1000000</f>
        <v>1.2854399999999999</v>
      </c>
      <c r="H26" s="25">
        <f>[18]res_pais_dest_alta_tek!F29/1000000</f>
        <v>3.0750350000000002</v>
      </c>
      <c r="I26" s="22">
        <f t="shared" si="3"/>
        <v>139.22042257903914</v>
      </c>
      <c r="J26" s="22">
        <f t="shared" si="5"/>
        <v>15.753500795956423</v>
      </c>
      <c r="K26" s="16"/>
    </row>
    <row r="27" spans="1:11">
      <c r="A27" s="14" t="s">
        <v>86</v>
      </c>
      <c r="B27" s="9" t="str">
        <f>CONCATENATE(A27,[18]res_pais_dest_alta_tek!B30)</f>
        <v xml:space="preserve">   Venezuela</v>
      </c>
      <c r="C27" s="22">
        <f>[18]res_pais_dest_alta_tek!C30/1000000</f>
        <v>137.07011299999999</v>
      </c>
      <c r="D27" s="25">
        <f>[18]res_pais_dest_alta_tek!D30/1000000</f>
        <v>36.322547999999998</v>
      </c>
      <c r="E27" s="22">
        <f t="shared" si="0"/>
        <v>-73.50075285923198</v>
      </c>
      <c r="F27" s="22">
        <f>(D27/D$13)*100</f>
        <v>7.5979862226533204</v>
      </c>
      <c r="G27" s="22">
        <f>[18]res_pais_dest_alta_tek!E30/1000000</f>
        <v>7.3902939999999999</v>
      </c>
      <c r="H27" s="25">
        <f>[18]res_pais_dest_alta_tek!F30/1000000</f>
        <v>1.293642</v>
      </c>
      <c r="I27" s="22">
        <f t="shared" si="3"/>
        <v>-82.495391928927319</v>
      </c>
      <c r="J27" s="22">
        <f t="shared" si="5"/>
        <v>6.6273685589538518</v>
      </c>
      <c r="K27" s="16"/>
    </row>
    <row r="28" spans="1:11">
      <c r="A28" s="14" t="s">
        <v>86</v>
      </c>
      <c r="B28" s="9" t="str">
        <f>[18]res_pais_dest_alta_tek!B44</f>
        <v xml:space="preserve">Canadá </v>
      </c>
      <c r="C28" s="22">
        <f>[18]res_pais_dest_alta_tek!C44/1000000</f>
        <v>5.0457910000000004</v>
      </c>
      <c r="D28" s="25">
        <f>[18]res_pais_dest_alta_tek!D44/1000000</f>
        <v>1.824975</v>
      </c>
      <c r="E28" s="22">
        <f t="shared" si="0"/>
        <v>-63.831736193591851</v>
      </c>
      <c r="F28" s="22">
        <f>(D28/D$13)*100</f>
        <v>0.38175006078006263</v>
      </c>
      <c r="G28" s="22">
        <f>[18]res_pais_dest_alta_tek!E44/1000000</f>
        <v>4.129975</v>
      </c>
      <c r="H28" s="25">
        <f>[18]res_pais_dest_alta_tek!F44/1000000</f>
        <v>0.138516</v>
      </c>
      <c r="I28" s="22">
        <f t="shared" si="3"/>
        <v>-96.646081392744506</v>
      </c>
      <c r="J28" s="22">
        <f t="shared" si="5"/>
        <v>0.70962181446803041</v>
      </c>
      <c r="K28" s="16"/>
    </row>
    <row r="29" spans="1:11">
      <c r="A29" s="14" t="s">
        <v>86</v>
      </c>
      <c r="B29" s="9" t="str">
        <f>[18]res_pais_dest_alta_tek!B45</f>
        <v>Estados Unidos</v>
      </c>
      <c r="C29" s="22">
        <f>[18]res_pais_dest_alta_tek!C45/1000000</f>
        <v>117.76170500000001</v>
      </c>
      <c r="D29" s="25">
        <f>[18]res_pais_dest_alta_tek!D45/1000000</f>
        <v>99.975873000000007</v>
      </c>
      <c r="E29" s="22">
        <f t="shared" si="0"/>
        <v>-15.103239206667396</v>
      </c>
      <c r="F29" s="22">
        <f t="shared" si="1"/>
        <v>20.913051189353187</v>
      </c>
      <c r="G29" s="22">
        <f>[18]res_pais_dest_alta_tek!E45/1000000</f>
        <v>5.3791570000000002</v>
      </c>
      <c r="H29" s="25">
        <f>[18]res_pais_dest_alta_tek!F45/1000000</f>
        <v>2.4895999999999998</v>
      </c>
      <c r="I29" s="22">
        <f t="shared" si="3"/>
        <v>-53.717655015460608</v>
      </c>
      <c r="J29" s="22">
        <f t="shared" si="5"/>
        <v>12.754298920699474</v>
      </c>
      <c r="K29" s="16"/>
    </row>
    <row r="30" spans="1:11">
      <c r="A30" s="14" t="s">
        <v>86</v>
      </c>
      <c r="B30" s="9" t="str">
        <f>[18]res_pais_dest_alta_tek!B46</f>
        <v xml:space="preserve">Puerto Rico </v>
      </c>
      <c r="C30" s="22">
        <f>[18]res_pais_dest_alta_tek!C46/1000000</f>
        <v>4.7076909999999996</v>
      </c>
      <c r="D30" s="25">
        <f>[18]res_pais_dest_alta_tek!D46/1000000</f>
        <v>5.7026E-2</v>
      </c>
      <c r="E30" s="22">
        <f t="shared" si="0"/>
        <v>-98.788663062210318</v>
      </c>
      <c r="F30" s="22">
        <f t="shared" si="1"/>
        <v>1.1928754621868164E-2</v>
      </c>
      <c r="G30" s="22">
        <f>[18]res_pais_dest_alta_tek!E46/1000000</f>
        <v>6.2700000000000004E-3</v>
      </c>
      <c r="H30" s="25">
        <f>[18]res_pais_dest_alta_tek!F46/1000000</f>
        <v>9.4459999999999995E-3</v>
      </c>
      <c r="I30" s="22">
        <f t="shared" si="3"/>
        <v>50.653907496012749</v>
      </c>
      <c r="J30" s="22">
        <f t="shared" si="5"/>
        <v>4.8392154404292752E-2</v>
      </c>
      <c r="K30" s="16"/>
    </row>
    <row r="31" spans="1:11">
      <c r="A31" s="14"/>
      <c r="B31" s="10" t="s">
        <v>55</v>
      </c>
      <c r="C31" s="22">
        <f>SUM(C32:C42)</f>
        <v>9.9487139999999989</v>
      </c>
      <c r="D31" s="25">
        <f>SUM(D32:D42)</f>
        <v>11.843436000000001</v>
      </c>
      <c r="E31" s="22">
        <f t="shared" si="0"/>
        <v>19.044893641529971</v>
      </c>
      <c r="F31" s="22">
        <f t="shared" si="1"/>
        <v>2.4774215607582475</v>
      </c>
      <c r="G31" s="22">
        <f>SUM(G32:G42)</f>
        <v>1.7724739999999997</v>
      </c>
      <c r="H31" s="25">
        <f>SUM(H32:H42)</f>
        <v>1.0261580000000001</v>
      </c>
      <c r="I31" s="22">
        <f t="shared" si="3"/>
        <v>-42.105892667536992</v>
      </c>
      <c r="J31" s="22">
        <f t="shared" si="5"/>
        <v>5.2570396336227239</v>
      </c>
      <c r="K31" s="16"/>
    </row>
    <row r="32" spans="1:11">
      <c r="A32" s="14" t="s">
        <v>86</v>
      </c>
      <c r="B32" s="9" t="str">
        <f>CONCATENATE(A32,[18]res_pais_dest_alta_tek!B60)</f>
        <v xml:space="preserve">   Alemania </v>
      </c>
      <c r="C32" s="22">
        <f>[18]res_pais_dest_alta_tek!C60/1000000</f>
        <v>1.9125890000000001</v>
      </c>
      <c r="D32" s="25">
        <f>[18]res_pais_dest_alta_tek!D60/1000000</f>
        <v>0.93431299999999995</v>
      </c>
      <c r="E32" s="22">
        <f t="shared" si="0"/>
        <v>-51.149305993080588</v>
      </c>
      <c r="F32" s="22">
        <f t="shared" si="1"/>
        <v>0.19544050989060269</v>
      </c>
      <c r="G32" s="22">
        <f>[18]res_pais_dest_alta_tek!E60/1000000</f>
        <v>0.439444</v>
      </c>
      <c r="H32" s="25">
        <f>[18]res_pais_dest_alta_tek!F60/1000000</f>
        <v>1.0706E-2</v>
      </c>
      <c r="I32" s="22">
        <f t="shared" si="3"/>
        <v>-97.563739634629215</v>
      </c>
      <c r="J32" s="22">
        <f t="shared" si="5"/>
        <v>5.4847173941600491E-2</v>
      </c>
      <c r="K32" s="16"/>
    </row>
    <row r="33" spans="1:11">
      <c r="A33" s="14" t="s">
        <v>86</v>
      </c>
      <c r="B33" s="9" t="str">
        <f>CONCATENATE(A33,[18]res_pais_dest_alta_tek!B61)</f>
        <v xml:space="preserve">   Bélgica </v>
      </c>
      <c r="C33" s="22">
        <f>[18]res_pais_dest_alta_tek!C61/1000000</f>
        <v>1.1278E-2</v>
      </c>
      <c r="D33" s="25">
        <f>[18]res_pais_dest_alta_tek!D61/1000000</f>
        <v>0.88102100000000005</v>
      </c>
      <c r="E33" s="22">
        <f t="shared" si="0"/>
        <v>7711.8549388189404</v>
      </c>
      <c r="F33" s="22">
        <f t="shared" si="1"/>
        <v>0.18429283705174682</v>
      </c>
      <c r="G33" s="22">
        <f>[18]res_pais_dest_alta_tek!E61/1000000</f>
        <v>0</v>
      </c>
      <c r="H33" s="25">
        <f>[18]res_pais_dest_alta_tek!F61/1000000</f>
        <v>0.81293300000000002</v>
      </c>
      <c r="I33" s="22" t="str">
        <f t="shared" si="3"/>
        <v/>
      </c>
      <c r="J33" s="22">
        <f t="shared" si="5"/>
        <v>4.1646812678747533</v>
      </c>
      <c r="K33" s="16"/>
    </row>
    <row r="34" spans="1:11">
      <c r="A34" s="14" t="s">
        <v>86</v>
      </c>
      <c r="B34" s="9" t="str">
        <f>CONCATENATE(A34,[18]res_pais_dest_alta_tek!B62)</f>
        <v xml:space="preserve">   España </v>
      </c>
      <c r="C34" s="22">
        <f>[18]res_pais_dest_alta_tek!C62/1000000</f>
        <v>0.229184</v>
      </c>
      <c r="D34" s="25">
        <f>[18]res_pais_dest_alta_tek!D62/1000000</f>
        <v>0.40435199999999999</v>
      </c>
      <c r="E34" s="22">
        <f t="shared" si="0"/>
        <v>76.431164479195758</v>
      </c>
      <c r="F34" s="22">
        <f t="shared" si="1"/>
        <v>8.4582748024789323E-2</v>
      </c>
      <c r="G34" s="22">
        <f>[18]res_pais_dest_alta_tek!E62/1000000</f>
        <v>7.7479999999999997E-3</v>
      </c>
      <c r="H34" s="25">
        <f>[18]res_pais_dest_alta_tek!F62/1000000</f>
        <v>4.9910999999999997E-2</v>
      </c>
      <c r="I34" s="22">
        <f t="shared" si="3"/>
        <v>544.17914300464633</v>
      </c>
      <c r="J34" s="22">
        <f t="shared" si="5"/>
        <v>0.25569561914806854</v>
      </c>
      <c r="K34" s="16"/>
    </row>
    <row r="35" spans="1:11">
      <c r="A35" s="14" t="s">
        <v>86</v>
      </c>
      <c r="B35" s="9" t="str">
        <f>CONCATENATE(A35,[18]res_pais_dest_alta_tek!B63)</f>
        <v xml:space="preserve">   Francia </v>
      </c>
      <c r="C35" s="22">
        <f>[18]res_pais_dest_alta_tek!C63/1000000</f>
        <v>1.1459429999999999</v>
      </c>
      <c r="D35" s="25">
        <f>[18]res_pais_dest_alta_tek!D63/1000000</f>
        <v>0.36987799999999998</v>
      </c>
      <c r="E35" s="22">
        <f t="shared" si="0"/>
        <v>-67.722827400664769</v>
      </c>
      <c r="F35" s="22">
        <f t="shared" si="1"/>
        <v>7.7371442886180919E-2</v>
      </c>
      <c r="G35" s="22">
        <f>[18]res_pais_dest_alta_tek!E63/1000000</f>
        <v>0.44131500000000001</v>
      </c>
      <c r="H35" s="25">
        <f>[18]res_pais_dest_alta_tek!F63/1000000</f>
        <v>1.4524E-2</v>
      </c>
      <c r="I35" s="22">
        <f t="shared" si="3"/>
        <v>-96.708926730340011</v>
      </c>
      <c r="J35" s="22">
        <f t="shared" si="5"/>
        <v>7.4406907745918696E-2</v>
      </c>
      <c r="K35" s="16"/>
    </row>
    <row r="36" spans="1:11">
      <c r="A36" s="14" t="s">
        <v>86</v>
      </c>
      <c r="B36" s="9" t="str">
        <f>CONCATENATE(A36,[18]res_pais_dest_alta_tek!B64)</f>
        <v xml:space="preserve">   Hungría </v>
      </c>
      <c r="C36" s="22">
        <f>[18]res_pais_dest_alta_tek!C64/1000000</f>
        <v>0.141093</v>
      </c>
      <c r="D36" s="25">
        <f>[18]res_pais_dest_alta_tek!D64/1000000</f>
        <v>7.8811000000000006E-2</v>
      </c>
      <c r="E36" s="22">
        <f t="shared" si="0"/>
        <v>-44.1425159292098</v>
      </c>
      <c r="F36" s="22">
        <f t="shared" si="1"/>
        <v>1.64857622927095E-2</v>
      </c>
      <c r="G36" s="22">
        <f>[18]res_pais_dest_alta_tek!E64/1000000</f>
        <v>0</v>
      </c>
      <c r="H36" s="25">
        <f>[18]res_pais_dest_alta_tek!F64/1000000</f>
        <v>0</v>
      </c>
      <c r="I36" s="22" t="str">
        <f t="shared" si="3"/>
        <v/>
      </c>
      <c r="J36" s="22">
        <f t="shared" si="5"/>
        <v>0</v>
      </c>
      <c r="K36" s="16"/>
    </row>
    <row r="37" spans="1:11">
      <c r="A37" s="14" t="s">
        <v>86</v>
      </c>
      <c r="B37" s="9" t="str">
        <f>CONCATENATE(A37,[18]res_pais_dest_alta_tek!B65)</f>
        <v xml:space="preserve">   Italia </v>
      </c>
      <c r="C37" s="22">
        <f>[18]res_pais_dest_alta_tek!C65/1000000</f>
        <v>1.4005999999999999E-2</v>
      </c>
      <c r="D37" s="25">
        <f>[18]res_pais_dest_alta_tek!D65/1000000</f>
        <v>0.18007899999999999</v>
      </c>
      <c r="E37" s="22">
        <f t="shared" si="0"/>
        <v>1185.7275453377124</v>
      </c>
      <c r="F37" s="22">
        <f t="shared" si="1"/>
        <v>3.766910187548482E-2</v>
      </c>
      <c r="G37" s="22">
        <f>[18]res_pais_dest_alta_tek!E65/1000000</f>
        <v>4.0000000000000002E-4</v>
      </c>
      <c r="H37" s="25">
        <f>[18]res_pais_dest_alta_tek!F65/1000000</f>
        <v>8.9110000000000005E-3</v>
      </c>
      <c r="I37" s="22">
        <f t="shared" si="3"/>
        <v>2127.75</v>
      </c>
      <c r="J37" s="22">
        <f t="shared" si="5"/>
        <v>4.5651332616626378E-2</v>
      </c>
      <c r="K37" s="16"/>
    </row>
    <row r="38" spans="1:11">
      <c r="A38" s="14" t="s">
        <v>86</v>
      </c>
      <c r="B38" s="7" t="str">
        <f>CONCATENATE(A38,[18]res_pais_dest_alta_tek!B66)</f>
        <v xml:space="preserve">   Países Bajos </v>
      </c>
      <c r="C38" s="22">
        <f>[18]res_pais_dest_alta_tek!C66/1000000</f>
        <v>4.7132709999999998</v>
      </c>
      <c r="D38" s="25">
        <f>[18]res_pais_dest_alta_tek!D66/1000000</f>
        <v>6.5440269999999998</v>
      </c>
      <c r="E38" s="22">
        <f t="shared" si="0"/>
        <v>38.842578752632726</v>
      </c>
      <c r="F38" s="22">
        <f t="shared" si="1"/>
        <v>1.3688859874772921</v>
      </c>
      <c r="G38" s="22">
        <f>[18]res_pais_dest_alta_tek!E66/1000000</f>
        <v>0.72723400000000005</v>
      </c>
      <c r="H38" s="25">
        <f>[18]res_pais_dest_alta_tek!F66/1000000</f>
        <v>0</v>
      </c>
      <c r="I38" s="22" t="str">
        <f t="shared" si="3"/>
        <v/>
      </c>
      <c r="J38" s="22">
        <f t="shared" si="5"/>
        <v>0</v>
      </c>
      <c r="K38" s="16"/>
    </row>
    <row r="39" spans="1:11">
      <c r="A39" s="14" t="s">
        <v>86</v>
      </c>
      <c r="B39" s="7" t="str">
        <f>CONCATENATE(A39,[18]res_pais_dest_alta_tek!B67)</f>
        <v xml:space="preserve">   Portugal </v>
      </c>
      <c r="C39" s="22">
        <f>[18]res_pais_dest_alta_tek!C67/1000000</f>
        <v>8.6824999999999999E-2</v>
      </c>
      <c r="D39" s="25">
        <f>[18]res_pais_dest_alta_tek!D67/1000000</f>
        <v>0.17202100000000001</v>
      </c>
      <c r="E39" s="22">
        <f t="shared" si="0"/>
        <v>98.123812266052425</v>
      </c>
      <c r="F39" s="22">
        <f t="shared" si="1"/>
        <v>3.5983521530676944E-2</v>
      </c>
      <c r="G39" s="22">
        <f>[18]res_pais_dest_alta_tek!E67/1000000</f>
        <v>4.3575000000000003E-2</v>
      </c>
      <c r="H39" s="25">
        <f>[18]res_pais_dest_alta_tek!F67/1000000</f>
        <v>0</v>
      </c>
      <c r="I39" s="22" t="str">
        <f t="shared" si="3"/>
        <v/>
      </c>
      <c r="J39" s="22">
        <f t="shared" si="5"/>
        <v>0</v>
      </c>
      <c r="K39" s="16"/>
    </row>
    <row r="40" spans="1:11">
      <c r="A40" s="14" t="s">
        <v>86</v>
      </c>
      <c r="B40" s="7" t="str">
        <f>CONCATENATE(A40,[18]res_pais_dest_alta_tek!B68)</f>
        <v xml:space="preserve">   Reino Unido </v>
      </c>
      <c r="C40" s="22">
        <f>[18]res_pais_dest_alta_tek!C68/1000000</f>
        <v>1.3176429999999999</v>
      </c>
      <c r="D40" s="25">
        <f>[18]res_pais_dest_alta_tek!D68/1000000</f>
        <v>1.8076179999999999</v>
      </c>
      <c r="E40" s="22">
        <f t="shared" si="0"/>
        <v>37.185717223861104</v>
      </c>
      <c r="F40" s="22">
        <f t="shared" si="1"/>
        <v>0.37811930649303976</v>
      </c>
      <c r="G40" s="22">
        <f>[18]res_pais_dest_alta_tek!E68/1000000</f>
        <v>7.4633000000000005E-2</v>
      </c>
      <c r="H40" s="25">
        <f>[18]res_pais_dest_alta_tek!F68/1000000</f>
        <v>5.5798E-2</v>
      </c>
      <c r="I40" s="22">
        <f t="shared" si="3"/>
        <v>-25.236825532941197</v>
      </c>
      <c r="J40" s="22">
        <f t="shared" si="5"/>
        <v>0.28585490487515636</v>
      </c>
      <c r="K40" s="16"/>
    </row>
    <row r="41" spans="1:11">
      <c r="A41" s="14" t="s">
        <v>86</v>
      </c>
      <c r="B41" s="9" t="str">
        <f>CONCATENATE(A41,[18]res_pais_dest_alta_tek!B69)</f>
        <v xml:space="preserve">   Suecia </v>
      </c>
      <c r="C41" s="22">
        <f>[18]res_pais_dest_alta_tek!C69/1000000</f>
        <v>7.8939999999999996E-2</v>
      </c>
      <c r="D41" s="25">
        <f>[18]res_pais_dest_alta_tek!D69/1000000</f>
        <v>0.173482</v>
      </c>
      <c r="E41" s="22">
        <f t="shared" si="0"/>
        <v>119.76437800861413</v>
      </c>
      <c r="F41" s="22">
        <f t="shared" si="1"/>
        <v>3.6289134943901603E-2</v>
      </c>
      <c r="G41" s="22">
        <f>[18]res_pais_dest_alta_tek!E69/1000000</f>
        <v>0</v>
      </c>
      <c r="H41" s="25">
        <f>[18]res_pais_dest_alta_tek!F69/1000000</f>
        <v>5.5875000000000001E-2</v>
      </c>
      <c r="I41" s="22" t="str">
        <f t="shared" si="3"/>
        <v/>
      </c>
      <c r="J41" s="22">
        <f t="shared" si="5"/>
        <v>0.28624937829132518</v>
      </c>
      <c r="K41" s="16"/>
    </row>
    <row r="42" spans="1:11">
      <c r="A42" s="14" t="s">
        <v>86</v>
      </c>
      <c r="B42" s="9" t="str">
        <f>CONCATENATE(A42,[18]res_pais_dest_alta_tek!B70)</f>
        <v xml:space="preserve">   Resto </v>
      </c>
      <c r="C42" s="22">
        <f>[18]res_pais_dest_alta_tek!C70/1000000</f>
        <v>0.29794199999999998</v>
      </c>
      <c r="D42" s="25">
        <f>[18]res_pais_dest_alta_tek!D70/1000000</f>
        <v>0.29783399999999999</v>
      </c>
      <c r="E42" s="22">
        <f t="shared" si="0"/>
        <v>-3.6248665847715689E-2</v>
      </c>
      <c r="F42" s="22">
        <f t="shared" si="1"/>
        <v>6.2301208291822723E-2</v>
      </c>
      <c r="G42" s="22">
        <f>[18]res_pais_dest_alta_tek!E70/1000000</f>
        <v>3.8124999999999999E-2</v>
      </c>
      <c r="H42" s="25">
        <f>[18]res_pais_dest_alta_tek!F70/1000000</f>
        <v>1.7500000000000002E-2</v>
      </c>
      <c r="I42" s="22">
        <f t="shared" si="3"/>
        <v>-54.0983606557377</v>
      </c>
      <c r="J42" s="22">
        <f t="shared" si="5"/>
        <v>8.9653049129274104E-2</v>
      </c>
      <c r="K42" s="16"/>
    </row>
    <row r="43" spans="1:11">
      <c r="A43" s="14"/>
      <c r="B43" s="9" t="str">
        <f>[18]res_pais_dest_alta_tek!B84</f>
        <v>Suiza</v>
      </c>
      <c r="C43" s="22">
        <f>[18]res_pais_dest_alta_tek!C84/1000000</f>
        <v>0.111249</v>
      </c>
      <c r="D43" s="25">
        <f>[18]res_pais_dest_alta_tek!D84/1000000</f>
        <v>0.49135099999999998</v>
      </c>
      <c r="E43" s="22">
        <f t="shared" si="0"/>
        <v>341.66779027227204</v>
      </c>
      <c r="F43" s="22">
        <f t="shared" si="1"/>
        <v>0.10278128418983523</v>
      </c>
      <c r="G43" s="22">
        <f>[18]res_pais_dest_alta_tek!E84/1000000</f>
        <v>0</v>
      </c>
      <c r="H43" s="25">
        <f>[18]res_pais_dest_alta_tek!F84/1000000</f>
        <v>9.1699999999999995E-4</v>
      </c>
      <c r="I43" s="22" t="str">
        <f t="shared" si="3"/>
        <v/>
      </c>
      <c r="J43" s="22">
        <f t="shared" si="5"/>
        <v>4.6978197743739623E-3</v>
      </c>
      <c r="K43" s="16"/>
    </row>
    <row r="44" spans="1:11">
      <c r="A44" s="14"/>
      <c r="B44" s="9" t="s">
        <v>5</v>
      </c>
      <c r="C44" s="22">
        <f>+C13-C14-C31-C43-C28-C29-C30</f>
        <v>88.096330640000318</v>
      </c>
      <c r="D44" s="25">
        <f>+D13-D14-D31-D43-D28-D29-D30</f>
        <v>142.79718770999651</v>
      </c>
      <c r="E44" s="22">
        <f t="shared" si="0"/>
        <v>62.0920947247253</v>
      </c>
      <c r="F44" s="22">
        <f t="shared" si="1"/>
        <v>29.870455807621028</v>
      </c>
      <c r="G44" s="22">
        <f t="shared" ref="G44:H44" si="6">+G13-G14-G31-G43-G28-G29-G30</f>
        <v>3.9211896400000028</v>
      </c>
      <c r="H44" s="25">
        <f t="shared" si="6"/>
        <v>11.329353049999998</v>
      </c>
      <c r="I44" s="22">
        <f t="shared" si="3"/>
        <v>188.92642514479328</v>
      </c>
      <c r="J44" s="22">
        <f t="shared" si="5"/>
        <v>58.040631176830928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8"/>
      <c r="E47" s="20"/>
    </row>
    <row r="48" spans="1:11">
      <c r="B48" s="20"/>
      <c r="C48" s="20"/>
      <c r="D48" s="88"/>
      <c r="E48" s="20"/>
    </row>
    <row r="49" spans="3:5">
      <c r="C49" s="20"/>
      <c r="D49" s="88"/>
    </row>
    <row r="50" spans="3:5">
      <c r="C50" s="20"/>
      <c r="D50" s="88"/>
    </row>
    <row r="51" spans="3:5">
      <c r="C51" s="20"/>
      <c r="D51" s="88"/>
      <c r="E51" s="88"/>
    </row>
    <row r="52" spans="3:5">
      <c r="C52" s="20"/>
      <c r="D52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95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0">
        <v>2009</v>
      </c>
      <c r="D11" s="100">
        <v>2010</v>
      </c>
      <c r="E11" s="123"/>
      <c r="F11" s="123"/>
      <c r="G11" s="100">
        <v>2009</v>
      </c>
      <c r="H11" s="100">
        <v>2010</v>
      </c>
      <c r="I11" s="123"/>
      <c r="J11" s="123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29</v>
      </c>
      <c r="C13" s="25">
        <f>+'Resumen exportaciones totales'!C13</f>
        <v>2885.3491748199885</v>
      </c>
      <c r="D13" s="25">
        <f>+'Resumen exportaciones totales'!D13</f>
        <v>2945.0571258000468</v>
      </c>
      <c r="E13" s="25">
        <f>IF(OR(OR(D13=0,C13=0),D13=""),"",(D13/C13-1)*100)</f>
        <v>2.0693492316673723</v>
      </c>
      <c r="F13" s="23">
        <f>(D13/D$13)*100</f>
        <v>100</v>
      </c>
      <c r="G13" s="25">
        <f>+'Resumen exportaciones totales'!G13</f>
        <v>243.16203335999964</v>
      </c>
      <c r="H13" s="25">
        <f>+'Resumen exportaciones totales'!H13</f>
        <v>281.09912179000025</v>
      </c>
      <c r="I13" s="25">
        <f>IF(OR(OR(H13=0,G13=0),H13=""),"",(H13/G13-1)*100)</f>
        <v>15.601567360573521</v>
      </c>
      <c r="J13" s="23">
        <f>(H13/H$13)*100</f>
        <v>100</v>
      </c>
      <c r="K13" s="16"/>
    </row>
    <row r="14" spans="1:14">
      <c r="A14" s="14"/>
      <c r="B14" s="9" t="str">
        <f>+[19]cuadro1c!A7</f>
        <v xml:space="preserve">Armenia </v>
      </c>
      <c r="C14" s="22">
        <f>[19]cuadro1c!B7/1000000</f>
        <v>0</v>
      </c>
      <c r="D14" s="25">
        <f>[19]cuadro1c!C7/1000000</f>
        <v>1.109E-3</v>
      </c>
      <c r="E14" s="22" t="str">
        <f t="shared" ref="E14:E30" si="0">IF(OR(OR(D14=0,C14=0),D14=""),"",(D14/C14-1)*100)</f>
        <v/>
      </c>
      <c r="F14" s="22">
        <f t="shared" ref="F14:F30" si="1">(D14/D$13)*100</f>
        <v>3.765631539995109E-5</v>
      </c>
      <c r="G14" s="22">
        <f>[19]cuadro1c!D7/1000000</f>
        <v>0</v>
      </c>
      <c r="H14" s="25">
        <f>[19]cuadro1c!E7/1000000</f>
        <v>0</v>
      </c>
      <c r="I14" s="22" t="str">
        <f t="shared" ref="I14:I30" si="2">IF(OR(OR(H14=0,G14=0),H14=""),"",(H14/G14-1)*100)</f>
        <v/>
      </c>
      <c r="J14" s="22">
        <f>(H14/H$13)*100</f>
        <v>0</v>
      </c>
      <c r="K14" s="16"/>
    </row>
    <row r="15" spans="1:14">
      <c r="A15" s="14"/>
      <c r="B15" s="9" t="str">
        <f>+[19]cuadro1c!A8</f>
        <v xml:space="preserve">Barranquilla </v>
      </c>
      <c r="C15" s="22">
        <f>[19]cuadro1c!B8/1000000</f>
        <v>50.371250000000003</v>
      </c>
      <c r="D15" s="25">
        <f>[19]cuadro1c!C8/1000000</f>
        <v>49.273111</v>
      </c>
      <c r="E15" s="22">
        <f t="shared" si="0"/>
        <v>-2.1800908256197848</v>
      </c>
      <c r="F15" s="22">
        <f>(D15/D$13)*100</f>
        <v>1.6730782764227226</v>
      </c>
      <c r="G15" s="22">
        <f>[19]cuadro1c!D8/1000000</f>
        <v>6.4008969999999996</v>
      </c>
      <c r="H15" s="25">
        <f>[19]cuadro1c!E8/1000000</f>
        <v>1.6036440000000001</v>
      </c>
      <c r="I15" s="22">
        <f t="shared" si="2"/>
        <v>-74.946573894252637</v>
      </c>
      <c r="J15" s="22">
        <f t="shared" ref="J15:J30" si="3">(H15/H$13)*100</f>
        <v>0.57049057634482003</v>
      </c>
      <c r="K15" s="16"/>
    </row>
    <row r="16" spans="1:14">
      <c r="A16" s="14"/>
      <c r="B16" s="9" t="str">
        <f>+[19]cuadro1c!A9</f>
        <v xml:space="preserve">Bogotá </v>
      </c>
      <c r="C16" s="22">
        <f>[19]cuadro1c!B9/1000000</f>
        <v>946.77441099999999</v>
      </c>
      <c r="D16" s="25">
        <f>[19]cuadro1c!C9/1000000</f>
        <v>1404.530714</v>
      </c>
      <c r="E16" s="22">
        <f t="shared" si="0"/>
        <v>48.34903623097604</v>
      </c>
      <c r="F16" s="22">
        <f t="shared" si="1"/>
        <v>47.691119526873308</v>
      </c>
      <c r="G16" s="22">
        <f>[19]cuadro1c!D9/1000000</f>
        <v>100.36326200000001</v>
      </c>
      <c r="H16" s="25">
        <f>[19]cuadro1c!E9/1000000</f>
        <v>151.93204</v>
      </c>
      <c r="I16" s="22">
        <f t="shared" si="2"/>
        <v>51.382126260503554</v>
      </c>
      <c r="J16" s="22">
        <f t="shared" si="3"/>
        <v>54.049275939575267</v>
      </c>
      <c r="K16" s="16"/>
    </row>
    <row r="17" spans="1:11">
      <c r="A17" s="14"/>
      <c r="B17" s="9" t="str">
        <f>+[19]cuadro1c!A10</f>
        <v xml:space="preserve">Bucaramanga </v>
      </c>
      <c r="C17" s="22">
        <f>[19]cuadro1c!B10/1000000</f>
        <v>0.17550499999999999</v>
      </c>
      <c r="D17" s="25">
        <f>[19]cuadro1c!C10/1000000</f>
        <v>0.13714499999999999</v>
      </c>
      <c r="E17" s="22">
        <f t="shared" si="0"/>
        <v>-21.856927153072569</v>
      </c>
      <c r="F17" s="22">
        <f t="shared" si="1"/>
        <v>4.6567857308623005E-3</v>
      </c>
      <c r="G17" s="22">
        <f>[19]cuadro1c!D10/1000000</f>
        <v>1.6667000000000001E-2</v>
      </c>
      <c r="H17" s="25">
        <f>[19]cuadro1c!E10/1000000</f>
        <v>6.7710000000000001E-3</v>
      </c>
      <c r="I17" s="22">
        <f t="shared" si="2"/>
        <v>-59.374812503749929</v>
      </c>
      <c r="J17" s="22">
        <f t="shared" si="3"/>
        <v>2.4087588594667994E-3</v>
      </c>
      <c r="K17" s="16"/>
    </row>
    <row r="18" spans="1:11">
      <c r="A18" s="14"/>
      <c r="B18" s="9" t="str">
        <f>+[19]cuadro1c!A11</f>
        <v xml:space="preserve">Cali </v>
      </c>
      <c r="C18" s="22">
        <f>[19]cuadro1c!B11/1000000</f>
        <v>2.8252350000000002</v>
      </c>
      <c r="D18" s="25">
        <f>[19]cuadro1c!C11/1000000</f>
        <v>2.961465</v>
      </c>
      <c r="E18" s="22">
        <f t="shared" si="0"/>
        <v>4.8218997711694689</v>
      </c>
      <c r="F18" s="22">
        <f t="shared" si="1"/>
        <v>0.10055713262932026</v>
      </c>
      <c r="G18" s="22">
        <f>[19]cuadro1c!D11/1000000</f>
        <v>0.26824799999999999</v>
      </c>
      <c r="H18" s="25">
        <f>[19]cuadro1c!E11/1000000</f>
        <v>0.41396899999999998</v>
      </c>
      <c r="I18" s="22">
        <f t="shared" si="2"/>
        <v>54.323238197488898</v>
      </c>
      <c r="J18" s="22">
        <f t="shared" si="3"/>
        <v>0.14726798054860604</v>
      </c>
      <c r="K18" s="16"/>
    </row>
    <row r="19" spans="1:11">
      <c r="A19" s="14"/>
      <c r="B19" s="9" t="str">
        <f>+[19]cuadro1c!A12</f>
        <v xml:space="preserve">Cartagena </v>
      </c>
      <c r="C19" s="22">
        <f>[19]cuadro1c!B12/1000000</f>
        <v>621.53074100000003</v>
      </c>
      <c r="D19" s="25">
        <f>[19]cuadro1c!C12/1000000</f>
        <v>617.21583599999997</v>
      </c>
      <c r="E19" s="22">
        <f t="shared" si="0"/>
        <v>-0.69423838844361319</v>
      </c>
      <c r="F19" s="22">
        <f t="shared" si="1"/>
        <v>20.957686375347599</v>
      </c>
      <c r="G19" s="22">
        <f>[19]cuadro1c!D12/1000000</f>
        <v>54.932130000000001</v>
      </c>
      <c r="H19" s="25">
        <f>[19]cuadro1c!E12/1000000</f>
        <v>50.496496999999998</v>
      </c>
      <c r="I19" s="22">
        <f t="shared" si="2"/>
        <v>-8.0747515160981447</v>
      </c>
      <c r="J19" s="22">
        <f t="shared" si="3"/>
        <v>17.963946908992565</v>
      </c>
      <c r="K19" s="16"/>
    </row>
    <row r="20" spans="1:11">
      <c r="A20" s="14"/>
      <c r="B20" s="9" t="str">
        <f>+[19]cuadro1c!A13</f>
        <v xml:space="preserve">Cúcuta </v>
      </c>
      <c r="C20" s="22">
        <f>[19]cuadro1c!B13/1000000</f>
        <v>606.79653099999996</v>
      </c>
      <c r="D20" s="25">
        <f>[19]cuadro1c!C13/1000000</f>
        <v>213.28867099999999</v>
      </c>
      <c r="E20" s="22">
        <f t="shared" si="0"/>
        <v>-64.850051029708339</v>
      </c>
      <c r="F20" s="22">
        <f t="shared" si="1"/>
        <v>7.2422592122744822</v>
      </c>
      <c r="G20" s="22">
        <f>[19]cuadro1c!D13/1000000</f>
        <v>20.528511000000002</v>
      </c>
      <c r="H20" s="25">
        <f>[19]cuadro1c!E13/1000000</f>
        <v>17.075938000000001</v>
      </c>
      <c r="I20" s="22">
        <f t="shared" si="2"/>
        <v>-16.818428769626792</v>
      </c>
      <c r="J20" s="22">
        <f t="shared" si="3"/>
        <v>6.0747034324628242</v>
      </c>
      <c r="K20" s="16"/>
    </row>
    <row r="21" spans="1:11">
      <c r="A21" s="14"/>
      <c r="B21" s="9" t="str">
        <f>+[19]cuadro1c!A14</f>
        <v xml:space="preserve">Manizales </v>
      </c>
      <c r="C21" s="22">
        <f>[19]cuadro1c!B14/1000000</f>
        <v>0.17715700000000001</v>
      </c>
      <c r="D21" s="25">
        <f>[19]cuadro1c!C14/1000000</f>
        <v>4.9600000000000002E-4</v>
      </c>
      <c r="E21" s="22">
        <f t="shared" si="0"/>
        <v>-99.720022353054077</v>
      </c>
      <c r="F21" s="22">
        <f t="shared" si="1"/>
        <v>1.6841778573828442E-5</v>
      </c>
      <c r="G21" s="22">
        <f>[19]cuadro1c!D14/1000000</f>
        <v>0</v>
      </c>
      <c r="H21" s="25">
        <f>[19]cuadro1c!E14/1000000</f>
        <v>0</v>
      </c>
      <c r="I21" s="22" t="str">
        <f t="shared" si="2"/>
        <v/>
      </c>
      <c r="J21" s="22">
        <f t="shared" si="3"/>
        <v>0</v>
      </c>
      <c r="K21" s="16"/>
    </row>
    <row r="22" spans="1:11">
      <c r="A22" s="14"/>
      <c r="B22" s="9" t="str">
        <f>+[19]cuadro1c!A15</f>
        <v xml:space="preserve">Medellín </v>
      </c>
      <c r="C22" s="22">
        <f>[19]cuadro1c!B15/1000000</f>
        <v>12.882565</v>
      </c>
      <c r="D22" s="25">
        <f>[19]cuadro1c!C15/1000000</f>
        <v>8.0069590000000002</v>
      </c>
      <c r="E22" s="22">
        <f t="shared" si="0"/>
        <v>-37.846546863920338</v>
      </c>
      <c r="F22" s="22">
        <f t="shared" si="1"/>
        <v>0.27187788412847341</v>
      </c>
      <c r="G22" s="22">
        <f>[19]cuadro1c!D15/1000000</f>
        <v>3.030268</v>
      </c>
      <c r="H22" s="25">
        <f>[19]cuadro1c!E15/1000000</f>
        <v>0.85430799999999996</v>
      </c>
      <c r="I22" s="22">
        <f t="shared" si="2"/>
        <v>-71.807510094816692</v>
      </c>
      <c r="J22" s="22">
        <f t="shared" si="3"/>
        <v>0.30391699360705399</v>
      </c>
      <c r="K22" s="16"/>
    </row>
    <row r="23" spans="1:11">
      <c r="A23" s="14"/>
      <c r="B23" s="9" t="str">
        <f>+[19]cuadro1c!A16</f>
        <v xml:space="preserve">Pereira </v>
      </c>
      <c r="C23" s="22">
        <f>[19]cuadro1c!B16/1000000</f>
        <v>3.6000000000000001E-5</v>
      </c>
      <c r="D23" s="25">
        <f>[19]cuadro1c!C16/1000000</f>
        <v>0.122492</v>
      </c>
      <c r="E23" s="22">
        <f t="shared" si="0"/>
        <v>340155.55555555556</v>
      </c>
      <c r="F23" s="22">
        <f t="shared" si="1"/>
        <v>4.1592402037608743E-3</v>
      </c>
      <c r="G23" s="22">
        <f>[19]cuadro1c!D16/1000000</f>
        <v>0</v>
      </c>
      <c r="H23" s="25">
        <f>[19]cuadro1c!E16/1000000</f>
        <v>6.9028999999999993E-2</v>
      </c>
      <c r="I23" s="22" t="str">
        <f t="shared" si="2"/>
        <v/>
      </c>
      <c r="J23" s="22">
        <f t="shared" si="3"/>
        <v>2.4556818093358988E-2</v>
      </c>
      <c r="K23" s="16"/>
    </row>
    <row r="24" spans="1:11">
      <c r="A24" s="14"/>
      <c r="B24" s="9" t="str">
        <f>+[19]cuadro1c!A17</f>
        <v xml:space="preserve">Santa Marta </v>
      </c>
      <c r="C24" s="22">
        <f>[19]cuadro1c!B17/1000000</f>
        <v>28.566309</v>
      </c>
      <c r="D24" s="25">
        <f>[19]cuadro1c!C17/1000000</f>
        <v>19.779724000000002</v>
      </c>
      <c r="E24" s="22">
        <f t="shared" si="0"/>
        <v>-30.758558972389459</v>
      </c>
      <c r="F24" s="22">
        <f t="shared" si="1"/>
        <v>0.6716244593940327</v>
      </c>
      <c r="G24" s="22">
        <f>[19]cuadro1c!D17/1000000</f>
        <v>2.1000999999999999E-2</v>
      </c>
      <c r="H24" s="25">
        <f>[19]cuadro1c!E17/1000000</f>
        <v>0.39381500000000003</v>
      </c>
      <c r="I24" s="22">
        <f t="shared" si="2"/>
        <v>1775.2202276082094</v>
      </c>
      <c r="J24" s="22">
        <f t="shared" si="3"/>
        <v>0.14009826764745498</v>
      </c>
      <c r="K24" s="16"/>
    </row>
    <row r="25" spans="1:11">
      <c r="A25" s="14"/>
      <c r="B25" s="9" t="str">
        <f>+[19]cuadro1c!A18</f>
        <v xml:space="preserve">Riohacha </v>
      </c>
      <c r="C25" s="22">
        <f>[19]cuadro1c!B18/1000000</f>
        <v>33.776598999999997</v>
      </c>
      <c r="D25" s="25">
        <f>[19]cuadro1c!C18/1000000</f>
        <v>3.2933279999999998</v>
      </c>
      <c r="E25" s="22">
        <f t="shared" si="0"/>
        <v>-90.249675522393474</v>
      </c>
      <c r="F25" s="22">
        <f t="shared" si="1"/>
        <v>0.11182560674796224</v>
      </c>
      <c r="G25" s="22">
        <f>[19]cuadro1c!D18/1000000</f>
        <v>0</v>
      </c>
      <c r="H25" s="25">
        <f>[19]cuadro1c!E18/1000000</f>
        <v>0</v>
      </c>
      <c r="I25" s="22" t="str">
        <f t="shared" si="2"/>
        <v/>
      </c>
      <c r="J25" s="22">
        <f t="shared" si="3"/>
        <v>0</v>
      </c>
      <c r="K25" s="16"/>
    </row>
    <row r="26" spans="1:11">
      <c r="A26" s="14"/>
      <c r="B26" s="9" t="str">
        <f>+[19]cuadro1c!A19</f>
        <v xml:space="preserve">Buenaventura </v>
      </c>
      <c r="C26" s="22">
        <f>[19]cuadro1c!B19/1000000</f>
        <v>284.49221799999998</v>
      </c>
      <c r="D26" s="25">
        <f>[19]cuadro1c!C19/1000000</f>
        <v>295.32180699999998</v>
      </c>
      <c r="E26" s="22">
        <f t="shared" si="0"/>
        <v>3.8066380430834768</v>
      </c>
      <c r="F26" s="22">
        <f t="shared" si="1"/>
        <v>10.027710648219552</v>
      </c>
      <c r="G26" s="22">
        <f>[19]cuadro1c!D19/1000000</f>
        <v>26.470154999999998</v>
      </c>
      <c r="H26" s="25">
        <f>[19]cuadro1c!E19/1000000</f>
        <v>31.924512</v>
      </c>
      <c r="I26" s="22">
        <f t="shared" si="2"/>
        <v>20.605685913059446</v>
      </c>
      <c r="J26" s="22">
        <f t="shared" si="3"/>
        <v>11.357030145348421</v>
      </c>
      <c r="K26" s="16"/>
    </row>
    <row r="27" spans="1:11">
      <c r="A27" s="14"/>
      <c r="B27" s="9" t="str">
        <f>+[19]cuadro1c!A20</f>
        <v xml:space="preserve">Ipiales </v>
      </c>
      <c r="C27" s="22">
        <f>[19]cuadro1c!B20/1000000</f>
        <v>236.59597299999999</v>
      </c>
      <c r="D27" s="25">
        <f>[19]cuadro1c!C20/1000000</f>
        <v>301.30076000000003</v>
      </c>
      <c r="E27" s="22">
        <f t="shared" si="0"/>
        <v>27.348219912432768</v>
      </c>
      <c r="F27" s="22">
        <f>(D27/D$13)*100</f>
        <v>10.230727185577068</v>
      </c>
      <c r="G27" s="22">
        <f>[19]cuadro1c!D20/1000000</f>
        <v>23.102495000000001</v>
      </c>
      <c r="H27" s="25">
        <f>[19]cuadro1c!E20/1000000</f>
        <v>24.915310999999999</v>
      </c>
      <c r="I27" s="22">
        <f t="shared" si="2"/>
        <v>7.846840784945508</v>
      </c>
      <c r="J27" s="22">
        <f t="shared" si="3"/>
        <v>8.863532138180565</v>
      </c>
      <c r="K27" s="16"/>
    </row>
    <row r="28" spans="1:11">
      <c r="A28" s="14"/>
      <c r="B28" s="9" t="str">
        <f>+[19]cuadro1c!A21</f>
        <v xml:space="preserve">Leticia </v>
      </c>
      <c r="C28" s="22">
        <f>[19]cuadro1c!B21/1000000</f>
        <v>1.65E-4</v>
      </c>
      <c r="D28" s="25">
        <f>[19]cuadro1c!C21/1000000</f>
        <v>6.0299999999999999E-2</v>
      </c>
      <c r="E28" s="22">
        <f t="shared" si="0"/>
        <v>36445.454545454544</v>
      </c>
      <c r="F28" s="22">
        <f t="shared" si="1"/>
        <v>2.0474984838747077E-3</v>
      </c>
      <c r="G28" s="22">
        <f>[19]cuadro1c!D21/1000000</f>
        <v>0</v>
      </c>
      <c r="H28" s="25">
        <f>[19]cuadro1c!E21/1000000</f>
        <v>0</v>
      </c>
      <c r="I28" s="22" t="str">
        <f t="shared" si="2"/>
        <v/>
      </c>
      <c r="J28" s="22">
        <f t="shared" si="3"/>
        <v>0</v>
      </c>
      <c r="K28" s="16"/>
    </row>
    <row r="29" spans="1:11">
      <c r="A29" s="14"/>
      <c r="B29" s="9" t="str">
        <f>+[19]cuadro1c!A22</f>
        <v xml:space="preserve">Maicao </v>
      </c>
      <c r="C29" s="22">
        <f>[19]cuadro1c!B22/1000000</f>
        <v>43.291862000000002</v>
      </c>
      <c r="D29" s="25">
        <f>[19]cuadro1c!C22/1000000</f>
        <v>26.147987000000001</v>
      </c>
      <c r="E29" s="22">
        <f t="shared" si="0"/>
        <v>-39.600687537995015</v>
      </c>
      <c r="F29" s="22">
        <f t="shared" si="1"/>
        <v>0.88786009517206577</v>
      </c>
      <c r="G29" s="22">
        <f>[19]cuadro1c!D22/1000000</f>
        <v>5.0554810000000003</v>
      </c>
      <c r="H29" s="25">
        <f>[19]cuadro1c!E22/1000000</f>
        <v>1.413289</v>
      </c>
      <c r="I29" s="22">
        <f t="shared" si="2"/>
        <v>-72.044420699039307</v>
      </c>
      <c r="J29" s="22">
        <f t="shared" si="3"/>
        <v>0.5027724707926412</v>
      </c>
      <c r="K29" s="16"/>
    </row>
    <row r="30" spans="1:11">
      <c r="A30" s="14"/>
      <c r="B30" s="9" t="str">
        <f>+[19]cuadro1c!A23</f>
        <v xml:space="preserve">Turbo </v>
      </c>
      <c r="C30" s="22">
        <f>[19]cuadro1c!B23/1000000</f>
        <v>17.092617000000001</v>
      </c>
      <c r="D30" s="25">
        <f>[19]cuadro1c!C23/1000000</f>
        <v>3.6152220000000002</v>
      </c>
      <c r="E30" s="22">
        <f t="shared" si="0"/>
        <v>-78.849218934701454</v>
      </c>
      <c r="F30" s="22">
        <f t="shared" si="1"/>
        <v>0.12275558149038952</v>
      </c>
      <c r="G30" s="22">
        <f>[19]cuadro1c!D23/1000000</f>
        <v>2.9729190000000001</v>
      </c>
      <c r="H30" s="25">
        <f>[19]cuadro1c!E23/1000000</f>
        <v>0</v>
      </c>
      <c r="I30" s="22" t="str">
        <f t="shared" si="2"/>
        <v/>
      </c>
      <c r="J30" s="22">
        <f t="shared" si="3"/>
        <v>0</v>
      </c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L43" s="113"/>
    </row>
    <row r="44" spans="1:12">
      <c r="A44" s="17"/>
      <c r="B44" s="39" t="s">
        <v>26</v>
      </c>
      <c r="C44" s="18"/>
      <c r="D44" s="18"/>
      <c r="E44" s="18"/>
      <c r="F44" s="18"/>
      <c r="G44" s="18"/>
      <c r="H44" s="18"/>
      <c r="I44" s="18"/>
      <c r="J44" s="18"/>
      <c r="K44" s="19"/>
      <c r="L44" s="113"/>
    </row>
    <row r="45" spans="1:12">
      <c r="B45" s="20"/>
      <c r="C45" s="20" t="str">
        <f>+B14</f>
        <v xml:space="preserve">Armenia </v>
      </c>
      <c r="D45" s="88">
        <f>F14</f>
        <v>3.765631539995109E-5</v>
      </c>
      <c r="E45" s="20"/>
      <c r="J45" s="112"/>
    </row>
    <row r="46" spans="1:12">
      <c r="B46" s="20"/>
      <c r="C46" s="20" t="str">
        <f>+B15</f>
        <v xml:space="preserve">Barranquilla </v>
      </c>
      <c r="D46" s="88">
        <f>F15</f>
        <v>1.6730782764227226</v>
      </c>
      <c r="E46" s="20"/>
    </row>
    <row r="47" spans="1:12">
      <c r="C47" s="20" t="str">
        <f>+B16</f>
        <v xml:space="preserve">Bogotá </v>
      </c>
      <c r="D47" s="88">
        <f>F16</f>
        <v>47.691119526873308</v>
      </c>
    </row>
    <row r="48" spans="1:12">
      <c r="C48" s="20" t="s">
        <v>58</v>
      </c>
      <c r="D48" s="88">
        <f>SUM(F17:F30)</f>
        <v>50.635764547178013</v>
      </c>
    </row>
    <row r="49" spans="3:8">
      <c r="C49" s="20"/>
      <c r="D49" s="88"/>
    </row>
    <row r="50" spans="3:8">
      <c r="C50" s="20"/>
      <c r="D50" s="88"/>
    </row>
    <row r="51" spans="3:8">
      <c r="C51" s="20"/>
      <c r="D51" s="88"/>
    </row>
    <row r="52" spans="3:8">
      <c r="C52" s="20"/>
      <c r="D52" s="88"/>
      <c r="F52" s="9"/>
      <c r="G52" s="9"/>
      <c r="H52" s="9"/>
    </row>
    <row r="53" spans="3:8">
      <c r="C53" s="20"/>
      <c r="D53" s="88"/>
      <c r="G53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85546875" style="7" customWidth="1"/>
    <col min="5" max="5" width="10.5703125" style="7" customWidth="1"/>
    <col min="6" max="6" width="10" style="7" customWidth="1"/>
    <col min="7" max="7" width="8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96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29</v>
      </c>
      <c r="C13" s="25">
        <f>+'Resumen exportaciones totales'!C13</f>
        <v>2885.3491748199885</v>
      </c>
      <c r="D13" s="25">
        <f>+'Resumen exportaciones totales'!D13</f>
        <v>2945.0571258000468</v>
      </c>
      <c r="E13" s="25">
        <f>IF(OR(OR(D13=0,C13=0),D13=""),"",(D13/C13-1)*100)</f>
        <v>2.0693492316673723</v>
      </c>
      <c r="F13" s="23">
        <f>(D13/D$13)*100</f>
        <v>100</v>
      </c>
      <c r="G13" s="25">
        <f>+'Resumen exportaciones totales'!G13</f>
        <v>243.16203335999964</v>
      </c>
      <c r="H13" s="25">
        <f>+'Resumen exportaciones totales'!H13</f>
        <v>281.09912179000025</v>
      </c>
      <c r="I13" s="25">
        <f>IF(OR(OR(H13=0,G13=0),H13=""),"",(H13/G13-1)*100)</f>
        <v>15.601567360573521</v>
      </c>
      <c r="J13" s="23">
        <f>(H13/H$13)*100</f>
        <v>100</v>
      </c>
      <c r="K13" s="16"/>
    </row>
    <row r="14" spans="1:14">
      <c r="A14" s="14"/>
      <c r="B14" s="9" t="str">
        <f>[7]XX!E2</f>
        <v>Productos quimicos</v>
      </c>
      <c r="C14" s="22">
        <f>[7]XX!C2/1000000</f>
        <v>540.17002281999817</v>
      </c>
      <c r="D14" s="25">
        <f>[7]XX!G2/1000000</f>
        <v>485.09351039999945</v>
      </c>
      <c r="E14" s="22">
        <f t="shared" ref="E14:E47" si="0">IF(OR(OR(D14=0,C14=0),D14=""),"",(D14/C14-1)*100)</f>
        <v>-10.196143823840442</v>
      </c>
      <c r="F14" s="22">
        <f t="shared" ref="F14:F47" si="1">(D14/D$13)*100</f>
        <v>16.471446551931322</v>
      </c>
      <c r="G14" s="22">
        <f>[7]XX!D2/1000000</f>
        <v>44.462261259999963</v>
      </c>
      <c r="H14" s="25">
        <f>[7]XX!H2/1000000</f>
        <v>42.492614719999892</v>
      </c>
      <c r="I14" s="22">
        <f t="shared" ref="I14" si="2">IF(OR(OR(H14=0,G14=0),H14=""),"",(H14/G14-1)*100)</f>
        <v>-4.4299288524311864</v>
      </c>
      <c r="J14" s="22">
        <f>(H14/H$13)*100</f>
        <v>15.116594619511014</v>
      </c>
      <c r="K14" s="16"/>
    </row>
    <row r="15" spans="1:14">
      <c r="A15" s="14"/>
      <c r="B15" s="9" t="str">
        <f>[7]XX!E3</f>
        <v>Agricultura</v>
      </c>
      <c r="C15" s="22">
        <f>[7]XX!C3/1000000</f>
        <v>164.22347725000023</v>
      </c>
      <c r="D15" s="25">
        <f>[7]XX!G3/1000000</f>
        <v>441.73218553000089</v>
      </c>
      <c r="E15" s="22">
        <f t="shared" si="0"/>
        <v>168.98236045601715</v>
      </c>
      <c r="F15" s="22">
        <f t="shared" si="1"/>
        <v>14.999104148446731</v>
      </c>
      <c r="G15" s="22">
        <f>[7]XX!D3/1000000</f>
        <v>23.187387370000003</v>
      </c>
      <c r="H15" s="25">
        <f>[7]XX!H3/1000000</f>
        <v>78.608446719999989</v>
      </c>
      <c r="I15" s="22">
        <f t="shared" ref="I15:I47" si="3">IF(OR(OR(H15=0,G15=0),H15=""),"",(H15/G15-1)*100)</f>
        <v>239.01381585449394</v>
      </c>
      <c r="J15" s="22">
        <f t="shared" ref="J15:J47" si="4">(H15/H$13)*100</f>
        <v>27.964671756863662</v>
      </c>
      <c r="K15" s="16"/>
    </row>
    <row r="16" spans="1:14">
      <c r="A16" s="14"/>
      <c r="B16" s="9" t="str">
        <f>[7]XX!E4</f>
        <v>Alimentos y bebidas</v>
      </c>
      <c r="C16" s="22">
        <f>[7]XX!C4/1000000</f>
        <v>239.1795794300003</v>
      </c>
      <c r="D16" s="25">
        <f>[7]XX!G4/1000000</f>
        <v>263.54581571000091</v>
      </c>
      <c r="E16" s="22">
        <f t="shared" si="0"/>
        <v>10.187423331903545</v>
      </c>
      <c r="F16" s="22">
        <f t="shared" si="1"/>
        <v>8.9487505488847425</v>
      </c>
      <c r="G16" s="22">
        <f>[7]XX!D4/1000000</f>
        <v>21.033372180000011</v>
      </c>
      <c r="H16" s="25">
        <f>[7]XX!H4/1000000</f>
        <v>29.928040759999995</v>
      </c>
      <c r="I16" s="22">
        <f t="shared" si="3"/>
        <v>42.288362055693817</v>
      </c>
      <c r="J16" s="22">
        <f t="shared" si="4"/>
        <v>10.64679269341803</v>
      </c>
      <c r="K16" s="16"/>
    </row>
    <row r="17" spans="1:11">
      <c r="A17" s="14"/>
      <c r="B17" s="9" t="str">
        <f>[7]XX!E5</f>
        <v>Equipos de transporte</v>
      </c>
      <c r="C17" s="22">
        <f>[7]XX!C5/1000000</f>
        <v>88.804713230000019</v>
      </c>
      <c r="D17" s="25">
        <f>[7]XX!G5/1000000</f>
        <v>223.26231513000002</v>
      </c>
      <c r="E17" s="22">
        <f t="shared" si="0"/>
        <v>151.40818207673408</v>
      </c>
      <c r="F17" s="22">
        <f t="shared" si="1"/>
        <v>7.5809162808463064</v>
      </c>
      <c r="G17" s="22">
        <f>[7]XX!D5/1000000</f>
        <v>14.411545030000003</v>
      </c>
      <c r="H17" s="25">
        <f>[7]XX!H5/1000000</f>
        <v>0.80169714999999997</v>
      </c>
      <c r="I17" s="22">
        <f t="shared" si="3"/>
        <v>-94.437118655001001</v>
      </c>
      <c r="J17" s="22">
        <f t="shared" si="4"/>
        <v>0.28520087323464532</v>
      </c>
      <c r="K17" s="16"/>
    </row>
    <row r="18" spans="1:11">
      <c r="A18" s="14"/>
      <c r="B18" s="9" t="str">
        <f>[7]XX!E6</f>
        <v>Textiles</v>
      </c>
      <c r="C18" s="22">
        <f>[7]XX!C6/1000000</f>
        <v>276.71608751000167</v>
      </c>
      <c r="D18" s="25">
        <f>[7]XX!G6/1000000</f>
        <v>178.86677078999867</v>
      </c>
      <c r="E18" s="22">
        <f t="shared" si="0"/>
        <v>-35.360906407895897</v>
      </c>
      <c r="F18" s="22">
        <f t="shared" si="1"/>
        <v>6.0734567497195213</v>
      </c>
      <c r="G18" s="22">
        <f>[7]XX!D6/1000000</f>
        <v>13.770143540000022</v>
      </c>
      <c r="H18" s="25">
        <f>[7]XX!H6/1000000</f>
        <v>16.759985760000003</v>
      </c>
      <c r="I18" s="22">
        <f t="shared" si="3"/>
        <v>21.712498575740891</v>
      </c>
      <c r="J18" s="22">
        <f t="shared" si="4"/>
        <v>5.9623045612077101</v>
      </c>
      <c r="K18" s="16"/>
    </row>
    <row r="19" spans="1:11">
      <c r="A19" s="14"/>
      <c r="B19" s="9" t="str">
        <f>[7]XX!E7</f>
        <v>Caucho y de plastico</v>
      </c>
      <c r="C19" s="22">
        <f>[7]XX!C7/1000000</f>
        <v>176.77186200000017</v>
      </c>
      <c r="D19" s="25">
        <f>[7]XX!G7/1000000</f>
        <v>172.0153424400001</v>
      </c>
      <c r="E19" s="22">
        <f t="shared" si="0"/>
        <v>-2.6907673575334412</v>
      </c>
      <c r="F19" s="22">
        <f t="shared" si="1"/>
        <v>5.8408151384591847</v>
      </c>
      <c r="G19" s="22">
        <f>[7]XX!D7/1000000</f>
        <v>16.012060380000012</v>
      </c>
      <c r="H19" s="25">
        <f>[7]XX!H7/1000000</f>
        <v>12.124347799999995</v>
      </c>
      <c r="I19" s="22">
        <f t="shared" si="3"/>
        <v>-24.279902072165516</v>
      </c>
      <c r="J19" s="22">
        <f t="shared" si="4"/>
        <v>4.3131930554580995</v>
      </c>
      <c r="K19" s="16"/>
    </row>
    <row r="20" spans="1:11">
      <c r="A20" s="14"/>
      <c r="B20" s="9" t="str">
        <f>[7]XX!E8</f>
        <v>Vehículos automotores</v>
      </c>
      <c r="C20" s="22">
        <f>[7]XX!C8/1000000</f>
        <v>116.12807101999991</v>
      </c>
      <c r="D20" s="25">
        <f>[7]XX!G8/1000000</f>
        <v>148.87785823000002</v>
      </c>
      <c r="E20" s="22">
        <f t="shared" si="0"/>
        <v>28.20143908561079</v>
      </c>
      <c r="F20" s="22">
        <f t="shared" si="1"/>
        <v>5.0551772638215375</v>
      </c>
      <c r="G20" s="22">
        <f>[7]XX!D8/1000000</f>
        <v>11.364863650000002</v>
      </c>
      <c r="H20" s="25">
        <f>[7]XX!H8/1000000</f>
        <v>8.5679608499999933</v>
      </c>
      <c r="I20" s="22">
        <f t="shared" si="3"/>
        <v>-24.610086721102086</v>
      </c>
      <c r="J20" s="22">
        <f t="shared" si="4"/>
        <v>3.0480212088321039</v>
      </c>
      <c r="K20" s="16"/>
    </row>
    <row r="21" spans="1:11">
      <c r="A21" s="14"/>
      <c r="B21" s="9" t="str">
        <f>[7]XX!E9</f>
        <v>Edición</v>
      </c>
      <c r="C21" s="22">
        <f>[7]XX!C9/1000000</f>
        <v>128.91567903999999</v>
      </c>
      <c r="D21" s="25">
        <f>[7]XX!G9/1000000</f>
        <v>108.5620802200002</v>
      </c>
      <c r="E21" s="22">
        <f t="shared" si="0"/>
        <v>-15.788303619518985</v>
      </c>
      <c r="F21" s="22">
        <f t="shared" si="1"/>
        <v>3.6862470092327495</v>
      </c>
      <c r="G21" s="22">
        <f>[7]XX!D9/1000000</f>
        <v>13.870080759999993</v>
      </c>
      <c r="H21" s="25">
        <f>[7]XX!H9/1000000</f>
        <v>8.7700865099999952</v>
      </c>
      <c r="I21" s="22">
        <f t="shared" si="3"/>
        <v>-36.769751656442416</v>
      </c>
      <c r="J21" s="22">
        <f t="shared" si="4"/>
        <v>3.1199266842789473</v>
      </c>
      <c r="K21" s="16"/>
    </row>
    <row r="22" spans="1:11">
      <c r="A22" s="14"/>
      <c r="B22" s="9" t="str">
        <f>[7]XX!E10</f>
        <v>Prendas de vestir</v>
      </c>
      <c r="C22" s="22">
        <f>[7]XX!C10/1000000</f>
        <v>97.515189960000384</v>
      </c>
      <c r="D22" s="25">
        <f>[7]XX!G10/1000000</f>
        <v>100.44746827000004</v>
      </c>
      <c r="E22" s="22">
        <f t="shared" si="0"/>
        <v>3.0069964599386489</v>
      </c>
      <c r="F22" s="22">
        <f t="shared" si="1"/>
        <v>3.4107137477923364</v>
      </c>
      <c r="G22" s="22">
        <f>[7]XX!D10/1000000</f>
        <v>7.7864234700000008</v>
      </c>
      <c r="H22" s="25">
        <f>[7]XX!H10/1000000</f>
        <v>13.442008340000028</v>
      </c>
      <c r="I22" s="22">
        <f t="shared" si="3"/>
        <v>72.633923543847885</v>
      </c>
      <c r="J22" s="22">
        <f t="shared" si="4"/>
        <v>4.7819460460791126</v>
      </c>
      <c r="K22" s="16"/>
    </row>
    <row r="23" spans="1:11">
      <c r="A23" s="14"/>
      <c r="B23" s="9" t="str">
        <f>[7]XX!E11</f>
        <v>Refinación del petroleo</v>
      </c>
      <c r="C23" s="22">
        <f>[7]XX!C11/1000000</f>
        <v>84.987225169999945</v>
      </c>
      <c r="D23" s="25">
        <f>[7]XX!G11/1000000</f>
        <v>96.420201819999988</v>
      </c>
      <c r="E23" s="22">
        <f t="shared" si="0"/>
        <v>13.452582581829997</v>
      </c>
      <c r="F23" s="22">
        <f t="shared" si="1"/>
        <v>3.2739671151134875</v>
      </c>
      <c r="G23" s="22">
        <f>[7]XX!D11/1000000</f>
        <v>8.5600592499999983</v>
      </c>
      <c r="H23" s="25">
        <f>[7]XX!H11/1000000</f>
        <v>8.4928852299999988</v>
      </c>
      <c r="I23" s="22">
        <f t="shared" si="3"/>
        <v>-0.78473779255674447</v>
      </c>
      <c r="J23" s="22">
        <f t="shared" si="4"/>
        <v>3.0213133274549144</v>
      </c>
      <c r="K23" s="16"/>
    </row>
    <row r="24" spans="1:11">
      <c r="A24" s="14"/>
      <c r="B24" s="9" t="str">
        <f>[7]XX!E12</f>
        <v>Maquinaria y equipo</v>
      </c>
      <c r="C24" s="22">
        <f>[7]XX!C12/1000000</f>
        <v>123.08789942000044</v>
      </c>
      <c r="D24" s="25">
        <f>[7]XX!G12/1000000</f>
        <v>94.85613661000022</v>
      </c>
      <c r="E24" s="22">
        <f t="shared" si="0"/>
        <v>-22.936261763366204</v>
      </c>
      <c r="F24" s="22">
        <f t="shared" si="1"/>
        <v>3.2208589700694463</v>
      </c>
      <c r="G24" s="22">
        <f>[7]XX!D12/1000000</f>
        <v>7.4693463400000049</v>
      </c>
      <c r="H24" s="25">
        <f>[7]XX!H12/1000000</f>
        <v>6.0534043599999992</v>
      </c>
      <c r="I24" s="22">
        <f t="shared" si="3"/>
        <v>-18.956705386886707</v>
      </c>
      <c r="J24" s="22">
        <f t="shared" si="4"/>
        <v>2.1534767954637353</v>
      </c>
      <c r="K24" s="16"/>
    </row>
    <row r="25" spans="1:11">
      <c r="A25" s="14"/>
      <c r="B25" s="9" t="str">
        <f>[7]XX!E13</f>
        <v>Cueros</v>
      </c>
      <c r="C25" s="22">
        <f>[7]XX!C13/1000000</f>
        <v>80.281861370000158</v>
      </c>
      <c r="D25" s="25">
        <f>[7]XX!G13/1000000</f>
        <v>90.3426153300002</v>
      </c>
      <c r="E25" s="22">
        <f t="shared" si="0"/>
        <v>12.53178960765795</v>
      </c>
      <c r="F25" s="22">
        <f t="shared" si="1"/>
        <v>3.0676014580008513</v>
      </c>
      <c r="G25" s="22">
        <f>[7]XX!D13/1000000</f>
        <v>6.8645691500000048</v>
      </c>
      <c r="H25" s="25">
        <f>[7]XX!H13/1000000</f>
        <v>9.2212147799999933</v>
      </c>
      <c r="I25" s="22">
        <f t="shared" si="3"/>
        <v>34.330568729138463</v>
      </c>
      <c r="J25" s="22">
        <f t="shared" si="4"/>
        <v>3.2804139412747277</v>
      </c>
      <c r="K25" s="16"/>
    </row>
    <row r="26" spans="1:11">
      <c r="A26" s="14"/>
      <c r="B26" s="9" t="str">
        <f>[7]XX!E14</f>
        <v>Muebles industrias</v>
      </c>
      <c r="C26" s="22">
        <f>[7]XX!C14/1000000</f>
        <v>86.725755519999637</v>
      </c>
      <c r="D26" s="25">
        <f>[7]XX!G14/1000000</f>
        <v>89.110496670000103</v>
      </c>
      <c r="E26" s="22">
        <f t="shared" si="0"/>
        <v>2.7497496397716814</v>
      </c>
      <c r="F26" s="22">
        <f t="shared" si="1"/>
        <v>3.0257646240322953</v>
      </c>
      <c r="G26" s="22">
        <f>[7]XX!D14/1000000</f>
        <v>7.1048728099999856</v>
      </c>
      <c r="H26" s="25">
        <f>[7]XX!H14/1000000</f>
        <v>9.334894439999994</v>
      </c>
      <c r="I26" s="22">
        <f t="shared" si="3"/>
        <v>31.387213953517801</v>
      </c>
      <c r="J26" s="22">
        <f t="shared" si="4"/>
        <v>3.3208550708222351</v>
      </c>
      <c r="K26" s="16"/>
    </row>
    <row r="27" spans="1:11">
      <c r="A27" s="14"/>
      <c r="B27" s="9" t="str">
        <f>[7]XX!E15</f>
        <v>Aparatos electricos</v>
      </c>
      <c r="C27" s="22">
        <f>[7]XX!C15/1000000</f>
        <v>207.1178492999999</v>
      </c>
      <c r="D27" s="25">
        <f>[7]XX!G15/1000000</f>
        <v>75.084148169999864</v>
      </c>
      <c r="E27" s="22">
        <f t="shared" si="0"/>
        <v>-63.748103592344563</v>
      </c>
      <c r="F27" s="22">
        <f t="shared" si="1"/>
        <v>2.5494971731525475</v>
      </c>
      <c r="G27" s="22">
        <f>[7]XX!D15/1000000</f>
        <v>10.662204850000009</v>
      </c>
      <c r="H27" s="25">
        <f>[7]XX!H15/1000000</f>
        <v>3.6841100499999988</v>
      </c>
      <c r="I27" s="22">
        <f t="shared" si="3"/>
        <v>-65.447014929562201</v>
      </c>
      <c r="J27" s="22">
        <f t="shared" si="4"/>
        <v>1.3106088793661455</v>
      </c>
      <c r="K27" s="16"/>
    </row>
    <row r="28" spans="1:11">
      <c r="A28" s="14"/>
      <c r="B28" s="9" t="str">
        <f>[7]XX!E16</f>
        <v>Productos metalúrgicos</v>
      </c>
      <c r="C28" s="22">
        <f>[7]XX!C16/1000000</f>
        <v>46.064627279999939</v>
      </c>
      <c r="D28" s="25">
        <f>[7]XX!G16/1000000</f>
        <v>72.984175369999988</v>
      </c>
      <c r="E28" s="22">
        <f t="shared" si="0"/>
        <v>58.438653864215276</v>
      </c>
      <c r="F28" s="22">
        <f t="shared" si="1"/>
        <v>2.4781921793850872</v>
      </c>
      <c r="G28" s="22">
        <f>[7]XX!D16/1000000</f>
        <v>6.5153962000000014</v>
      </c>
      <c r="H28" s="25">
        <f>[7]XX!H16/1000000</f>
        <v>3.9435354699999983</v>
      </c>
      <c r="I28" s="22">
        <f t="shared" si="3"/>
        <v>-39.473589188636026</v>
      </c>
      <c r="J28" s="22">
        <f t="shared" si="4"/>
        <v>1.4028985380274797</v>
      </c>
      <c r="K28" s="16"/>
    </row>
    <row r="29" spans="1:11">
      <c r="A29" s="14"/>
      <c r="B29" s="9" t="str">
        <f>[7]XX!E17</f>
        <v>Productos de metal</v>
      </c>
      <c r="C29" s="22">
        <f>[7]XX!C17/1000000</f>
        <v>75.551196069999946</v>
      </c>
      <c r="D29" s="25">
        <f>[7]XX!G17/1000000</f>
        <v>66.041153879999953</v>
      </c>
      <c r="E29" s="22">
        <f t="shared" si="0"/>
        <v>-12.587546835378649</v>
      </c>
      <c r="F29" s="22">
        <f t="shared" si="1"/>
        <v>2.2424405048530045</v>
      </c>
      <c r="G29" s="22">
        <f>[7]XX!D17/1000000</f>
        <v>6.9579613299999981</v>
      </c>
      <c r="H29" s="25">
        <f>[7]XX!H17/1000000</f>
        <v>5.5296955200000051</v>
      </c>
      <c r="I29" s="22">
        <f t="shared" si="3"/>
        <v>-20.527073121862173</v>
      </c>
      <c r="J29" s="22">
        <f t="shared" si="4"/>
        <v>1.9671692621405823</v>
      </c>
      <c r="K29" s="16"/>
    </row>
    <row r="30" spans="1:11">
      <c r="A30" s="14"/>
      <c r="B30" s="9" t="str">
        <f>[7]XX!E18</f>
        <v>Minerales no metálicos</v>
      </c>
      <c r="C30" s="22">
        <f>[7]XX!C18/1000000</f>
        <v>70.441389220000033</v>
      </c>
      <c r="D30" s="25">
        <f>[7]XX!G18/1000000</f>
        <v>63.953337849999933</v>
      </c>
      <c r="E30" s="22">
        <f t="shared" si="0"/>
        <v>-9.2105670286212753</v>
      </c>
      <c r="F30" s="22">
        <f t="shared" si="1"/>
        <v>2.171548296626896</v>
      </c>
      <c r="G30" s="22">
        <f>[7]XX!D18/1000000</f>
        <v>5.8332093999999968</v>
      </c>
      <c r="H30" s="25">
        <f>[7]XX!H18/1000000</f>
        <v>5.3886458399999944</v>
      </c>
      <c r="I30" s="22">
        <f t="shared" si="3"/>
        <v>-7.6212515189323149</v>
      </c>
      <c r="J30" s="22">
        <f t="shared" si="4"/>
        <v>1.9169913465705064</v>
      </c>
      <c r="K30" s="16"/>
    </row>
    <row r="31" spans="1:11">
      <c r="A31" s="14"/>
      <c r="B31" s="9" t="str">
        <f>[7]XX!E19</f>
        <v>Equipo de radio</v>
      </c>
      <c r="C31" s="22">
        <f>[7]XX!C19/1000000</f>
        <v>53.208865300000021</v>
      </c>
      <c r="D31" s="25">
        <f>[7]XX!G19/1000000</f>
        <v>50.025223619999956</v>
      </c>
      <c r="E31" s="22">
        <f t="shared" si="0"/>
        <v>-5.9832918105849231</v>
      </c>
      <c r="F31" s="22">
        <f t="shared" si="1"/>
        <v>1.6986164099078462</v>
      </c>
      <c r="G31" s="22">
        <f>[7]XX!D19/1000000</f>
        <v>2.7933121499999998</v>
      </c>
      <c r="H31" s="25">
        <f>[7]XX!H19/1000000</f>
        <v>2.1033426500000001</v>
      </c>
      <c r="I31" s="22">
        <f t="shared" si="3"/>
        <v>-24.700766078005277</v>
      </c>
      <c r="J31" s="22">
        <f t="shared" si="4"/>
        <v>0.74825657106511234</v>
      </c>
      <c r="K31" s="16"/>
    </row>
    <row r="32" spans="1:11">
      <c r="A32" s="14"/>
      <c r="B32" s="9" t="str">
        <f>[7]XX!E20</f>
        <v>Carbón</v>
      </c>
      <c r="C32" s="22">
        <f>[7]XX!C20/1000000</f>
        <v>73.714707780000012</v>
      </c>
      <c r="D32" s="25">
        <f>[7]XX!G20/1000000</f>
        <v>38.282393099999993</v>
      </c>
      <c r="E32" s="22">
        <f t="shared" si="0"/>
        <v>-48.066818342069553</v>
      </c>
      <c r="F32" s="22">
        <f t="shared" si="1"/>
        <v>1.2998862658597936</v>
      </c>
      <c r="G32" s="22">
        <f>[7]XX!D20/1000000</f>
        <v>4.4788829999999997</v>
      </c>
      <c r="H32" s="25">
        <f>[7]XX!H20/1000000</f>
        <v>6.8396566000000005</v>
      </c>
      <c r="I32" s="22">
        <f t="shared" si="3"/>
        <v>52.708981234830233</v>
      </c>
      <c r="J32" s="22">
        <f t="shared" si="4"/>
        <v>2.4331831976016201</v>
      </c>
      <c r="K32" s="16"/>
    </row>
    <row r="33" spans="1:11">
      <c r="A33" s="14"/>
      <c r="B33" s="9" t="str">
        <f>[7]XX!E21</f>
        <v>Instrumentos médicos</v>
      </c>
      <c r="C33" s="22">
        <f>[7]XX!C21/1000000</f>
        <v>39.420483810000043</v>
      </c>
      <c r="D33" s="25">
        <f>[7]XX!G21/1000000</f>
        <v>23.901199950000041</v>
      </c>
      <c r="E33" s="22">
        <f t="shared" si="0"/>
        <v>-39.368577856122421</v>
      </c>
      <c r="F33" s="22">
        <f t="shared" si="1"/>
        <v>0.81156999436834709</v>
      </c>
      <c r="G33" s="22">
        <f>[7]XX!D21/1000000</f>
        <v>1.9201894400000001</v>
      </c>
      <c r="H33" s="25">
        <f>[7]XX!H21/1000000</f>
        <v>1.9890610699999989</v>
      </c>
      <c r="I33" s="22">
        <f t="shared" si="3"/>
        <v>3.5867101737627971</v>
      </c>
      <c r="J33" s="22">
        <f t="shared" si="4"/>
        <v>0.70760131064584397</v>
      </c>
      <c r="K33" s="16"/>
    </row>
    <row r="34" spans="1:11">
      <c r="A34" s="14"/>
      <c r="B34" s="9" t="str">
        <f>[7]XX!E22</f>
        <v>Papel</v>
      </c>
      <c r="C34" s="22">
        <f>[7]XX!C22/1000000</f>
        <v>34.065571900000023</v>
      </c>
      <c r="D34" s="25">
        <f>[7]XX!G22/1000000</f>
        <v>14.791571370000007</v>
      </c>
      <c r="E34" s="22">
        <f t="shared" si="0"/>
        <v>-56.57911919570622</v>
      </c>
      <c r="F34" s="22">
        <f t="shared" si="1"/>
        <v>0.50225074550911353</v>
      </c>
      <c r="G34" s="22">
        <f>[7]XX!D22/1000000</f>
        <v>1.7827541900000003</v>
      </c>
      <c r="H34" s="25">
        <f>[7]XX!H22/1000000</f>
        <v>1.7027139200000012</v>
      </c>
      <c r="I34" s="22">
        <f t="shared" si="3"/>
        <v>-4.4896974831958758</v>
      </c>
      <c r="J34" s="22">
        <f t="shared" si="4"/>
        <v>0.60573434351461319</v>
      </c>
      <c r="K34" s="16"/>
    </row>
    <row r="35" spans="1:11">
      <c r="A35" s="14"/>
      <c r="B35" s="9" t="str">
        <f>[7]XX!E23</f>
        <v>Sin información</v>
      </c>
      <c r="C35" s="22">
        <f>[7]XX!C23/1000000</f>
        <v>6.6718062500000004</v>
      </c>
      <c r="D35" s="25">
        <f>[7]XX!G23/1000000</f>
        <v>14.633827119999998</v>
      </c>
      <c r="E35" s="22">
        <f t="shared" si="0"/>
        <v>119.33831067111696</v>
      </c>
      <c r="F35" s="22">
        <f t="shared" si="1"/>
        <v>0.49689450815065628</v>
      </c>
      <c r="G35" s="22">
        <f>[7]XX!D23/1000000</f>
        <v>0.43066773999999991</v>
      </c>
      <c r="H35" s="25">
        <f>[7]XX!H23/1000000</f>
        <v>2.8142792999999999</v>
      </c>
      <c r="I35" s="22">
        <f t="shared" si="3"/>
        <v>553.46879708240988</v>
      </c>
      <c r="J35" s="22">
        <f t="shared" si="4"/>
        <v>1.0011697233627266</v>
      </c>
      <c r="K35" s="16"/>
    </row>
    <row r="36" spans="1:11">
      <c r="A36" s="14"/>
      <c r="B36" s="9" t="str">
        <f>[7]XX!E24</f>
        <v>Pesca</v>
      </c>
      <c r="C36" s="22">
        <f>[7]XX!C24/1000000</f>
        <v>8.451606899999998</v>
      </c>
      <c r="D36" s="25">
        <f>[7]XX!G24/1000000</f>
        <v>8.5747217599999992</v>
      </c>
      <c r="E36" s="22">
        <f t="shared" si="0"/>
        <v>1.4567035766890779</v>
      </c>
      <c r="F36" s="22">
        <f t="shared" si="1"/>
        <v>0.29115638148005746</v>
      </c>
      <c r="G36" s="22">
        <f>[7]XX!D24/1000000</f>
        <v>0.73489093000000005</v>
      </c>
      <c r="H36" s="25">
        <f>[7]XX!H24/1000000</f>
        <v>0.58350838999999999</v>
      </c>
      <c r="I36" s="22">
        <f t="shared" si="3"/>
        <v>-20.599320772675757</v>
      </c>
      <c r="J36" s="22">
        <f t="shared" si="4"/>
        <v>0.20758100782538894</v>
      </c>
      <c r="K36" s="16"/>
    </row>
    <row r="37" spans="1:11">
      <c r="A37" s="14"/>
      <c r="B37" s="9" t="str">
        <f>[7]XX!E25</f>
        <v>Maquinaria de oficina</v>
      </c>
      <c r="C37" s="22">
        <f>[7]XX!C25/1000000</f>
        <v>8.9116349599999882</v>
      </c>
      <c r="D37" s="25">
        <f>[7]XX!G25/1000000</f>
        <v>7.2497271799999945</v>
      </c>
      <c r="E37" s="22">
        <f t="shared" si="0"/>
        <v>-18.648741644597123</v>
      </c>
      <c r="F37" s="22">
        <f t="shared" si="1"/>
        <v>0.24616592718997096</v>
      </c>
      <c r="G37" s="22">
        <f>[7]XX!D25/1000000</f>
        <v>0.30222688000000009</v>
      </c>
      <c r="H37" s="25">
        <f>[7]XX!H25/1000000</f>
        <v>0.95009178999999977</v>
      </c>
      <c r="I37" s="22">
        <f t="shared" si="3"/>
        <v>214.36376208496063</v>
      </c>
      <c r="J37" s="22">
        <f t="shared" si="4"/>
        <v>0.3379917318666622</v>
      </c>
      <c r="K37" s="16"/>
    </row>
    <row r="38" spans="1:11">
      <c r="A38" s="14"/>
      <c r="B38" s="9" t="str">
        <f>[7]XX!E26</f>
        <v>Madera</v>
      </c>
      <c r="C38" s="22">
        <f>[7]XX!C26/1000000</f>
        <v>6.426908830000003</v>
      </c>
      <c r="D38" s="25">
        <f>[7]XX!G26/1000000</f>
        <v>5.0753445300000015</v>
      </c>
      <c r="E38" s="22">
        <f t="shared" si="0"/>
        <v>-21.029772410821657</v>
      </c>
      <c r="F38" s="22">
        <f t="shared" si="1"/>
        <v>0.17233433217772462</v>
      </c>
      <c r="G38" s="22">
        <f>[7]XX!D26/1000000</f>
        <v>0.31400979000000001</v>
      </c>
      <c r="H38" s="25">
        <f>[7]XX!H26/1000000</f>
        <v>0.35320164999999998</v>
      </c>
      <c r="I38" s="22">
        <f t="shared" si="3"/>
        <v>12.481094936562309</v>
      </c>
      <c r="J38" s="22">
        <f t="shared" si="4"/>
        <v>0.12565021468258628</v>
      </c>
      <c r="K38" s="16"/>
    </row>
    <row r="39" spans="1:11">
      <c r="A39" s="14"/>
      <c r="B39" s="9" t="str">
        <f>[7]XX!E27</f>
        <v>Minerales metaliferos</v>
      </c>
      <c r="C39" s="22">
        <f>[7]XX!C27/1000000</f>
        <v>34.337897900000009</v>
      </c>
      <c r="D39" s="25">
        <f>[7]XX!G27/1000000</f>
        <v>3.7060697299999998</v>
      </c>
      <c r="E39" s="22">
        <f t="shared" si="0"/>
        <v>-89.207057051678177</v>
      </c>
      <c r="F39" s="22">
        <f t="shared" si="1"/>
        <v>0.12584033421739546</v>
      </c>
      <c r="G39" s="22">
        <f>[7]XX!D27/1000000</f>
        <v>2.9729193299999999</v>
      </c>
      <c r="H39" s="25">
        <f>[7]XX!H27/1000000</f>
        <v>0</v>
      </c>
      <c r="I39" s="22" t="str">
        <f t="shared" si="3"/>
        <v/>
      </c>
      <c r="J39" s="22">
        <f t="shared" si="4"/>
        <v>0</v>
      </c>
      <c r="K39" s="16"/>
    </row>
    <row r="40" spans="1:11">
      <c r="A40" s="14"/>
      <c r="B40" s="9" t="str">
        <f>[7]XX!E28</f>
        <v>Reciclaje</v>
      </c>
      <c r="C40" s="22">
        <f>[7]XX!C28/1000000</f>
        <v>1.7232697400000003</v>
      </c>
      <c r="D40" s="25">
        <f>[7]XX!G28/1000000</f>
        <v>3.4105587800000001</v>
      </c>
      <c r="E40" s="22">
        <f t="shared" si="0"/>
        <v>97.912068020181181</v>
      </c>
      <c r="F40" s="22">
        <f t="shared" si="1"/>
        <v>0.11580620118102111</v>
      </c>
      <c r="G40" s="22">
        <f>[7]XX!D28/1000000</f>
        <v>0.12532793</v>
      </c>
      <c r="H40" s="25">
        <f>[7]XX!H28/1000000</f>
        <v>0.39869729000000004</v>
      </c>
      <c r="I40" s="22">
        <f t="shared" si="3"/>
        <v>218.1232547286148</v>
      </c>
      <c r="J40" s="22">
        <f t="shared" si="4"/>
        <v>0.14183512472794327</v>
      </c>
      <c r="K40" s="16"/>
    </row>
    <row r="41" spans="1:11">
      <c r="A41" s="14"/>
      <c r="B41" s="9" t="str">
        <f>[7]XX!E29</f>
        <v>Minerales no metalicos</v>
      </c>
      <c r="C41" s="22">
        <f>[7]XX!C29/1000000</f>
        <v>11.940857770000003</v>
      </c>
      <c r="D41" s="25">
        <f>[7]XX!G29/1000000</f>
        <v>2.1306715699999996</v>
      </c>
      <c r="E41" s="22">
        <f t="shared" si="0"/>
        <v>-82.156461361150619</v>
      </c>
      <c r="F41" s="22">
        <f t="shared" si="1"/>
        <v>7.234737660381331E-2</v>
      </c>
      <c r="G41" s="22">
        <f>[7]XX!D29/1000000</f>
        <v>0.20453408000000001</v>
      </c>
      <c r="H41" s="25">
        <f>[7]XX!H29/1000000</f>
        <v>8.3364009999999988E-2</v>
      </c>
      <c r="I41" s="22">
        <f t="shared" si="3"/>
        <v>-59.241995270421441</v>
      </c>
      <c r="J41" s="22">
        <f t="shared" si="4"/>
        <v>2.9656446263207629E-2</v>
      </c>
      <c r="K41" s="16"/>
    </row>
    <row r="42" spans="1:11">
      <c r="A42" s="14"/>
      <c r="B42" s="9" t="str">
        <f>[7]XX!E30</f>
        <v>Tabaco</v>
      </c>
      <c r="C42" s="22">
        <f>[7]XX!C30/1000000</f>
        <v>2.58191945</v>
      </c>
      <c r="D42" s="25">
        <f>[7]XX!G30/1000000</f>
        <v>0.9661013100000001</v>
      </c>
      <c r="E42" s="22">
        <f t="shared" si="0"/>
        <v>-62.582050729739066</v>
      </c>
      <c r="F42" s="22">
        <f t="shared" si="1"/>
        <v>3.2804161981664498E-2</v>
      </c>
      <c r="G42" s="22">
        <f>[7]XX!D30/1000000</f>
        <v>1.1572260000000001</v>
      </c>
      <c r="H42" s="25">
        <f>[7]XX!H30/1000000</f>
        <v>1.1135600000000001E-2</v>
      </c>
      <c r="I42" s="22">
        <f t="shared" si="3"/>
        <v>-99.037733338172501</v>
      </c>
      <c r="J42" s="22">
        <f t="shared" si="4"/>
        <v>3.9614495872808296E-3</v>
      </c>
      <c r="K42" s="16"/>
    </row>
    <row r="43" spans="1:11">
      <c r="A43" s="14"/>
      <c r="B43" s="9" t="str">
        <f>[7]XX!E31</f>
        <v>Esparcimiento</v>
      </c>
      <c r="C43" s="22">
        <f>[7]XX!C31/1000000</f>
        <v>0.62862144000000009</v>
      </c>
      <c r="D43" s="25">
        <f>[7]XX!G31/1000000</f>
        <v>0.57423906000000002</v>
      </c>
      <c r="E43" s="22">
        <f t="shared" si="0"/>
        <v>-8.6510539634155776</v>
      </c>
      <c r="F43" s="22">
        <f t="shared" si="1"/>
        <v>1.9498401405168113E-2</v>
      </c>
      <c r="G43" s="22">
        <f>[7]XX!D31/1000000</f>
        <v>4.0825699999999999E-2</v>
      </c>
      <c r="H43" s="25">
        <f>[7]XX!H31/1000000</f>
        <v>5.4455330000000003E-2</v>
      </c>
      <c r="I43" s="22">
        <f t="shared" si="3"/>
        <v>33.384926651594469</v>
      </c>
      <c r="J43" s="22">
        <f t="shared" si="4"/>
        <v>1.9372287488212701E-2</v>
      </c>
      <c r="K43" s="16"/>
    </row>
    <row r="44" spans="1:11">
      <c r="A44" s="14"/>
      <c r="B44" s="9" t="str">
        <f>[7]XX!E32</f>
        <v>Silvicultura</v>
      </c>
      <c r="C44" s="22">
        <f>[7]XX!C32/1000000</f>
        <v>0.52317753999999983</v>
      </c>
      <c r="D44" s="25">
        <f>[7]XX!G32/1000000</f>
        <v>0.53248768999999996</v>
      </c>
      <c r="E44" s="22">
        <f t="shared" si="0"/>
        <v>1.7795393127923997</v>
      </c>
      <c r="F44" s="22">
        <f t="shared" si="1"/>
        <v>1.8080725339252823E-2</v>
      </c>
      <c r="G44" s="22">
        <f>[7]XX!D32/1000000</f>
        <v>3.8188130000000008E-2</v>
      </c>
      <c r="H44" s="25">
        <f>[7]XX!H32/1000000</f>
        <v>6.8815980000000013E-2</v>
      </c>
      <c r="I44" s="22">
        <f t="shared" si="3"/>
        <v>80.202539375455146</v>
      </c>
      <c r="J44" s="22">
        <f t="shared" si="4"/>
        <v>2.4481036995700797E-2</v>
      </c>
      <c r="K44" s="16"/>
    </row>
    <row r="45" spans="1:11">
      <c r="A45" s="14"/>
      <c r="B45" s="9" t="str">
        <f>[7]XX!E33</f>
        <v>Activ. empresariales</v>
      </c>
      <c r="C45" s="22">
        <f>[7]XX!C33/1000000</f>
        <v>4.7869419999999996E-2</v>
      </c>
      <c r="D45" s="25">
        <f>[7]XX!G33/1000000</f>
        <v>5.8213299999999996E-3</v>
      </c>
      <c r="E45" s="22">
        <f t="shared" si="0"/>
        <v>-87.839146578337491</v>
      </c>
      <c r="F45" s="22">
        <f t="shared" si="1"/>
        <v>1.9766441706690465E-4</v>
      </c>
      <c r="G45" s="22">
        <f>[7]XX!D33/1000000</f>
        <v>1.0009999999999999E-4</v>
      </c>
      <c r="H45" s="25">
        <f>[7]XX!H33/1000000</f>
        <v>3.2153299999999998E-3</v>
      </c>
      <c r="I45" s="22">
        <f t="shared" si="3"/>
        <v>3112.1178821178823</v>
      </c>
      <c r="J45" s="22">
        <f t="shared" si="4"/>
        <v>1.1438420652207036E-3</v>
      </c>
      <c r="K45" s="16"/>
    </row>
    <row r="46" spans="1:11">
      <c r="A46" s="14"/>
      <c r="B46" s="9" t="str">
        <f>[7]XX!E34</f>
        <v>Telecomunicaciones</v>
      </c>
      <c r="C46" s="22">
        <f>[7]XX!C34/1000000</f>
        <v>7.2796599999999994E-3</v>
      </c>
      <c r="D46" s="25">
        <f>[7]XX!G34/1000000</f>
        <v>8.6647999999999998E-4</v>
      </c>
      <c r="E46" s="22">
        <f t="shared" si="0"/>
        <v>-88.097246299964553</v>
      </c>
      <c r="F46" s="22">
        <f t="shared" si="1"/>
        <v>2.9421500602118683E-5</v>
      </c>
      <c r="G46" s="22">
        <f>[7]XX!D34/1000000</f>
        <v>0</v>
      </c>
      <c r="H46" s="25">
        <f>[7]XX!H34/1000000</f>
        <v>8.5800000000000009E-6</v>
      </c>
      <c r="I46" s="22" t="str">
        <f t="shared" si="3"/>
        <v/>
      </c>
      <c r="J46" s="22">
        <f t="shared" si="4"/>
        <v>3.0523040930771146E-6</v>
      </c>
      <c r="K46" s="16"/>
    </row>
    <row r="47" spans="1:11">
      <c r="A47" s="14"/>
      <c r="B47" s="9" t="str">
        <f>[7]XX!E35</f>
        <v>Comercio al por mayor</v>
      </c>
      <c r="C47" s="22">
        <f>[7]XX!C35/1000000</f>
        <v>4.2105599999999995E-3</v>
      </c>
      <c r="D47" s="25">
        <f>[7]XX!G35/1000000</f>
        <v>6.7879999999999991E-4</v>
      </c>
      <c r="E47" s="22">
        <f t="shared" si="0"/>
        <v>-83.878628970968222</v>
      </c>
      <c r="F47" s="22">
        <f t="shared" si="1"/>
        <v>2.304878890305392E-5</v>
      </c>
      <c r="G47" s="22">
        <f>[7]XX!D35/1000000</f>
        <v>2.2100000000000001E-4</v>
      </c>
      <c r="H47" s="25">
        <f>[7]XX!H35/1000000</f>
        <v>0</v>
      </c>
      <c r="I47" s="22" t="str">
        <f t="shared" si="3"/>
        <v/>
      </c>
      <c r="J47" s="22">
        <f t="shared" si="4"/>
        <v>0</v>
      </c>
      <c r="K47" s="16"/>
    </row>
    <row r="48" spans="1:11">
      <c r="A48" s="14"/>
      <c r="B48" s="9" t="str">
        <f>[7]XX!E36</f>
        <v>Petróleo</v>
      </c>
      <c r="C48" s="22">
        <f>[7]XX!C36/1000000</f>
        <v>0</v>
      </c>
      <c r="D48" s="25">
        <f>[7]XX!G36/1000000</f>
        <v>1.0000000000000001E-5</v>
      </c>
      <c r="E48" s="22" t="str">
        <f t="shared" ref="E48" si="5">IF(OR(OR(D48=0,C48=0),D48=""),"",(D48/C48-1)*100)</f>
        <v/>
      </c>
      <c r="F48" s="22">
        <f t="shared" ref="F48" si="6">(D48/D$13)*100</f>
        <v>3.3955198737557346E-7</v>
      </c>
      <c r="G48" s="22">
        <f>[7]XX!D36/1000000</f>
        <v>0</v>
      </c>
      <c r="H48" s="25">
        <f>[7]XX!H36/1000000</f>
        <v>0</v>
      </c>
      <c r="I48" s="22" t="str">
        <f t="shared" ref="I48" si="7">IF(OR(OR(H48=0,G48=0),H48=""),"",(H48/G48-1)*100)</f>
        <v/>
      </c>
      <c r="J48" s="22">
        <f t="shared" ref="J48" si="8">(H48/H$13)*100</f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26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 t="str">
        <f>+B14</f>
        <v>Productos quimicos</v>
      </c>
      <c r="D51" s="88">
        <f>F14</f>
        <v>16.471446551931322</v>
      </c>
      <c r="E51" s="20"/>
    </row>
    <row r="52" spans="1:11">
      <c r="B52" s="20"/>
      <c r="C52" s="20" t="str">
        <f t="shared" ref="C52:C54" si="9">+B15</f>
        <v>Agricultura</v>
      </c>
      <c r="D52" s="88">
        <f>F15</f>
        <v>14.999104148446731</v>
      </c>
      <c r="E52" s="20"/>
    </row>
    <row r="53" spans="1:11">
      <c r="C53" s="20" t="str">
        <f t="shared" si="9"/>
        <v>Alimentos y bebidas</v>
      </c>
      <c r="D53" s="88">
        <f>F16</f>
        <v>8.9487505488847425</v>
      </c>
    </row>
    <row r="54" spans="1:11">
      <c r="C54" s="20" t="str">
        <f t="shared" si="9"/>
        <v>Equipos de transporte</v>
      </c>
      <c r="D54" s="88">
        <f>F17</f>
        <v>7.5809162808463064</v>
      </c>
    </row>
    <row r="55" spans="1:11">
      <c r="C55" s="20" t="str">
        <f>+B18</f>
        <v>Textiles</v>
      </c>
      <c r="D55" s="88">
        <f>F18</f>
        <v>6.0734567497195213</v>
      </c>
    </row>
    <row r="56" spans="1:11">
      <c r="C56" s="20" t="str">
        <f t="shared" ref="C56:C58" si="10">+B39</f>
        <v>Minerales metaliferos</v>
      </c>
      <c r="D56" s="88">
        <f>F39</f>
        <v>0.12584033421739546</v>
      </c>
    </row>
    <row r="57" spans="1:11">
      <c r="C57" s="20" t="str">
        <f t="shared" si="10"/>
        <v>Reciclaje</v>
      </c>
      <c r="D57" s="88">
        <f>F40</f>
        <v>0.11580620118102111</v>
      </c>
    </row>
    <row r="58" spans="1:11">
      <c r="C58" s="20" t="str">
        <f t="shared" si="10"/>
        <v>Minerales no metalicos</v>
      </c>
      <c r="D58" s="88">
        <f>F41</f>
        <v>7.234737660381331E-2</v>
      </c>
    </row>
    <row r="59" spans="1:11">
      <c r="C59" s="20" t="s">
        <v>58</v>
      </c>
      <c r="D59" s="88">
        <f>SUM(D42:D47)</f>
        <v>2.08019467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97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79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3"/>
      <c r="F11" s="123"/>
      <c r="G11" s="110">
        <v>2009</v>
      </c>
      <c r="H11" s="110">
        <v>2010</v>
      </c>
      <c r="I11" s="123"/>
      <c r="J11" s="123"/>
      <c r="K11" s="16"/>
      <c r="N11" s="2"/>
    </row>
    <row r="12" spans="1:14" ht="12" customHeight="1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f>+'Resumen exportaciones totales'!C13</f>
        <v>2885.3491748199885</v>
      </c>
      <c r="D13" s="25">
        <f>+'Resumen exportaciones totales'!D13</f>
        <v>2945.0571258000468</v>
      </c>
      <c r="E13" s="25">
        <f>IF(OR(OR(D13=0,C13=0),D13=""),"",(D13/C13-1)*100)</f>
        <v>2.0693492316673723</v>
      </c>
      <c r="F13" s="23">
        <f>(D13/D$13)*100</f>
        <v>100</v>
      </c>
      <c r="G13" s="25">
        <f>+'Resumen exportaciones totales'!G13</f>
        <v>243.16203335999964</v>
      </c>
      <c r="H13" s="25">
        <f>+'Resumen exportaciones totales'!H13</f>
        <v>281.09912179000025</v>
      </c>
      <c r="I13" s="25">
        <f>IF(OR(OR(H13=0,G13=0),H13=""),"",(H13/G13-1)*100)</f>
        <v>15.601567360573521</v>
      </c>
      <c r="J13" s="23">
        <f>(H13/H$13)*100</f>
        <v>100</v>
      </c>
      <c r="K13" s="16"/>
    </row>
    <row r="14" spans="1:14">
      <c r="A14" s="14"/>
      <c r="B14" s="9" t="str">
        <f>[20]XX!K2</f>
        <v>Rosas frescas</v>
      </c>
      <c r="C14" s="22">
        <f>[20]XX!C2/1000000</f>
        <v>58.706654390000018</v>
      </c>
      <c r="D14" s="25">
        <f>[20]XX!F2/1000000</f>
        <v>158.82204189000029</v>
      </c>
      <c r="E14" s="22">
        <f t="shared" ref="E14:E34" si="0">IF(OR(OR(D14=0,C14=0),D14=""),"",(D14/C14-1)*100)</f>
        <v>170.53499052239255</v>
      </c>
      <c r="F14" s="22">
        <f t="shared" ref="F14:F34" si="1">(D14/D$13)*100</f>
        <v>5.3928339962796166</v>
      </c>
      <c r="G14" s="22">
        <f>[20]XX!D2/1000000</f>
        <v>7.2259706200000009</v>
      </c>
      <c r="H14" s="25">
        <f>[20]XX!G2/1000000</f>
        <v>22.327328790000003</v>
      </c>
      <c r="I14" s="22">
        <f t="shared" ref="I14:I34" si="2">IF(OR(OR(H14=0,G14=0),H14=""),"",(H14/G14-1)*100)</f>
        <v>208.98726225377317</v>
      </c>
      <c r="J14" s="22">
        <f>(H14/H$13)*100</f>
        <v>7.9428667894167244</v>
      </c>
      <c r="K14" s="16"/>
    </row>
    <row r="15" spans="1:14">
      <c r="A15" s="14"/>
      <c r="B15" s="9" t="str">
        <f>[20]XX!K3</f>
        <v>Aviones y aeronaves</v>
      </c>
      <c r="C15" s="22">
        <f>[20]XX!C3/1000000</f>
        <v>6.6680215</v>
      </c>
      <c r="D15" s="25">
        <f>[20]XX!F3/1000000</f>
        <v>146.56201849000001</v>
      </c>
      <c r="E15" s="22">
        <f t="shared" si="0"/>
        <v>2097.9835921344884</v>
      </c>
      <c r="F15" s="22">
        <f t="shared" si="1"/>
        <v>4.9765424652055037</v>
      </c>
      <c r="G15" s="22">
        <f>[20]XX!D3/1000000</f>
        <v>6.6680215</v>
      </c>
      <c r="H15" s="25">
        <f>[20]XX!G3/1000000</f>
        <v>0</v>
      </c>
      <c r="I15" s="22" t="str">
        <f t="shared" si="2"/>
        <v/>
      </c>
      <c r="J15" s="22">
        <f t="shared" ref="J15:J34" si="3">(H15/H$13)*100</f>
        <v>0</v>
      </c>
      <c r="K15" s="16"/>
    </row>
    <row r="16" spans="1:14">
      <c r="A16" s="14"/>
      <c r="B16" s="9" t="str">
        <f>[20]XX!K4</f>
        <v>Pigmentos para pinturas</v>
      </c>
      <c r="C16" s="22">
        <f>[20]XX!C4/1000000</f>
        <v>120.94403255</v>
      </c>
      <c r="D16" s="25">
        <f>[20]XX!F4/1000000</f>
        <v>138.51895119999995</v>
      </c>
      <c r="E16" s="22">
        <f t="shared" si="0"/>
        <v>14.531447545983077</v>
      </c>
      <c r="F16" s="22">
        <f t="shared" si="1"/>
        <v>4.7034385169140052</v>
      </c>
      <c r="G16" s="22">
        <f>[20]XX!D4/1000000</f>
        <v>16.31672601</v>
      </c>
      <c r="H16" s="25">
        <f>[20]XX!G4/1000000</f>
        <v>11.614420250000002</v>
      </c>
      <c r="I16" s="22">
        <f t="shared" si="2"/>
        <v>-28.818929466108003</v>
      </c>
      <c r="J16" s="22">
        <f t="shared" si="3"/>
        <v>4.1317881664094083</v>
      </c>
      <c r="K16" s="16"/>
    </row>
    <row r="17" spans="1:11">
      <c r="A17" s="14"/>
      <c r="B17" s="9" t="str">
        <f>[20]XX!K5</f>
        <v>Cafés sin tostar</v>
      </c>
      <c r="C17" s="22">
        <f>[20]XX!C5/1000000</f>
        <v>118.12963400000022</v>
      </c>
      <c r="D17" s="25">
        <f>[20]XX!F5/1000000</f>
        <v>132.84835228000014</v>
      </c>
      <c r="E17" s="22">
        <f t="shared" si="0"/>
        <v>12.459801813996885</v>
      </c>
      <c r="F17" s="22">
        <f t="shared" si="1"/>
        <v>4.5108922036244339</v>
      </c>
      <c r="G17" s="22">
        <f>[20]XX!D5/1000000</f>
        <v>10.203406160000005</v>
      </c>
      <c r="H17" s="25">
        <f>[20]XX!G5/1000000</f>
        <v>14.755170130000003</v>
      </c>
      <c r="I17" s="22">
        <f t="shared" si="2"/>
        <v>44.610239939718291</v>
      </c>
      <c r="J17" s="22">
        <f t="shared" si="3"/>
        <v>5.2490986225930287</v>
      </c>
      <c r="K17" s="16"/>
    </row>
    <row r="18" spans="1:11">
      <c r="A18" s="14"/>
      <c r="B18" s="9" t="str">
        <f>[20]XX!K6</f>
        <v>Capullos frescos</v>
      </c>
      <c r="C18" s="22">
        <f>[20]XX!C6/1000000</f>
        <v>32.080140479999976</v>
      </c>
      <c r="D18" s="25">
        <f>[20]XX!F6/1000000</f>
        <v>121.20734142000032</v>
      </c>
      <c r="E18" s="22">
        <f t="shared" si="0"/>
        <v>277.82671648699841</v>
      </c>
      <c r="F18" s="22">
        <f t="shared" si="1"/>
        <v>4.1156193663670768</v>
      </c>
      <c r="G18" s="22">
        <f>[20]XX!D6/1000000</f>
        <v>7.0241331999999987</v>
      </c>
      <c r="H18" s="25">
        <f>[20]XX!G6/1000000</f>
        <v>32.901941829999963</v>
      </c>
      <c r="I18" s="22">
        <f t="shared" si="2"/>
        <v>368.41284032028278</v>
      </c>
      <c r="J18" s="22">
        <f t="shared" si="3"/>
        <v>11.704747286467834</v>
      </c>
      <c r="K18" s="16"/>
    </row>
    <row r="19" spans="1:11">
      <c r="A19" s="14"/>
      <c r="B19" s="9" t="str">
        <f>[20]XX!K7</f>
        <v>Medicamentos</v>
      </c>
      <c r="C19" s="22">
        <f>[20]XX!C7/1000000</f>
        <v>108.46083093000016</v>
      </c>
      <c r="D19" s="25">
        <f>[20]XX!F7/1000000</f>
        <v>90.697895989999964</v>
      </c>
      <c r="E19" s="22">
        <f t="shared" si="0"/>
        <v>-16.377280892734692</v>
      </c>
      <c r="F19" s="22">
        <f t="shared" si="1"/>
        <v>3.0796650834187536</v>
      </c>
      <c r="G19" s="22">
        <f>[20]XX!D7/1000000</f>
        <v>5.517584000000002</v>
      </c>
      <c r="H19" s="25">
        <f>[20]XX!G7/1000000</f>
        <v>5.3944836099999955</v>
      </c>
      <c r="I19" s="22">
        <f t="shared" si="2"/>
        <v>-2.2310560201712626</v>
      </c>
      <c r="J19" s="22">
        <f t="shared" si="3"/>
        <v>1.9190681122191602</v>
      </c>
      <c r="K19" s="16"/>
    </row>
    <row r="20" spans="1:11">
      <c r="A20" s="14"/>
      <c r="B20" s="9" t="str">
        <f>[20]XX!K8</f>
        <v>Libros</v>
      </c>
      <c r="C20" s="22">
        <f>[20]XX!C8/1000000</f>
        <v>65.150013190000038</v>
      </c>
      <c r="D20" s="25">
        <f>[20]XX!F8/1000000</f>
        <v>68.106730430000084</v>
      </c>
      <c r="E20" s="22">
        <f t="shared" si="0"/>
        <v>4.5383217826483468</v>
      </c>
      <c r="F20" s="22">
        <f t="shared" si="1"/>
        <v>2.312577567115897</v>
      </c>
      <c r="G20" s="22">
        <f>[20]XX!D8/1000000</f>
        <v>5.4552344399999981</v>
      </c>
      <c r="H20" s="25">
        <f>[20]XX!G8/1000000</f>
        <v>4.6478103300000022</v>
      </c>
      <c r="I20" s="22">
        <f t="shared" si="2"/>
        <v>-14.800905788386176</v>
      </c>
      <c r="J20" s="22">
        <f t="shared" si="3"/>
        <v>1.6534417825297318</v>
      </c>
      <c r="K20" s="16"/>
    </row>
    <row r="21" spans="1:11">
      <c r="A21" s="14"/>
      <c r="B21" s="9" t="str">
        <f>[20]XX!K9</f>
        <v>Carburoreactores</v>
      </c>
      <c r="C21" s="22">
        <f>[20]XX!C9/1000000</f>
        <v>59.08957008000003</v>
      </c>
      <c r="D21" s="25">
        <f>[20]XX!F9/1000000</f>
        <v>67.303309249999998</v>
      </c>
      <c r="E21" s="22">
        <f t="shared" si="0"/>
        <v>13.900488967646197</v>
      </c>
      <c r="F21" s="22">
        <f t="shared" si="1"/>
        <v>2.2852972412790313</v>
      </c>
      <c r="G21" s="22">
        <f>[20]XX!D9/1000000</f>
        <v>6.9621368599999984</v>
      </c>
      <c r="H21" s="25">
        <f>[20]XX!G9/1000000</f>
        <v>6.9135448000000013</v>
      </c>
      <c r="I21" s="22">
        <f t="shared" si="2"/>
        <v>-0.69794749768818942</v>
      </c>
      <c r="J21" s="22">
        <f t="shared" si="3"/>
        <v>2.4594686585911423</v>
      </c>
      <c r="K21" s="16"/>
    </row>
    <row r="22" spans="1:11">
      <c r="A22" s="14"/>
      <c r="B22" s="9" t="str">
        <f>[20]XX!K10</f>
        <v>Claveles</v>
      </c>
      <c r="C22" s="22">
        <f>[20]XX!C10/1000000</f>
        <v>24.346188649999963</v>
      </c>
      <c r="D22" s="25">
        <f>[20]XX!F10/1000000</f>
        <v>53.824130090000025</v>
      </c>
      <c r="E22" s="22">
        <f t="shared" si="0"/>
        <v>121.07825936853614</v>
      </c>
      <c r="F22" s="22">
        <f t="shared" si="1"/>
        <v>1.8276090340820907</v>
      </c>
      <c r="G22" s="22">
        <f>[20]XX!D10/1000000</f>
        <v>2.2709974900000018</v>
      </c>
      <c r="H22" s="25">
        <f>[20]XX!G10/1000000</f>
        <v>7.7905125099999992</v>
      </c>
      <c r="I22" s="22">
        <f t="shared" si="2"/>
        <v>243.04364246567235</v>
      </c>
      <c r="J22" s="22">
        <f t="shared" si="3"/>
        <v>2.7714467624057644</v>
      </c>
      <c r="K22" s="16"/>
    </row>
    <row r="23" spans="1:11">
      <c r="A23" s="14"/>
      <c r="B23" s="9" t="str">
        <f>[20]XX!K11</f>
        <v>Partes de aviones</v>
      </c>
      <c r="C23" s="22">
        <f>[20]XX!C11/1000000</f>
        <v>48.092428450000021</v>
      </c>
      <c r="D23" s="25">
        <f>[20]XX!F11/1000000</f>
        <v>43.436090249999999</v>
      </c>
      <c r="E23" s="22">
        <f t="shared" si="0"/>
        <v>-9.6820608775060037</v>
      </c>
      <c r="F23" s="22">
        <f t="shared" si="1"/>
        <v>1.4748810768212268</v>
      </c>
      <c r="G23" s="22">
        <f>[20]XX!D11/1000000</f>
        <v>2.9986535299999999</v>
      </c>
      <c r="H23" s="25">
        <f>[20]XX!G11/1000000</f>
        <v>3.6440000000000001E-3</v>
      </c>
      <c r="I23" s="22">
        <f t="shared" si="2"/>
        <v>-99.878478791779585</v>
      </c>
      <c r="J23" s="22">
        <f t="shared" si="3"/>
        <v>1.2963398735632873E-3</v>
      </c>
      <c r="K23" s="16"/>
    </row>
    <row r="24" spans="1:11">
      <c r="A24" s="14"/>
      <c r="B24" s="9" t="str">
        <f>[20]XX!K12</f>
        <v>Tejido de punto</v>
      </c>
      <c r="C24" s="22">
        <f>[20]XX!C12/1000000</f>
        <v>62.792215429999999</v>
      </c>
      <c r="D24" s="25">
        <f>[20]XX!F12/1000000</f>
        <v>41.074022530000022</v>
      </c>
      <c r="E24" s="22">
        <f t="shared" si="0"/>
        <v>-34.587397102131476</v>
      </c>
      <c r="F24" s="22">
        <f t="shared" si="1"/>
        <v>1.3946765979570583</v>
      </c>
      <c r="G24" s="22">
        <f>[20]XX!D12/1000000</f>
        <v>3.0773555899999998</v>
      </c>
      <c r="H24" s="25">
        <f>[20]XX!G12/1000000</f>
        <v>3.6378702599999992</v>
      </c>
      <c r="I24" s="22">
        <f t="shared" si="2"/>
        <v>18.214166468815506</v>
      </c>
      <c r="J24" s="22">
        <f t="shared" si="3"/>
        <v>1.2941592406388698</v>
      </c>
      <c r="K24" s="16"/>
    </row>
    <row r="25" spans="1:11">
      <c r="A25" s="14"/>
      <c r="B25" s="9" t="str">
        <f>[20]XX!K13</f>
        <v>hullas</v>
      </c>
      <c r="C25" s="22">
        <f>[20]XX!C13/1000000</f>
        <v>12.59493593</v>
      </c>
      <c r="D25" s="25">
        <f>[20]XX!F13/1000000</f>
        <v>33.093778780000001</v>
      </c>
      <c r="E25" s="22">
        <f t="shared" si="0"/>
        <v>162.75464173798304</v>
      </c>
      <c r="F25" s="22">
        <f t="shared" si="1"/>
        <v>1.1237058354516578</v>
      </c>
      <c r="G25" s="22">
        <f>[20]XX!D13/1000000</f>
        <v>2.3675079999999999</v>
      </c>
      <c r="H25" s="25">
        <f>[20]XX!G13/1000000</f>
        <v>6.6388974999999997</v>
      </c>
      <c r="I25" s="22">
        <f t="shared" si="2"/>
        <v>180.41710946700076</v>
      </c>
      <c r="J25" s="22">
        <f t="shared" si="3"/>
        <v>2.3617638709521471</v>
      </c>
      <c r="K25" s="16"/>
    </row>
    <row r="26" spans="1:11">
      <c r="A26" s="14"/>
      <c r="B26" s="9" t="str">
        <f>[20]XX!K14</f>
        <v>Manufacturas de cuero</v>
      </c>
      <c r="C26" s="22">
        <f>[20]XX!C14/1000000</f>
        <v>25.675585599999984</v>
      </c>
      <c r="D26" s="25">
        <f>[20]XX!F14/1000000</f>
        <v>31.304762900000007</v>
      </c>
      <c r="E26" s="22">
        <f t="shared" si="0"/>
        <v>21.924241135906275</v>
      </c>
      <c r="F26" s="22">
        <f t="shared" si="1"/>
        <v>1.062959445701612</v>
      </c>
      <c r="G26" s="22">
        <f>[20]XX!D14/1000000</f>
        <v>3.4533149899999986</v>
      </c>
      <c r="H26" s="25">
        <f>[20]XX!G14/1000000</f>
        <v>3.8509449300000016</v>
      </c>
      <c r="I26" s="22">
        <f t="shared" si="2"/>
        <v>11.514441664066188</v>
      </c>
      <c r="J26" s="22">
        <f t="shared" si="3"/>
        <v>1.3699597869526301</v>
      </c>
      <c r="K26" s="16"/>
    </row>
    <row r="27" spans="1:11">
      <c r="A27" s="14"/>
      <c r="B27" s="9" t="str">
        <f>[20]XX!K15</f>
        <v>Recipientes</v>
      </c>
      <c r="C27" s="22">
        <f>[20]XX!C15/1000000</f>
        <v>30.716233259999971</v>
      </c>
      <c r="D27" s="25">
        <f>[20]XX!F15/1000000</f>
        <v>28.703468769999905</v>
      </c>
      <c r="E27" s="22">
        <f t="shared" si="0"/>
        <v>-6.5527712104634155</v>
      </c>
      <c r="F27" s="22">
        <f t="shared" si="1"/>
        <v>0.97463198654261729</v>
      </c>
      <c r="G27" s="22">
        <f>[20]XX!D15/1000000</f>
        <v>1.7512153100000003</v>
      </c>
      <c r="H27" s="25">
        <f>[20]XX!G15/1000000</f>
        <v>1.8001159300000009</v>
      </c>
      <c r="I27" s="22">
        <f t="shared" si="2"/>
        <v>2.7923819373187442</v>
      </c>
      <c r="J27" s="22">
        <f t="shared" si="3"/>
        <v>0.64038475771006054</v>
      </c>
      <c r="K27" s="16"/>
    </row>
    <row r="28" spans="1:11">
      <c r="A28" s="14"/>
      <c r="B28" s="9" t="str">
        <f>[20]XX!K16</f>
        <v>Preparaciones capilares</v>
      </c>
      <c r="C28" s="22">
        <f>[20]XX!C16/1000000</f>
        <v>34.000482959999964</v>
      </c>
      <c r="D28" s="25">
        <f>[20]XX!F16/1000000</f>
        <v>27.967153710000016</v>
      </c>
      <c r="E28" s="22">
        <f t="shared" si="0"/>
        <v>-17.744833969264164</v>
      </c>
      <c r="F28" s="22">
        <f t="shared" si="1"/>
        <v>0.94963026234686465</v>
      </c>
      <c r="G28" s="22">
        <f>[20]XX!D16/1000000</f>
        <v>1.9607224800000003</v>
      </c>
      <c r="H28" s="25">
        <f>[20]XX!G16/1000000</f>
        <v>2.7471670000000001</v>
      </c>
      <c r="I28" s="22">
        <f t="shared" si="2"/>
        <v>40.10993539483465</v>
      </c>
      <c r="J28" s="22">
        <f t="shared" si="3"/>
        <v>0.97729476439002061</v>
      </c>
      <c r="K28" s="16"/>
    </row>
    <row r="29" spans="1:11">
      <c r="A29" s="14"/>
      <c r="B29" s="9" t="str">
        <f>[20]XX!K17</f>
        <v>Vehículos</v>
      </c>
      <c r="C29" s="22">
        <f>[20]XX!C17/1000000</f>
        <v>19.958385</v>
      </c>
      <c r="D29" s="25">
        <f>[20]XX!F17/1000000</f>
        <v>27.613854</v>
      </c>
      <c r="E29" s="22">
        <f t="shared" si="0"/>
        <v>38.3571566537072</v>
      </c>
      <c r="F29" s="22">
        <f t="shared" si="1"/>
        <v>0.93763390047989281</v>
      </c>
      <c r="G29" s="22">
        <f>[20]XX!D17/1000000</f>
        <v>3.75339</v>
      </c>
      <c r="H29" s="25">
        <f>[20]XX!G17/1000000</f>
        <v>0</v>
      </c>
      <c r="I29" s="22" t="str">
        <f t="shared" si="2"/>
        <v/>
      </c>
      <c r="J29" s="22">
        <f t="shared" si="3"/>
        <v>0</v>
      </c>
      <c r="K29" s="16"/>
    </row>
    <row r="30" spans="1:11">
      <c r="A30" s="14"/>
      <c r="B30" s="9" t="str">
        <f>[20]XX!K18</f>
        <v>Claveles miniatura</v>
      </c>
      <c r="C30" s="22">
        <f>[20]XX!C18/1000000</f>
        <v>7.6564483999999968</v>
      </c>
      <c r="D30" s="25">
        <f>[20]XX!F18/1000000</f>
        <v>25.808222310000037</v>
      </c>
      <c r="E30" s="22">
        <f t="shared" si="0"/>
        <v>237.07825040654683</v>
      </c>
      <c r="F30" s="22">
        <f t="shared" si="1"/>
        <v>0.87632331759911253</v>
      </c>
      <c r="G30" s="22">
        <f>[20]XX!D18/1000000</f>
        <v>0.75073964999999976</v>
      </c>
      <c r="H30" s="25">
        <f>[20]XX!G18/1000000</f>
        <v>3.5559869500000003</v>
      </c>
      <c r="I30" s="22">
        <f t="shared" si="2"/>
        <v>373.66446543751908</v>
      </c>
      <c r="J30" s="22">
        <f t="shared" si="3"/>
        <v>1.265029548066877</v>
      </c>
      <c r="K30" s="16"/>
    </row>
    <row r="31" spans="1:11">
      <c r="A31" s="14"/>
      <c r="B31" s="9" t="str">
        <f>[20]XX!K19</f>
        <v>Cueros y pieles</v>
      </c>
      <c r="C31" s="22">
        <f>[20]XX!C19/1000000</f>
        <v>9.9848616200000038</v>
      </c>
      <c r="D31" s="25">
        <f>[20]XX!F19/1000000</f>
        <v>25.195640010000005</v>
      </c>
      <c r="E31" s="22">
        <f t="shared" si="0"/>
        <v>152.33839955811018</v>
      </c>
      <c r="F31" s="22">
        <f t="shared" si="1"/>
        <v>0.85552296385950144</v>
      </c>
      <c r="G31" s="22">
        <f>[20]XX!D19/1000000</f>
        <v>1.3186564599999999</v>
      </c>
      <c r="H31" s="25">
        <f>[20]XX!G19/1000000</f>
        <v>1.46330282</v>
      </c>
      <c r="I31" s="22">
        <f t="shared" si="2"/>
        <v>10.969222415973313</v>
      </c>
      <c r="J31" s="22">
        <f t="shared" si="3"/>
        <v>0.52056470709758551</v>
      </c>
      <c r="K31" s="16"/>
    </row>
    <row r="32" spans="1:11">
      <c r="A32" s="14"/>
      <c r="B32" s="9" t="str">
        <f>[20]XX!K20</f>
        <v>Láminas de polímeros</v>
      </c>
      <c r="C32" s="22">
        <f>[20]XX!C20/1000000</f>
        <v>14.689752099999996</v>
      </c>
      <c r="D32" s="25">
        <f>[20]XX!F20/1000000</f>
        <v>23.461761129999989</v>
      </c>
      <c r="E32" s="22">
        <f t="shared" si="0"/>
        <v>59.715160407642244</v>
      </c>
      <c r="F32" s="22">
        <f t="shared" si="1"/>
        <v>0.79664876190224754</v>
      </c>
      <c r="G32" s="22">
        <f>[20]XX!D20/1000000</f>
        <v>1.0154678700000002</v>
      </c>
      <c r="H32" s="25">
        <f>[20]XX!G20/1000000</f>
        <v>1.2765558899999998</v>
      </c>
      <c r="I32" s="22">
        <f t="shared" si="2"/>
        <v>25.711105955523685</v>
      </c>
      <c r="J32" s="22">
        <f t="shared" si="3"/>
        <v>0.45413015945089719</v>
      </c>
      <c r="K32" s="16"/>
    </row>
    <row r="33" spans="1:11">
      <c r="A33" s="14"/>
      <c r="B33" s="9" t="str">
        <f>[20]XX!K21</f>
        <v>Alstroemerias frescas</v>
      </c>
      <c r="C33" s="22">
        <f>[20]XX!C21/1000000</f>
        <v>3.5253218200000012</v>
      </c>
      <c r="D33" s="25">
        <f>[20]XX!F21/1000000</f>
        <v>22.223269060000032</v>
      </c>
      <c r="E33" s="22">
        <f t="shared" si="0"/>
        <v>530.38979686682967</v>
      </c>
      <c r="F33" s="22">
        <f t="shared" si="1"/>
        <v>0.75459551753051024</v>
      </c>
      <c r="G33" s="22">
        <f>[20]XX!D21/1000000</f>
        <v>0.55729527000000034</v>
      </c>
      <c r="H33" s="25">
        <f>[20]XX!G21/1000000</f>
        <v>3.8691298399999972</v>
      </c>
      <c r="I33" s="22">
        <f t="shared" si="2"/>
        <v>594.26927667984603</v>
      </c>
      <c r="J33" s="22">
        <f t="shared" si="3"/>
        <v>1.3764290031793465</v>
      </c>
      <c r="K33" s="16"/>
    </row>
    <row r="34" spans="1:11">
      <c r="A34" s="14"/>
      <c r="B34" s="9" t="s">
        <v>58</v>
      </c>
      <c r="C34" s="22">
        <f>+C13-SUM(C14:C33)</f>
        <v>2022.0874384799881</v>
      </c>
      <c r="D34" s="25">
        <f>+D13-SUM(D14:D33)</f>
        <v>1637.2843313100457</v>
      </c>
      <c r="E34" s="22">
        <f t="shared" si="0"/>
        <v>-19.029993453656026</v>
      </c>
      <c r="F34" s="22">
        <f t="shared" si="1"/>
        <v>55.594314859521276</v>
      </c>
      <c r="G34" s="22">
        <f t="shared" ref="G34:H34" si="4">+G13-SUM(G14:G33)</f>
        <v>152.51350392999967</v>
      </c>
      <c r="H34" s="25">
        <f t="shared" si="4"/>
        <v>145.9102944200003</v>
      </c>
      <c r="I34" s="22">
        <f t="shared" si="2"/>
        <v>-4.3295900624184096</v>
      </c>
      <c r="J34" s="22">
        <f t="shared" si="3"/>
        <v>51.907061641055208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26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8"/>
      <c r="E37" s="20"/>
    </row>
    <row r="38" spans="1:11">
      <c r="B38" s="20"/>
      <c r="C38" s="20"/>
      <c r="D38" s="88"/>
      <c r="E38" s="20"/>
    </row>
    <row r="39" spans="1:11">
      <c r="C39" s="20"/>
      <c r="D39" s="88"/>
    </row>
    <row r="40" spans="1:11">
      <c r="C40" s="20"/>
      <c r="D40" s="88"/>
    </row>
    <row r="41" spans="1:11">
      <c r="C41" s="20"/>
      <c r="D41" s="88"/>
    </row>
    <row r="42" spans="1:11">
      <c r="C42" s="20"/>
      <c r="D42" s="88"/>
    </row>
    <row r="43" spans="1:11">
      <c r="C43" s="20"/>
      <c r="D43" s="88"/>
    </row>
    <row r="44" spans="1:11">
      <c r="C44" s="20"/>
      <c r="D44" s="88"/>
    </row>
    <row r="45" spans="1:11">
      <c r="C45" s="20"/>
      <c r="D45" s="8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56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81">
        <v>2005</v>
      </c>
      <c r="D11" s="81">
        <v>2006</v>
      </c>
      <c r="E11" s="81">
        <v>2007</v>
      </c>
      <c r="F11" s="81">
        <v>2008</v>
      </c>
      <c r="G11" s="81">
        <v>2009</v>
      </c>
      <c r="H11" s="8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f>[21]cuadro_historico1!B7/1000000</f>
        <v>88.486303000000007</v>
      </c>
      <c r="D13" s="75">
        <f>[21]cuadro_historico1!C7/1000000</f>
        <v>123.70827</v>
      </c>
      <c r="E13" s="75">
        <f>[21]cuadro_historico1!D7/1000000</f>
        <v>159.71266</v>
      </c>
      <c r="F13" s="75">
        <f>[21]cuadro_historico1!E7/1000000</f>
        <v>210.207232</v>
      </c>
      <c r="G13" s="75">
        <f>[21]cuadro_historico1!F7/1000000</f>
        <v>242.00093200000001</v>
      </c>
      <c r="H13" s="76">
        <f>[21]cuadro_historico1!G7/1000000</f>
        <v>170.79666</v>
      </c>
      <c r="I13" s="77">
        <f t="shared" ref="I13:I20" si="0">IF(OR(OR(H13=0,G13=0),H13=""),"",(H13/G13-1)*100)</f>
        <v>-29.423139576999645</v>
      </c>
      <c r="J13" s="77">
        <f t="shared" ref="J13:J20" si="1">IF(OR(OR(H13=0,G13=0),H13=""),"",H13/G13*100)</f>
        <v>70.576860423000355</v>
      </c>
      <c r="K13" s="77">
        <f t="shared" ref="K13:K20" si="2">IF(OR(OR(H13=0,G13=0),H13=""),"",(G13/F13-1)*100)</f>
        <v>15.12493157228767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5">
        <f>[21]cuadro_historico1!B8/1000000</f>
        <v>107.007921</v>
      </c>
      <c r="D14" s="75">
        <f>[21]cuadro_historico1!C8/1000000</f>
        <v>184.90539799999999</v>
      </c>
      <c r="E14" s="75">
        <f>[21]cuadro_historico1!D8/1000000</f>
        <v>191.14652799999999</v>
      </c>
      <c r="F14" s="75">
        <f>[21]cuadro_historico1!E8/1000000</f>
        <v>262.10585800000001</v>
      </c>
      <c r="G14" s="75">
        <f>[21]cuadro_historico1!F8/1000000</f>
        <v>251.969663</v>
      </c>
      <c r="H14" s="76">
        <f>[21]cuadro_historico1!G8/1000000</f>
        <v>206.519181</v>
      </c>
      <c r="I14" s="77">
        <f t="shared" si="0"/>
        <v>-18.0380770680318</v>
      </c>
      <c r="J14" s="77">
        <f t="shared" si="1"/>
        <v>81.961922931968203</v>
      </c>
      <c r="K14" s="77">
        <f t="shared" si="2"/>
        <v>-3.8672142154106304</v>
      </c>
      <c r="L14" s="65"/>
      <c r="N14" s="43">
        <f t="shared" si="3"/>
        <v>1</v>
      </c>
    </row>
    <row r="15" spans="1:15">
      <c r="A15" s="63"/>
      <c r="B15" s="74" t="s">
        <v>13</v>
      </c>
      <c r="C15" s="75">
        <f>[21]cuadro_historico1!B9/1000000</f>
        <v>124.676575</v>
      </c>
      <c r="D15" s="75">
        <f>[21]cuadro_historico1!C9/1000000</f>
        <v>204.153887</v>
      </c>
      <c r="E15" s="75">
        <f>[21]cuadro_historico1!D9/1000000</f>
        <v>226.96600799999999</v>
      </c>
      <c r="F15" s="75">
        <f>[21]cuadro_historico1!E9/1000000</f>
        <v>266.17807800000003</v>
      </c>
      <c r="G15" s="75">
        <f>[21]cuadro_historico1!F9/1000000</f>
        <v>272.31894899999998</v>
      </c>
      <c r="H15" s="76">
        <f>[21]cuadro_historico1!G9/1000000</f>
        <v>296.77774599999998</v>
      </c>
      <c r="I15" s="77">
        <f t="shared" si="0"/>
        <v>8.981672810436713</v>
      </c>
      <c r="J15" s="77">
        <f>IF(OR(OR(H15=0,G15=0),H15=""),"",H15/G15*100)</f>
        <v>108.98167281043672</v>
      </c>
      <c r="K15" s="77">
        <f t="shared" si="2"/>
        <v>2.3070536259563568</v>
      </c>
      <c r="L15" s="65"/>
      <c r="N15" s="43">
        <f t="shared" si="3"/>
        <v>1</v>
      </c>
    </row>
    <row r="16" spans="1:15">
      <c r="A16" s="63"/>
      <c r="B16" s="74" t="s">
        <v>14</v>
      </c>
      <c r="C16" s="75">
        <f>[21]cuadro_historico1!B10/1000000</f>
        <v>161.994292</v>
      </c>
      <c r="D16" s="75">
        <f>[21]cuadro_historico1!C10/1000000</f>
        <v>171.687072</v>
      </c>
      <c r="E16" s="75">
        <f>[21]cuadro_historico1!D10/1000000</f>
        <v>207.77626100000001</v>
      </c>
      <c r="F16" s="75">
        <f>[21]cuadro_historico1!E10/1000000</f>
        <v>342.13096100000001</v>
      </c>
      <c r="G16" s="75">
        <f>[21]cuadro_historico1!F10/1000000</f>
        <v>223.71772799999999</v>
      </c>
      <c r="H16" s="76">
        <f>[21]cuadro_historico1!G10/1000000</f>
        <v>226.57357300000001</v>
      </c>
      <c r="I16" s="77">
        <f t="shared" si="0"/>
        <v>1.276539425610479</v>
      </c>
      <c r="J16" s="77">
        <f t="shared" si="1"/>
        <v>101.27653942561048</v>
      </c>
      <c r="K16" s="77">
        <f t="shared" si="2"/>
        <v>-34.610499048053121</v>
      </c>
      <c r="L16" s="65"/>
      <c r="N16" s="43">
        <f t="shared" si="3"/>
        <v>1</v>
      </c>
    </row>
    <row r="17" spans="1:15">
      <c r="A17" s="63"/>
      <c r="B17" s="74" t="s">
        <v>15</v>
      </c>
      <c r="C17" s="75">
        <f>[21]cuadro_historico1!B11/1000000</f>
        <v>160.36785399999999</v>
      </c>
      <c r="D17" s="75">
        <f>[21]cuadro_historico1!C11/1000000</f>
        <v>191.34948700000001</v>
      </c>
      <c r="E17" s="75">
        <f>[21]cuadro_historico1!D11/1000000</f>
        <v>263.39571999999998</v>
      </c>
      <c r="F17" s="75">
        <f>[21]cuadro_historico1!E11/1000000</f>
        <v>303.01887299999999</v>
      </c>
      <c r="G17" s="75">
        <f>[21]cuadro_historico1!F11/1000000</f>
        <v>268.072677</v>
      </c>
      <c r="H17" s="76">
        <f>[21]cuadro_historico1!G11/1000000</f>
        <v>355.30443600000001</v>
      </c>
      <c r="I17" s="77">
        <f t="shared" si="0"/>
        <v>32.540339424446451</v>
      </c>
      <c r="J17" s="77">
        <f t="shared" si="1"/>
        <v>132.54033942444644</v>
      </c>
      <c r="K17" s="77">
        <f t="shared" si="2"/>
        <v>-11.532679682298197</v>
      </c>
      <c r="L17" s="65"/>
      <c r="N17" s="43">
        <f t="shared" si="3"/>
        <v>1</v>
      </c>
    </row>
    <row r="18" spans="1:15">
      <c r="A18" s="63"/>
      <c r="B18" s="74" t="s">
        <v>16</v>
      </c>
      <c r="C18" s="75">
        <f>[21]cuadro_historico1!B12/1000000</f>
        <v>156.45487800000001</v>
      </c>
      <c r="D18" s="75">
        <f>[21]cuadro_historico1!C12/1000000</f>
        <v>200.76183</v>
      </c>
      <c r="E18" s="75">
        <f>[21]cuadro_historico1!D12/1000000</f>
        <v>223.76792699999999</v>
      </c>
      <c r="F18" s="75">
        <f>[21]cuadro_historico1!E12/1000000</f>
        <v>292.881032</v>
      </c>
      <c r="G18" s="75">
        <f>[21]cuadro_historico1!F12/1000000</f>
        <v>253.33715900000001</v>
      </c>
      <c r="H18" s="76">
        <f>[21]cuadro_historico1!G12/1000000</f>
        <v>234.36356799999999</v>
      </c>
      <c r="I18" s="77">
        <f t="shared" si="0"/>
        <v>-7.4894622940016582</v>
      </c>
      <c r="J18" s="77">
        <f t="shared" si="1"/>
        <v>92.510537705998345</v>
      </c>
      <c r="K18" s="77">
        <f t="shared" si="2"/>
        <v>-13.501684533807568</v>
      </c>
      <c r="L18" s="65"/>
      <c r="N18" s="43">
        <f t="shared" si="3"/>
        <v>1</v>
      </c>
    </row>
    <row r="19" spans="1:15">
      <c r="A19" s="63"/>
      <c r="B19" s="74" t="s">
        <v>17</v>
      </c>
      <c r="C19" s="75">
        <f>[21]cuadro_historico1!B13/1000000</f>
        <v>157.715194</v>
      </c>
      <c r="D19" s="75">
        <f>[21]cuadro_historico1!C13/1000000</f>
        <v>192.04828900000001</v>
      </c>
      <c r="E19" s="75">
        <f>[21]cuadro_historico1!D13/1000000</f>
        <v>246.51931200000001</v>
      </c>
      <c r="F19" s="75">
        <f>[21]cuadro_historico1!E13/1000000</f>
        <v>338.85190699999998</v>
      </c>
      <c r="G19" s="75">
        <f>[21]cuadro_historico1!F13/1000000</f>
        <v>226.84204099999999</v>
      </c>
      <c r="H19" s="76">
        <f>[21]cuadro_historico1!G13/1000000</f>
        <v>195.535889</v>
      </c>
      <c r="I19" s="77">
        <f>IF(OR(OR(H19=0,G19=0),H19=""),"",(H19/G19-1)*100)</f>
        <v>-13.800859779779529</v>
      </c>
      <c r="J19" s="77">
        <f t="shared" si="1"/>
        <v>86.199140220220471</v>
      </c>
      <c r="K19" s="77">
        <f t="shared" si="2"/>
        <v>-33.055698872014908</v>
      </c>
      <c r="L19" s="65"/>
      <c r="N19" s="43">
        <f t="shared" si="3"/>
        <v>1</v>
      </c>
    </row>
    <row r="20" spans="1:15">
      <c r="A20" s="63"/>
      <c r="B20" s="74" t="s">
        <v>18</v>
      </c>
      <c r="C20" s="75">
        <f>[21]cuadro_historico1!B14/1000000</f>
        <v>154.72751600000001</v>
      </c>
      <c r="D20" s="75">
        <f>[21]cuadro_historico1!C14/1000000</f>
        <v>203.382114</v>
      </c>
      <c r="E20" s="75">
        <f>[21]cuadro_historico1!D14/1000000</f>
        <v>259.87279899999999</v>
      </c>
      <c r="F20" s="75">
        <f>[21]cuadro_historico1!E14/1000000</f>
        <v>289.91516999999999</v>
      </c>
      <c r="G20" s="75">
        <f>[21]cuadro_historico1!F14/1000000</f>
        <v>207.37031200000001</v>
      </c>
      <c r="H20" s="76">
        <f>[21]cuadro_historico1!G14/1000000</f>
        <v>221.91458900000001</v>
      </c>
      <c r="I20" s="77">
        <f t="shared" si="0"/>
        <v>7.0136736834344848</v>
      </c>
      <c r="J20" s="77">
        <f t="shared" si="1"/>
        <v>107.01367368343449</v>
      </c>
      <c r="K20" s="77">
        <f t="shared" si="2"/>
        <v>-28.472072710096541</v>
      </c>
      <c r="L20" s="65"/>
      <c r="N20" s="43">
        <f t="shared" si="3"/>
        <v>1</v>
      </c>
    </row>
    <row r="21" spans="1:15">
      <c r="A21" s="63"/>
      <c r="B21" s="74" t="s">
        <v>19</v>
      </c>
      <c r="C21" s="75">
        <f>[21]cuadro_historico1!B15/1000000</f>
        <v>159.896163</v>
      </c>
      <c r="D21" s="75">
        <f>[21]cuadro_historico1!C15/1000000</f>
        <v>224.25348500000001</v>
      </c>
      <c r="E21" s="75">
        <f>[21]cuadro_historico1!D15/1000000</f>
        <v>299.485658</v>
      </c>
      <c r="F21" s="75">
        <f>[21]cuadro_historico1!E15/1000000</f>
        <v>267.998377</v>
      </c>
      <c r="G21" s="75">
        <f>[21]cuadro_historico1!F15/1000000</f>
        <v>250.36220399999999</v>
      </c>
      <c r="H21" s="76">
        <f>[21]cuadro_historico1!G15/1000000</f>
        <v>268.69962399999997</v>
      </c>
      <c r="I21" s="77">
        <f t="shared" ref="I21" si="4">IF(OR(OR(H21=0,G21=0),H21=""),"",(H21/G21-1)*100)</f>
        <v>7.324356355322692</v>
      </c>
      <c r="J21" s="77">
        <f t="shared" ref="J21" si="5">IF(OR(OR(H21=0,G21=0),H21=""),"",H21/G21*100)</f>
        <v>107.32435635532269</v>
      </c>
      <c r="K21" s="77">
        <f t="shared" ref="K21" si="6">IF(OR(OR(H21=0,G21=0),H21=""),"",(G21/F21-1)*100)</f>
        <v>-6.5807014196955453</v>
      </c>
      <c r="L21" s="65"/>
      <c r="N21" s="43">
        <f t="shared" si="3"/>
        <v>1</v>
      </c>
    </row>
    <row r="22" spans="1:15">
      <c r="A22" s="63"/>
      <c r="B22" s="74" t="s">
        <v>20</v>
      </c>
      <c r="C22" s="75">
        <f>[21]cuadro_historico1!B16/1000000</f>
        <v>146.24250499999999</v>
      </c>
      <c r="D22" s="75">
        <f>[21]cuadro_historico1!C16/1000000</f>
        <v>233.28838400000001</v>
      </c>
      <c r="E22" s="75">
        <f>[21]cuadro_historico1!D16/1000000</f>
        <v>296.06290799999999</v>
      </c>
      <c r="F22" s="75">
        <f>[21]cuadro_historico1!E16/1000000</f>
        <v>408.94665900000001</v>
      </c>
      <c r="G22" s="75">
        <f>[21]cuadro_historico1!F16/1000000</f>
        <v>219.21742800000001</v>
      </c>
      <c r="H22" s="76">
        <f>[21]cuadro_historico1!G16/1000000</f>
        <v>251.29046700000001</v>
      </c>
      <c r="I22" s="77">
        <f t="shared" ref="I22" si="7">IF(OR(OR(H22=0,G22=0),H22=""),"",(H22/G22-1)*100)</f>
        <v>14.630697610410781</v>
      </c>
      <c r="J22" s="77">
        <f t="shared" ref="J22" si="8">IF(OR(OR(H22=0,G22=0),H22=""),"",H22/G22*100)</f>
        <v>114.63069761041078</v>
      </c>
      <c r="K22" s="77">
        <f t="shared" ref="K22" si="9">IF(OR(OR(H22=0,G22=0),H22=""),"",(G22/F22-1)*100)</f>
        <v>-46.394615733980118</v>
      </c>
      <c r="L22" s="65"/>
      <c r="N22" s="43">
        <f t="shared" si="3"/>
        <v>1</v>
      </c>
    </row>
    <row r="23" spans="1:15">
      <c r="A23" s="63"/>
      <c r="B23" s="74" t="s">
        <v>21</v>
      </c>
      <c r="C23" s="75">
        <f>[21]cuadro_historico1!B17/1000000</f>
        <v>169.071921</v>
      </c>
      <c r="D23" s="75">
        <f>[21]cuadro_historico1!C17/1000000</f>
        <v>225.60111599999999</v>
      </c>
      <c r="E23" s="75">
        <f>[21]cuadro_historico1!D17/1000000</f>
        <v>325.96150499999999</v>
      </c>
      <c r="F23" s="75">
        <f>[21]cuadro_historico1!E17/1000000</f>
        <v>284.98122599999999</v>
      </c>
      <c r="G23" s="75">
        <f>[21]cuadro_historico1!F17/1000000</f>
        <v>226.978048</v>
      </c>
      <c r="H23" s="76">
        <f>[21]cuadro_historico1!G17/1000000</f>
        <v>236.18226999999999</v>
      </c>
      <c r="I23" s="77">
        <f t="shared" ref="I23:I24" si="10">IF(OR(OR(H23=0,G23=0),H23=""),"",(H23/G23-1)*100)</f>
        <v>4.0551154973365477</v>
      </c>
      <c r="J23" s="77">
        <f t="shared" ref="J23:J24" si="11">IF(OR(OR(H23=0,G23=0),H23=""),"",H23/G23*100)</f>
        <v>104.05511549733654</v>
      </c>
      <c r="K23" s="77">
        <f t="shared" ref="K23:K24" si="12">IF(OR(OR(H23=0,G23=0),H23=""),"",(G23/F23-1)*100)</f>
        <v>-20.353333029734387</v>
      </c>
      <c r="L23" s="65"/>
      <c r="N23" s="43">
        <f t="shared" si="3"/>
        <v>1</v>
      </c>
    </row>
    <row r="24" spans="1:15">
      <c r="A24" s="63"/>
      <c r="B24" s="74" t="s">
        <v>22</v>
      </c>
      <c r="C24" s="75">
        <f>[21]cuadro_historico1!B18/1000000</f>
        <v>155.59270699999999</v>
      </c>
      <c r="D24" s="75">
        <f>[21]cuadro_historico1!C18/1000000</f>
        <v>187.72789</v>
      </c>
      <c r="E24" s="75">
        <f>[21]cuadro_historico1!D18/1000000</f>
        <v>302.72279600000002</v>
      </c>
      <c r="F24" s="75">
        <f>[21]cuadro_historico1!E18/1000000</f>
        <v>318.61222700000002</v>
      </c>
      <c r="G24" s="75">
        <f>[21]cuadro_historico1!F18/1000000</f>
        <v>243.16203300000001</v>
      </c>
      <c r="H24" s="72">
        <f>[21]cuadro_historico1!G18/1000000</f>
        <v>281.09912200000002</v>
      </c>
      <c r="I24" s="25">
        <f t="shared" si="10"/>
        <v>15.601567618082889</v>
      </c>
      <c r="J24" s="25">
        <f t="shared" si="11"/>
        <v>115.6015676180829</v>
      </c>
      <c r="K24" s="25">
        <f t="shared" si="12"/>
        <v>-23.680884663600811</v>
      </c>
      <c r="L24" s="65"/>
      <c r="N24" s="43">
        <f t="shared" si="3"/>
        <v>1</v>
      </c>
    </row>
    <row r="25" spans="1:15">
      <c r="A25" s="63"/>
      <c r="B25" s="78" t="s">
        <v>42</v>
      </c>
      <c r="C25" s="76">
        <f t="shared" ref="C25:H25" si="13">SUM(C13:C24)</f>
        <v>1742.233829</v>
      </c>
      <c r="D25" s="76">
        <f t="shared" si="13"/>
        <v>2342.8672219999999</v>
      </c>
      <c r="E25" s="76">
        <f t="shared" si="13"/>
        <v>3003.3900819999999</v>
      </c>
      <c r="F25" s="76">
        <f t="shared" si="13"/>
        <v>3585.8276000000001</v>
      </c>
      <c r="G25" s="76">
        <f t="shared" si="13"/>
        <v>2885.3491739999999</v>
      </c>
      <c r="H25" s="71">
        <f t="shared" si="13"/>
        <v>2945.0571249999994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34.474901302125957</v>
      </c>
      <c r="E26" s="79">
        <f>(E25/D25-1)*100</f>
        <v>28.19292761440153</v>
      </c>
      <c r="F26" s="79">
        <f>(F25/E25-1)*100</f>
        <v>19.39266968652127</v>
      </c>
      <c r="G26" s="79">
        <f>(G25/F25-1)*100</f>
        <v>-19.534637582688031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1742.233829</v>
      </c>
      <c r="D28" s="76">
        <f t="shared" ref="D28:F28" si="14">SUMPRODUCT(D13:D24,$N$13:$N$24)</f>
        <v>2342.8672219999999</v>
      </c>
      <c r="E28" s="76">
        <f t="shared" si="14"/>
        <v>3003.3900819999999</v>
      </c>
      <c r="F28" s="76">
        <f t="shared" si="14"/>
        <v>3585.8276000000001</v>
      </c>
      <c r="G28" s="76">
        <f>SUMPRODUCT(G13:G24,$N$13:$N$24)</f>
        <v>2885.3491739999999</v>
      </c>
      <c r="H28" s="72">
        <f>SUMPRODUCT(H13:H24,$N$13:$N$24)</f>
        <v>2945.0571249999994</v>
      </c>
      <c r="I28" s="73">
        <f>IF(OR(OR(H28=0,G28=0),H28=""),"",(H28/G28-1)*100)</f>
        <v>2.0693492329465712</v>
      </c>
      <c r="J28" s="31">
        <f>IF(OR(OR(H28=0,G28=0),H28=""),"",H28/G28*100)</f>
        <v>102.06934923294656</v>
      </c>
      <c r="K28" s="31">
        <f>IF(OR(OR(H28=0,G28=0),G28=""),"",(G28/F28-1)*100)</f>
        <v>-19.534637582688031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34.474901302125957</v>
      </c>
      <c r="E29" s="79">
        <f t="shared" ref="E29:H29" si="15">(E28/D28-1)*100</f>
        <v>28.19292761440153</v>
      </c>
      <c r="F29" s="79">
        <f t="shared" si="15"/>
        <v>19.39266968652127</v>
      </c>
      <c r="G29" s="79">
        <f t="shared" si="15"/>
        <v>-19.534637582688031</v>
      </c>
      <c r="H29" s="31">
        <f t="shared" si="15"/>
        <v>2.0693492329465712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s="120" customFormat="1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38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[23]historico_tradicionales!C7/1000000</f>
        <v>3.6753309999999999</v>
      </c>
      <c r="D13" s="77">
        <f>[23]historico_tradicionales!D7/1000000</f>
        <v>8.7509789999999992</v>
      </c>
      <c r="E13" s="77">
        <f>[23]historico_tradicionales!E7/1000000</f>
        <v>1.874771</v>
      </c>
      <c r="F13" s="77">
        <f>[23]historico_tradicionales!F7/1000000</f>
        <v>4.9081330000000003</v>
      </c>
      <c r="G13" s="77">
        <f>[23]historico_tradicionales!G7/1000000</f>
        <v>39.303502999999999</v>
      </c>
      <c r="H13" s="79">
        <f>[23]historico_tradicionales!H7/1000000</f>
        <v>15.849413</v>
      </c>
      <c r="I13" s="77">
        <f t="shared" ref="I13:I20" si="0">IF(OR(OR(H13=0,G13=0),H13=""),"",(H13/G13-1)*100)</f>
        <v>-59.674299260297481</v>
      </c>
      <c r="J13" s="77">
        <f t="shared" ref="J13:J20" si="1">IF(OR(OR(H13=0,G13=0),H13=""),"",H13/G13*100)</f>
        <v>40.325700739702512</v>
      </c>
      <c r="K13" s="77">
        <f t="shared" ref="K13:K20" si="2">IF(OR(OR(H13=0,G13=0),H13=""),"",(G13/F13-1)*100)</f>
        <v>700.78316948623842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[23]historico_tradicionales!C8/1000000</f>
        <v>2.670318</v>
      </c>
      <c r="D14" s="77">
        <f>[23]historico_tradicionales!D8/1000000</f>
        <v>14.405146</v>
      </c>
      <c r="E14" s="77">
        <f>[23]historico_tradicionales!E8/1000000</f>
        <v>5.7721080000000002</v>
      </c>
      <c r="F14" s="77">
        <f>[23]historico_tradicionales!F8/1000000</f>
        <v>13.215481</v>
      </c>
      <c r="G14" s="77">
        <f>[23]historico_tradicionales!G8/1000000</f>
        <v>35.060710999999998</v>
      </c>
      <c r="H14" s="79">
        <f>[23]historico_tradicionales!H8/1000000</f>
        <v>15.829122</v>
      </c>
      <c r="I14" s="77">
        <f t="shared" si="0"/>
        <v>-54.85225042926254</v>
      </c>
      <c r="J14" s="77">
        <f t="shared" si="1"/>
        <v>45.14774957073746</v>
      </c>
      <c r="K14" s="77">
        <f t="shared" si="2"/>
        <v>165.30030197160434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[23]historico_tradicionales!C9/1000000</f>
        <v>3.2938890000000001</v>
      </c>
      <c r="D15" s="77">
        <f>[23]historico_tradicionales!D9/1000000</f>
        <v>14.52323</v>
      </c>
      <c r="E15" s="77">
        <f>[23]historico_tradicionales!E9/1000000</f>
        <v>4.6735509999999998</v>
      </c>
      <c r="F15" s="77">
        <f>[23]historico_tradicionales!F9/1000000</f>
        <v>15.536369000000001</v>
      </c>
      <c r="G15" s="77">
        <f>[23]historico_tradicionales!G9/1000000</f>
        <v>32.991284</v>
      </c>
      <c r="H15" s="79">
        <f>[23]historico_tradicionales!H9/1000000</f>
        <v>23.157443000000001</v>
      </c>
      <c r="I15" s="77">
        <f t="shared" si="0"/>
        <v>-29.807390946045022</v>
      </c>
      <c r="J15" s="77">
        <f>IF(OR(OR(H15=0,G15=0),H15=""),"",H15/G15*100)</f>
        <v>70.192609053954982</v>
      </c>
      <c r="K15" s="77">
        <f t="shared" si="2"/>
        <v>112.34874120201445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[23]historico_tradicionales!C10/1000000</f>
        <v>7.7814909999999999</v>
      </c>
      <c r="D16" s="77">
        <f>[23]historico_tradicionales!D10/1000000</f>
        <v>8.5325790000000001</v>
      </c>
      <c r="E16" s="77">
        <f>[23]historico_tradicionales!E10/1000000</f>
        <v>6.6025619999999998</v>
      </c>
      <c r="F16" s="77">
        <f>[23]historico_tradicionales!F10/1000000</f>
        <v>24.652837000000002</v>
      </c>
      <c r="G16" s="77">
        <f>[23]historico_tradicionales!G10/1000000</f>
        <v>30.051521999999999</v>
      </c>
      <c r="H16" s="79">
        <f>[23]historico_tradicionales!H10/1000000</f>
        <v>14.453158999999999</v>
      </c>
      <c r="I16" s="77">
        <f t="shared" si="0"/>
        <v>-51.905400997659946</v>
      </c>
      <c r="J16" s="77">
        <f t="shared" si="1"/>
        <v>48.094599002340047</v>
      </c>
      <c r="K16" s="77">
        <f t="shared" si="2"/>
        <v>21.898838661043342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[23]historico_tradicionales!C11/1000000</f>
        <v>13.148751000000001</v>
      </c>
      <c r="D17" s="77">
        <f>[23]historico_tradicionales!D11/1000000</f>
        <v>7.4594589999999998</v>
      </c>
      <c r="E17" s="77">
        <f>[23]historico_tradicionales!E11/1000000</f>
        <v>3.242162</v>
      </c>
      <c r="F17" s="77">
        <f>[23]historico_tradicionales!F11/1000000</f>
        <v>30.291212000000002</v>
      </c>
      <c r="G17" s="77">
        <f>[23]historico_tradicionales!G11/1000000</f>
        <v>15.3309</v>
      </c>
      <c r="H17" s="79">
        <f>[23]historico_tradicionales!H11/1000000</f>
        <v>25.110378999999998</v>
      </c>
      <c r="I17" s="77">
        <f t="shared" si="0"/>
        <v>63.789333959519645</v>
      </c>
      <c r="J17" s="77">
        <f t="shared" si="1"/>
        <v>163.78933395951964</v>
      </c>
      <c r="K17" s="77">
        <f t="shared" si="2"/>
        <v>-49.388291231133309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[23]historico_tradicionales!C12/1000000</f>
        <v>11.514752</v>
      </c>
      <c r="D18" s="77">
        <f>[23]historico_tradicionales!D12/1000000</f>
        <v>6.3544809999999998</v>
      </c>
      <c r="E18" s="77">
        <f>[23]historico_tradicionales!E12/1000000</f>
        <v>7.9832020000000004</v>
      </c>
      <c r="F18" s="77">
        <f>[23]historico_tradicionales!F12/1000000</f>
        <v>33.686580999999997</v>
      </c>
      <c r="G18" s="77">
        <f>[23]historico_tradicionales!G12/1000000</f>
        <v>27.916739</v>
      </c>
      <c r="H18" s="79">
        <f>[23]historico_tradicionales!H12/1000000</f>
        <v>32.448985999999998</v>
      </c>
      <c r="I18" s="77">
        <f t="shared" si="0"/>
        <v>16.234872561583913</v>
      </c>
      <c r="J18" s="77">
        <f t="shared" si="1"/>
        <v>116.23487256158391</v>
      </c>
      <c r="K18" s="77">
        <f t="shared" si="2"/>
        <v>-17.128013080341987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[23]historico_tradicionales!C13/1000000</f>
        <v>10.021549</v>
      </c>
      <c r="D19" s="77">
        <f>[23]historico_tradicionales!D13/1000000</f>
        <v>6.0832790000000001</v>
      </c>
      <c r="E19" s="77">
        <f>[23]historico_tradicionales!E13/1000000</f>
        <v>6.9392620000000003</v>
      </c>
      <c r="F19" s="77">
        <f>[23]historico_tradicionales!F13/1000000</f>
        <v>27.157115999999998</v>
      </c>
      <c r="G19" s="77">
        <f>[23]historico_tradicionales!G13/1000000</f>
        <v>13.003639</v>
      </c>
      <c r="H19" s="79">
        <f>[23]historico_tradicionales!H13/1000000</f>
        <v>13.670313</v>
      </c>
      <c r="I19" s="77">
        <f>IF(OR(OR(H19=0,G19=0),H19=""),"",(H19/G19-1)*100)</f>
        <v>5.1268264214348047</v>
      </c>
      <c r="J19" s="77">
        <f t="shared" si="1"/>
        <v>105.1268264214348</v>
      </c>
      <c r="K19" s="77">
        <f t="shared" si="2"/>
        <v>-52.117010510247106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[23]historico_tradicionales!C14/1000000</f>
        <v>6.0246149999999998</v>
      </c>
      <c r="D20" s="77">
        <f>[23]historico_tradicionales!D14/1000000</f>
        <v>8.4134539999999998</v>
      </c>
      <c r="E20" s="77">
        <f>[23]historico_tradicionales!E14/1000000</f>
        <v>5.3976499999999996</v>
      </c>
      <c r="F20" s="77">
        <f>[23]historico_tradicionales!F14/1000000</f>
        <v>17.197130999999999</v>
      </c>
      <c r="G20" s="77">
        <f>[23]historico_tradicionales!G14/1000000</f>
        <v>13.985434</v>
      </c>
      <c r="H20" s="79">
        <f>[23]historico_tradicionales!H14/1000000</f>
        <v>20.26548</v>
      </c>
      <c r="I20" s="77">
        <f t="shared" si="0"/>
        <v>44.904191031897909</v>
      </c>
      <c r="J20" s="77">
        <f t="shared" si="1"/>
        <v>144.90419103189791</v>
      </c>
      <c r="K20" s="77">
        <f t="shared" si="2"/>
        <v>-18.675772138968995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[23]historico_tradicionales!C15/1000000</f>
        <v>4.5302100000000003</v>
      </c>
      <c r="D21" s="77">
        <f>[23]historico_tradicionales!D15/1000000</f>
        <v>6.8720569999999999</v>
      </c>
      <c r="E21" s="77">
        <f>[23]historico_tradicionales!E15/1000000</f>
        <v>4.3388260000000001</v>
      </c>
      <c r="F21" s="77">
        <f>[23]historico_tradicionales!F15/1000000</f>
        <v>27.797909000000001</v>
      </c>
      <c r="G21" s="77">
        <f>[23]historico_tradicionales!G15/1000000</f>
        <v>16.610230999999999</v>
      </c>
      <c r="H21" s="79">
        <f>[23]historico_tradicionales!H15/1000000</f>
        <v>18.732261000000001</v>
      </c>
      <c r="I21" s="77">
        <f t="shared" ref="I21:I24" si="4">IF(OR(OR(H21=0,G21=0),H21=""),"",(H21/G21-1)*100)</f>
        <v>12.775439426459535</v>
      </c>
      <c r="J21" s="77">
        <f t="shared" ref="J21:J24" si="5">IF(OR(OR(H21=0,G21=0),H21=""),"",H21/G21*100)</f>
        <v>112.77543942645953</v>
      </c>
      <c r="K21" s="77">
        <f t="shared" ref="K21:K24" si="6">IF(OR(OR(H21=0,G21=0),H21=""),"",(G21/F21-1)*100)</f>
        <v>-40.24647321494578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[23]historico_tradicionales!C16/1000000</f>
        <v>6.4955809999999996</v>
      </c>
      <c r="D22" s="77">
        <f>[23]historico_tradicionales!D16/1000000</f>
        <v>11.412822999999999</v>
      </c>
      <c r="E22" s="77">
        <f>[23]historico_tradicionales!E16/1000000</f>
        <v>5.1464340000000002</v>
      </c>
      <c r="F22" s="77">
        <f>[23]historico_tradicionales!F16/1000000</f>
        <v>37.939425</v>
      </c>
      <c r="G22" s="77">
        <f>[23]historico_tradicionales!G16/1000000</f>
        <v>12.805666</v>
      </c>
      <c r="H22" s="79">
        <f>[23]historico_tradicionales!H16/1000000</f>
        <v>24.136126000000001</v>
      </c>
      <c r="I22" s="77">
        <f t="shared" si="4"/>
        <v>88.480052501759758</v>
      </c>
      <c r="J22" s="77">
        <f t="shared" si="5"/>
        <v>188.48005250175976</v>
      </c>
      <c r="K22" s="77">
        <f t="shared" si="6"/>
        <v>-66.247074118809124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[23]historico_tradicionales!C17/1000000</f>
        <v>9.9599689999999992</v>
      </c>
      <c r="D23" s="77">
        <f>[23]historico_tradicionales!D17/1000000</f>
        <v>7.3147710000000004</v>
      </c>
      <c r="E23" s="77">
        <f>[23]historico_tradicionales!E17/1000000</f>
        <v>7.3548419999999997</v>
      </c>
      <c r="F23" s="77">
        <f>[23]historico_tradicionales!F17/1000000</f>
        <v>23.466853</v>
      </c>
      <c r="G23" s="77">
        <f>[23]historico_tradicionales!G17/1000000</f>
        <v>16.578146</v>
      </c>
      <c r="H23" s="79">
        <f>[23]historico_tradicionales!H17/1000000</f>
        <v>33.995558000000003</v>
      </c>
      <c r="I23" s="77">
        <f t="shared" si="4"/>
        <v>105.0624840678807</v>
      </c>
      <c r="J23" s="77">
        <f t="shared" si="5"/>
        <v>205.06248406788069</v>
      </c>
      <c r="K23" s="77">
        <f t="shared" si="6"/>
        <v>-29.355052422240004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[23]historico_tradicionales!C18/1000000</f>
        <v>10.372097999999999</v>
      </c>
      <c r="D24" s="77">
        <f>[23]historico_tradicionales!D18/1000000</f>
        <v>4.60947</v>
      </c>
      <c r="E24" s="77">
        <f>[23]historico_tradicionales!E18/1000000</f>
        <v>6.0318759999999996</v>
      </c>
      <c r="F24" s="77">
        <f>[23]historico_tradicionales!F18/1000000</f>
        <v>31.650980000000001</v>
      </c>
      <c r="G24" s="77">
        <f>[23]historico_tradicionales!G18/1000000</f>
        <v>23.241848000000001</v>
      </c>
      <c r="H24" s="31">
        <f>[23]historico_tradicionales!H18/1000000</f>
        <v>30.091881000000001</v>
      </c>
      <c r="I24" s="25">
        <f t="shared" si="4"/>
        <v>29.472841402284367</v>
      </c>
      <c r="J24" s="25">
        <f t="shared" si="5"/>
        <v>129.47284140228436</v>
      </c>
      <c r="K24" s="25">
        <f t="shared" si="6"/>
        <v>-26.568314788357263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7">SUM(C13:C24)</f>
        <v>89.488553999999993</v>
      </c>
      <c r="D25" s="79">
        <f t="shared" si="7"/>
        <v>104.73172800000002</v>
      </c>
      <c r="E25" s="79">
        <f t="shared" si="7"/>
        <v>65.357245999999989</v>
      </c>
      <c r="F25" s="79">
        <f t="shared" si="7"/>
        <v>287.50002699999999</v>
      </c>
      <c r="G25" s="79">
        <f>SUM(G13:G24)</f>
        <v>276.87962300000004</v>
      </c>
      <c r="H25" s="107">
        <f>SUM(H13:H24)</f>
        <v>267.74012099999999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17.033657734597018</v>
      </c>
      <c r="E26" s="79">
        <f>(E25/D25-1)*100</f>
        <v>-37.595562254066905</v>
      </c>
      <c r="F26" s="79">
        <f>(F25/E25-1)*100</f>
        <v>339.89005748498033</v>
      </c>
      <c r="G26" s="79">
        <f>(G25/F25-1)*100</f>
        <v>-3.6940532182975994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89.488553999999993</v>
      </c>
      <c r="D28" s="76">
        <f t="shared" ref="D28:E28" si="8">SUMPRODUCT(D13:D24,$N$13:$N$24)</f>
        <v>104.73172800000002</v>
      </c>
      <c r="E28" s="76">
        <f t="shared" si="8"/>
        <v>65.357245999999989</v>
      </c>
      <c r="F28" s="76">
        <f>SUMPRODUCT(F13:F24,$N$13:$N$24)</f>
        <v>287.50002699999999</v>
      </c>
      <c r="G28" s="76">
        <f>SUMPRODUCT(G13:G24,$N$13:$N$24)</f>
        <v>276.87962300000004</v>
      </c>
      <c r="H28" s="72">
        <f>SUMPRODUCT(H13:H24,$N$13:$N$24)</f>
        <v>267.74012099999999</v>
      </c>
      <c r="I28" s="73">
        <f>IF(OR(OR(H28=0,G28=0),H28=""),"",(H28/G28-1)*100)</f>
        <v>-3.3008936883737516</v>
      </c>
      <c r="J28" s="31">
        <f>IF(OR(OR(H28=0,G28=0),H28=""),"",H28/G28*100)</f>
        <v>96.699106311626252</v>
      </c>
      <c r="K28" s="31">
        <f>IF(OR(OR(H28=0,G28=0),G28=""),"",(G28/F28-1)*100)</f>
        <v>-3.6940532182975994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17.033657734597018</v>
      </c>
      <c r="E29" s="79">
        <f t="shared" ref="E29:H29" si="9">(E28/D28-1)*100</f>
        <v>-37.595562254066905</v>
      </c>
      <c r="F29" s="79">
        <f t="shared" si="9"/>
        <v>339.89005748498033</v>
      </c>
      <c r="G29" s="79">
        <f t="shared" si="9"/>
        <v>-3.6940532182975994</v>
      </c>
      <c r="H29" s="31">
        <f t="shared" si="9"/>
        <v>-3.3008936883737516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s="120" customFormat="1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39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f>[23]historico_tradicionales!C19/1000000</f>
        <v>84.810972000000007</v>
      </c>
      <c r="D13" s="75">
        <f>[23]historico_tradicionales!D19/1000000</f>
        <v>114.957291</v>
      </c>
      <c r="E13" s="75">
        <f>[23]historico_tradicionales!E19/1000000</f>
        <v>157.83788999999999</v>
      </c>
      <c r="F13" s="75">
        <f>[23]historico_tradicionales!F19/1000000</f>
        <v>205.29909900000001</v>
      </c>
      <c r="G13" s="75">
        <f>[23]historico_tradicionales!G19/1000000</f>
        <v>202.697429</v>
      </c>
      <c r="H13" s="76">
        <f>[23]historico_tradicionales!H19/1000000</f>
        <v>154.947247</v>
      </c>
      <c r="I13" s="77">
        <f t="shared" ref="I13:I20" si="0">IF(OR(OR(H13=0,G13=0),H13=""),"",(H13/G13-1)*100)</f>
        <v>-23.55736934384106</v>
      </c>
      <c r="J13" s="77">
        <f t="shared" ref="J13:J20" si="1">IF(OR(OR(H13=0,G13=0),H13=""),"",H13/G13*100)</f>
        <v>76.44263065615894</v>
      </c>
      <c r="K13" s="77">
        <f t="shared" ref="K13:K20" si="2">IF(OR(OR(H13=0,G13=0),H13=""),"",(G13/F13-1)*100)</f>
        <v>-1.2672583623954514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5">
        <f>[23]historico_tradicionales!C20/1000000</f>
        <v>104.337604</v>
      </c>
      <c r="D14" s="75">
        <f>[23]historico_tradicionales!D20/1000000</f>
        <v>170.50025199999999</v>
      </c>
      <c r="E14" s="75">
        <f>[23]historico_tradicionales!E20/1000000</f>
        <v>185.37441999999999</v>
      </c>
      <c r="F14" s="75">
        <f>[23]historico_tradicionales!F20/1000000</f>
        <v>248.890377</v>
      </c>
      <c r="G14" s="75">
        <f>[23]historico_tradicionales!G20/1000000</f>
        <v>216.908951</v>
      </c>
      <c r="H14" s="76">
        <f>[23]historico_tradicionales!H20/1000000</f>
        <v>190.69005899999999</v>
      </c>
      <c r="I14" s="77">
        <f t="shared" si="0"/>
        <v>-12.087510395087387</v>
      </c>
      <c r="J14" s="77">
        <f t="shared" si="1"/>
        <v>87.912489604912608</v>
      </c>
      <c r="K14" s="77">
        <f t="shared" si="2"/>
        <v>-12.849603261278354</v>
      </c>
      <c r="L14" s="65"/>
      <c r="N14" s="43">
        <f t="shared" si="3"/>
        <v>1</v>
      </c>
    </row>
    <row r="15" spans="1:15">
      <c r="A15" s="63"/>
      <c r="B15" s="74" t="s">
        <v>13</v>
      </c>
      <c r="C15" s="75">
        <f>[23]historico_tradicionales!C21/1000000</f>
        <v>121.38268600000001</v>
      </c>
      <c r="D15" s="75">
        <f>[23]historico_tradicionales!D21/1000000</f>
        <v>189.63065599999999</v>
      </c>
      <c r="E15" s="75">
        <f>[23]historico_tradicionales!E21/1000000</f>
        <v>222.29245700000001</v>
      </c>
      <c r="F15" s="75">
        <f>[23]historico_tradicionales!F21/1000000</f>
        <v>250.64170899999999</v>
      </c>
      <c r="G15" s="75">
        <f>[23]historico_tradicionales!G21/1000000</f>
        <v>239.327665</v>
      </c>
      <c r="H15" s="76">
        <f>[23]historico_tradicionales!H21/1000000</f>
        <v>273.62030399999998</v>
      </c>
      <c r="I15" s="77">
        <f t="shared" si="0"/>
        <v>14.328740056023182</v>
      </c>
      <c r="J15" s="77">
        <f>IF(OR(OR(H15=0,G15=0),H15=""),"",H15/G15*100)</f>
        <v>114.32874005602318</v>
      </c>
      <c r="K15" s="77">
        <f t="shared" si="2"/>
        <v>-4.5140308231779507</v>
      </c>
      <c r="L15" s="65"/>
      <c r="N15" s="43">
        <f t="shared" si="3"/>
        <v>1</v>
      </c>
    </row>
    <row r="16" spans="1:15">
      <c r="A16" s="63"/>
      <c r="B16" s="74" t="s">
        <v>14</v>
      </c>
      <c r="C16" s="75">
        <f>[23]historico_tradicionales!C22/1000000</f>
        <v>154.21280100000001</v>
      </c>
      <c r="D16" s="75">
        <f>[23]historico_tradicionales!D22/1000000</f>
        <v>163.154492</v>
      </c>
      <c r="E16" s="75">
        <f>[23]historico_tradicionales!E22/1000000</f>
        <v>201.173699</v>
      </c>
      <c r="F16" s="75">
        <f>[23]historico_tradicionales!F22/1000000</f>
        <v>317.47812399999998</v>
      </c>
      <c r="G16" s="75">
        <f>[23]historico_tradicionales!G22/1000000</f>
        <v>193.66620599999999</v>
      </c>
      <c r="H16" s="76">
        <f>[23]historico_tradicionales!H22/1000000</f>
        <v>212.12041400000001</v>
      </c>
      <c r="I16" s="77">
        <f t="shared" si="0"/>
        <v>9.5288736125702869</v>
      </c>
      <c r="J16" s="77">
        <f t="shared" si="1"/>
        <v>109.52887361257029</v>
      </c>
      <c r="K16" s="77">
        <f t="shared" si="2"/>
        <v>-38.9985667169937</v>
      </c>
      <c r="L16" s="65"/>
      <c r="N16" s="43">
        <f t="shared" si="3"/>
        <v>1</v>
      </c>
    </row>
    <row r="17" spans="1:15">
      <c r="A17" s="63"/>
      <c r="B17" s="74" t="s">
        <v>15</v>
      </c>
      <c r="C17" s="75">
        <f>[23]historico_tradicionales!C23/1000000</f>
        <v>147.21910299999999</v>
      </c>
      <c r="D17" s="75">
        <f>[23]historico_tradicionales!D23/1000000</f>
        <v>183.890027</v>
      </c>
      <c r="E17" s="75">
        <f>[23]historico_tradicionales!E23/1000000</f>
        <v>260.15355799999998</v>
      </c>
      <c r="F17" s="75">
        <f>[23]historico_tradicionales!F23/1000000</f>
        <v>272.72766200000001</v>
      </c>
      <c r="G17" s="75">
        <f>[23]historico_tradicionales!G23/1000000</f>
        <v>252.74177800000001</v>
      </c>
      <c r="H17" s="76">
        <f>[23]historico_tradicionales!H23/1000000</f>
        <v>330.19405699999999</v>
      </c>
      <c r="I17" s="77">
        <f t="shared" si="0"/>
        <v>30.644826357120891</v>
      </c>
      <c r="J17" s="77">
        <f t="shared" si="1"/>
        <v>130.64482635712091</v>
      </c>
      <c r="K17" s="77">
        <f t="shared" si="2"/>
        <v>-7.328147006958174</v>
      </c>
      <c r="L17" s="65"/>
      <c r="N17" s="43">
        <f t="shared" si="3"/>
        <v>1</v>
      </c>
    </row>
    <row r="18" spans="1:15">
      <c r="A18" s="63"/>
      <c r="B18" s="74" t="s">
        <v>16</v>
      </c>
      <c r="C18" s="75">
        <f>[23]historico_tradicionales!C24/1000000</f>
        <v>144.94012499999999</v>
      </c>
      <c r="D18" s="75">
        <f>[23]historico_tradicionales!D24/1000000</f>
        <v>194.40734800000001</v>
      </c>
      <c r="E18" s="75">
        <f>[23]historico_tradicionales!E24/1000000</f>
        <v>215.78472600000001</v>
      </c>
      <c r="F18" s="75">
        <f>[23]historico_tradicionales!F24/1000000</f>
        <v>259.19445100000002</v>
      </c>
      <c r="G18" s="75">
        <f>[23]historico_tradicionales!G24/1000000</f>
        <v>225.42042000000001</v>
      </c>
      <c r="H18" s="76">
        <f>[23]historico_tradicionales!H24/1000000</f>
        <v>201.914582</v>
      </c>
      <c r="I18" s="77">
        <f t="shared" si="0"/>
        <v>-10.427554877237831</v>
      </c>
      <c r="J18" s="77">
        <f t="shared" si="1"/>
        <v>89.572445122762161</v>
      </c>
      <c r="K18" s="77">
        <f t="shared" si="2"/>
        <v>-13.030383509251909</v>
      </c>
      <c r="L18" s="65"/>
      <c r="N18" s="43">
        <f t="shared" si="3"/>
        <v>1</v>
      </c>
    </row>
    <row r="19" spans="1:15">
      <c r="A19" s="63"/>
      <c r="B19" s="74" t="s">
        <v>17</v>
      </c>
      <c r="C19" s="75">
        <f>[23]historico_tradicionales!C25/1000000</f>
        <v>147.693645</v>
      </c>
      <c r="D19" s="75">
        <f>[23]historico_tradicionales!D25/1000000</f>
        <v>185.96501000000001</v>
      </c>
      <c r="E19" s="75">
        <f>[23]historico_tradicionales!E25/1000000</f>
        <v>239.58005</v>
      </c>
      <c r="F19" s="75">
        <f>[23]historico_tradicionales!F25/1000000</f>
        <v>311.69479100000001</v>
      </c>
      <c r="G19" s="75">
        <f>[23]historico_tradicionales!G25/1000000</f>
        <v>213.838402</v>
      </c>
      <c r="H19" s="76">
        <f>[23]historico_tradicionales!H25/1000000</f>
        <v>181.86557500000001</v>
      </c>
      <c r="I19" s="77">
        <f>IF(OR(OR(H19=0,G19=0),H19=""),"",(H19/G19-1)*100)</f>
        <v>-14.951863978108104</v>
      </c>
      <c r="J19" s="77">
        <f t="shared" si="1"/>
        <v>85.048136021891892</v>
      </c>
      <c r="K19" s="77">
        <f t="shared" si="2"/>
        <v>-31.394938839385354</v>
      </c>
      <c r="L19" s="65"/>
      <c r="N19" s="43">
        <f t="shared" si="3"/>
        <v>1</v>
      </c>
    </row>
    <row r="20" spans="1:15">
      <c r="A20" s="63"/>
      <c r="B20" s="74" t="s">
        <v>18</v>
      </c>
      <c r="C20" s="75">
        <f>[23]historico_tradicionales!C26/1000000</f>
        <v>148.702901</v>
      </c>
      <c r="D20" s="75">
        <f>[23]historico_tradicionales!D26/1000000</f>
        <v>194.96866</v>
      </c>
      <c r="E20" s="75">
        <f>[23]historico_tradicionales!E26/1000000</f>
        <v>254.47514899999999</v>
      </c>
      <c r="F20" s="75">
        <f>[23]historico_tradicionales!F26/1000000</f>
        <v>272.71803899999998</v>
      </c>
      <c r="G20" s="75">
        <f>[23]historico_tradicionales!G26/1000000</f>
        <v>193.38487799999999</v>
      </c>
      <c r="H20" s="76">
        <f>[23]historico_tradicionales!H26/1000000</f>
        <v>201.64910900000001</v>
      </c>
      <c r="I20" s="77">
        <f t="shared" si="0"/>
        <v>4.273462891964086</v>
      </c>
      <c r="J20" s="77">
        <f t="shared" si="1"/>
        <v>104.27346289196409</v>
      </c>
      <c r="K20" s="77">
        <f t="shared" si="2"/>
        <v>-29.089810593717267</v>
      </c>
      <c r="L20" s="65"/>
      <c r="N20" s="43">
        <f t="shared" si="3"/>
        <v>1</v>
      </c>
    </row>
    <row r="21" spans="1:15">
      <c r="A21" s="63"/>
      <c r="B21" s="74" t="s">
        <v>19</v>
      </c>
      <c r="C21" s="75">
        <f>[23]historico_tradicionales!C27/1000000</f>
        <v>155.36595399999999</v>
      </c>
      <c r="D21" s="75">
        <f>[23]historico_tradicionales!D27/1000000</f>
        <v>217.381428</v>
      </c>
      <c r="E21" s="75">
        <f>[23]historico_tradicionales!E27/1000000</f>
        <v>295.14683200000002</v>
      </c>
      <c r="F21" s="75">
        <f>[23]historico_tradicionales!F27/1000000</f>
        <v>240.200468</v>
      </c>
      <c r="G21" s="75">
        <f>[23]historico_tradicionales!G27/1000000</f>
        <v>233.75197299999999</v>
      </c>
      <c r="H21" s="76">
        <f>[23]historico_tradicionales!H27/1000000</f>
        <v>249.96736300000001</v>
      </c>
      <c r="I21" s="77">
        <f t="shared" ref="I21" si="4">IF(OR(OR(H21=0,G21=0),H21=""),"",(H21/G21-1)*100)</f>
        <v>6.9370066878537084</v>
      </c>
      <c r="J21" s="77">
        <f t="shared" ref="J21" si="5">IF(OR(OR(H21=0,G21=0),H21=""),"",H21/G21*100)</f>
        <v>106.93700668785371</v>
      </c>
      <c r="K21" s="77">
        <f t="shared" ref="K21" si="6">IF(OR(OR(H21=0,G21=0),H21=""),"",(G21/F21-1)*100)</f>
        <v>-2.6846304895625783</v>
      </c>
      <c r="L21" s="65"/>
      <c r="N21" s="43">
        <f t="shared" si="3"/>
        <v>1</v>
      </c>
    </row>
    <row r="22" spans="1:15">
      <c r="A22" s="63"/>
      <c r="B22" s="74" t="s">
        <v>20</v>
      </c>
      <c r="C22" s="75">
        <f>[23]historico_tradicionales!C28/1000000</f>
        <v>139.74692400000001</v>
      </c>
      <c r="D22" s="75">
        <f>[23]historico_tradicionales!D28/1000000</f>
        <v>221.875561</v>
      </c>
      <c r="E22" s="75">
        <f>[23]historico_tradicionales!E28/1000000</f>
        <v>290.91647399999999</v>
      </c>
      <c r="F22" s="75">
        <f>[23]historico_tradicionales!F28/1000000</f>
        <v>371.00723399999998</v>
      </c>
      <c r="G22" s="75">
        <f>[23]historico_tradicionales!G28/1000000</f>
        <v>206.41176200000001</v>
      </c>
      <c r="H22" s="76">
        <f>[23]historico_tradicionales!H28/1000000</f>
        <v>227.15434099999999</v>
      </c>
      <c r="I22" s="77">
        <f t="shared" ref="I22" si="7">IF(OR(OR(H22=0,G22=0),H22=""),"",(H22/G22-1)*100)</f>
        <v>10.049126464023871</v>
      </c>
      <c r="J22" s="77">
        <f t="shared" ref="J22" si="8">IF(OR(OR(H22=0,G22=0),H22=""),"",H22/G22*100)</f>
        <v>110.04912646402387</v>
      </c>
      <c r="K22" s="77">
        <f t="shared" ref="K22" si="9">IF(OR(OR(H22=0,G22=0),H22=""),"",(G22/F22-1)*100)</f>
        <v>-44.364491286442131</v>
      </c>
      <c r="L22" s="65"/>
      <c r="N22" s="43">
        <f t="shared" si="3"/>
        <v>1</v>
      </c>
    </row>
    <row r="23" spans="1:15">
      <c r="A23" s="63"/>
      <c r="B23" s="74" t="s">
        <v>21</v>
      </c>
      <c r="C23" s="75">
        <f>[23]historico_tradicionales!C29/1000000</f>
        <v>159.111952</v>
      </c>
      <c r="D23" s="75">
        <f>[23]historico_tradicionales!D29/1000000</f>
        <v>218.28634500000001</v>
      </c>
      <c r="E23" s="75">
        <f>[23]historico_tradicionales!E29/1000000</f>
        <v>318.60666400000002</v>
      </c>
      <c r="F23" s="75">
        <f>[23]historico_tradicionales!F29/1000000</f>
        <v>261.51437399999998</v>
      </c>
      <c r="G23" s="75">
        <f>[23]historico_tradicionales!G29/1000000</f>
        <v>210.399902</v>
      </c>
      <c r="H23" s="76">
        <f>[23]historico_tradicionales!H29/1000000</f>
        <v>202.186712</v>
      </c>
      <c r="I23" s="77">
        <f t="shared" ref="I23:I24" si="10">IF(OR(OR(H23=0,G23=0),H23=""),"",(H23/G23-1)*100)</f>
        <v>-3.9036092326697025</v>
      </c>
      <c r="J23" s="77">
        <f t="shared" ref="J23:J24" si="11">IF(OR(OR(H23=0,G23=0),H23=""),"",H23/G23*100)</f>
        <v>96.096390767330291</v>
      </c>
      <c r="K23" s="77">
        <f t="shared" ref="K23:K24" si="12">IF(OR(OR(H23=0,G23=0),H23=""),"",(G23/F23-1)*100)</f>
        <v>-19.54556884127523</v>
      </c>
      <c r="L23" s="65"/>
      <c r="N23" s="43">
        <f t="shared" si="3"/>
        <v>1</v>
      </c>
    </row>
    <row r="24" spans="1:15">
      <c r="A24" s="63"/>
      <c r="B24" s="74" t="s">
        <v>22</v>
      </c>
      <c r="C24" s="75">
        <f>[23]historico_tradicionales!C30/1000000</f>
        <v>145.22060999999999</v>
      </c>
      <c r="D24" s="75">
        <f>[23]historico_tradicionales!D30/1000000</f>
        <v>183.11842100000001</v>
      </c>
      <c r="E24" s="75">
        <f>[23]historico_tradicionales!E30/1000000</f>
        <v>296.690921</v>
      </c>
      <c r="F24" s="75">
        <f>[23]historico_tradicionales!F30/1000000</f>
        <v>286.96124800000001</v>
      </c>
      <c r="G24" s="75">
        <f>[23]historico_tradicionales!G30/1000000</f>
        <v>219.920185</v>
      </c>
      <c r="H24" s="72">
        <f>[23]historico_tradicionales!H30/1000000</f>
        <v>251.00724099999999</v>
      </c>
      <c r="I24" s="25">
        <f t="shared" si="10"/>
        <v>14.135608334450978</v>
      </c>
      <c r="J24" s="25">
        <f t="shared" si="11"/>
        <v>114.13560833445098</v>
      </c>
      <c r="K24" s="25">
        <f t="shared" si="12"/>
        <v>-23.36240989584768</v>
      </c>
      <c r="L24" s="65"/>
      <c r="N24" s="43">
        <f t="shared" si="3"/>
        <v>1</v>
      </c>
    </row>
    <row r="25" spans="1:15">
      <c r="A25" s="63"/>
      <c r="B25" s="78" t="s">
        <v>42</v>
      </c>
      <c r="C25" s="76">
        <f t="shared" ref="C25:F25" si="13">SUM(C13:C24)</f>
        <v>1652.745277</v>
      </c>
      <c r="D25" s="76">
        <f t="shared" si="13"/>
        <v>2238.135491</v>
      </c>
      <c r="E25" s="76">
        <f t="shared" si="13"/>
        <v>2938.0328399999999</v>
      </c>
      <c r="F25" s="76">
        <f t="shared" si="13"/>
        <v>3298.3275760000001</v>
      </c>
      <c r="G25" s="76">
        <f>SUM(G13:G24)</f>
        <v>2608.4695510000001</v>
      </c>
      <c r="H25" s="71">
        <f>SUM(H13:H24)</f>
        <v>2677.3170039999995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35.419264066062127</v>
      </c>
      <c r="E26" s="79">
        <f>(E25/D25-1)*100</f>
        <v>31.271446783022295</v>
      </c>
      <c r="F26" s="79">
        <f>(F25/E25-1)*100</f>
        <v>12.263128277354451</v>
      </c>
      <c r="G26" s="79">
        <f>(G25/F25-1)*100</f>
        <v>-20.91538845382409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1652.745277</v>
      </c>
      <c r="D28" s="76">
        <f t="shared" ref="D28:E28" si="14">SUMPRODUCT(D13:D24,$N$13:$N$24)</f>
        <v>2238.135491</v>
      </c>
      <c r="E28" s="76">
        <f t="shared" si="14"/>
        <v>2938.0328399999999</v>
      </c>
      <c r="F28" s="76">
        <f>SUMPRODUCT(F13:F24,$N$13:$N$24)</f>
        <v>3298.3275760000001</v>
      </c>
      <c r="G28" s="76">
        <f>SUMPRODUCT(G13:G24,$N$13:$N$24)</f>
        <v>2608.4695510000001</v>
      </c>
      <c r="H28" s="72">
        <f>SUMPRODUCT(H13:H24,$N$13:$N$24)</f>
        <v>2677.3170039999995</v>
      </c>
      <c r="I28" s="73">
        <f>IF(OR(OR(H28=0,G28=0),H28=""),"",(H28/G28-1)*100)</f>
        <v>2.6393811257488409</v>
      </c>
      <c r="J28" s="31">
        <f>IF(OR(OR(H28=0,G28=0),H28=""),"",H28/G28*100)</f>
        <v>102.63938112574884</v>
      </c>
      <c r="K28" s="31">
        <f>IF(OR(OR(H28=0,G28=0),G28=""),"",(G28/F28-1)*100)</f>
        <v>-20.91538845382409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35.419264066062127</v>
      </c>
      <c r="E29" s="79">
        <f t="shared" ref="E29:H29" si="15">(E28/D28-1)*100</f>
        <v>31.271446783022295</v>
      </c>
      <c r="F29" s="79">
        <f t="shared" si="15"/>
        <v>12.263128277354451</v>
      </c>
      <c r="G29" s="79">
        <f t="shared" si="15"/>
        <v>-20.91538845382409</v>
      </c>
      <c r="H29" s="31">
        <f t="shared" si="15"/>
        <v>2.6393811257488409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43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[24]historico_intensidad_tecnologic!C7/1000000</f>
        <v>9.3435199999999998</v>
      </c>
      <c r="D13" s="77">
        <f>[24]historico_intensidad_tecnologic!D7/1000000</f>
        <v>12.546893000000001</v>
      </c>
      <c r="E13" s="77">
        <f>[24]historico_intensidad_tecnologic!E7/1000000</f>
        <v>12.606881</v>
      </c>
      <c r="F13" s="77">
        <f>[24]historico_intensidad_tecnologic!F7/1000000</f>
        <v>11.449368</v>
      </c>
      <c r="G13" s="77">
        <f>[24]historico_intensidad_tecnologic!G7/1000000</f>
        <v>38.223585999999997</v>
      </c>
      <c r="H13" s="79">
        <f>[24]historico_intensidad_tecnologic!H7/1000000</f>
        <v>35.578916999999997</v>
      </c>
      <c r="I13" s="77">
        <f t="shared" ref="I13:I20" si="0">IF(OR(OR(H13=0,G13=0),H13=""),"",(H13/G13-1)*100)</f>
        <v>-6.9189452815860868</v>
      </c>
      <c r="J13" s="77">
        <f t="shared" ref="J13:J20" si="1">IF(OR(OR(H13=0,G13=0),H13=""),"",H13/G13*100)</f>
        <v>93.08105471841391</v>
      </c>
      <c r="K13" s="77">
        <f t="shared" ref="K13:K20" si="2">IF(OR(OR(H13=0,G13=0),H13=""),"",(G13/F13-1)*100)</f>
        <v>233.84887270633627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[24]historico_intensidad_tecnologic!C8/1000000</f>
        <v>6.9922050000000002</v>
      </c>
      <c r="D14" s="77">
        <f>[24]historico_intensidad_tecnologic!D8/1000000</f>
        <v>23.917203000000001</v>
      </c>
      <c r="E14" s="77">
        <f>[24]historico_intensidad_tecnologic!E8/1000000</f>
        <v>15.422553000000001</v>
      </c>
      <c r="F14" s="77">
        <f>[24]historico_intensidad_tecnologic!F8/1000000</f>
        <v>29.353292</v>
      </c>
      <c r="G14" s="77">
        <f>[24]historico_intensidad_tecnologic!G8/1000000</f>
        <v>35.953192999999999</v>
      </c>
      <c r="H14" s="79">
        <f>[24]historico_intensidad_tecnologic!H8/1000000</f>
        <v>39.551887000000001</v>
      </c>
      <c r="I14" s="77">
        <f t="shared" si="0"/>
        <v>10.009386370773798</v>
      </c>
      <c r="J14" s="77">
        <f t="shared" si="1"/>
        <v>110.0093863707738</v>
      </c>
      <c r="K14" s="77">
        <f t="shared" si="2"/>
        <v>22.48436393437574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[24]historico_intensidad_tecnologic!C9/1000000</f>
        <v>11.79768</v>
      </c>
      <c r="D15" s="77">
        <f>[24]historico_intensidad_tecnologic!D9/1000000</f>
        <v>22.769860999999999</v>
      </c>
      <c r="E15" s="77">
        <f>[24]historico_intensidad_tecnologic!E9/1000000</f>
        <v>23.566278000000001</v>
      </c>
      <c r="F15" s="77">
        <f>[24]historico_intensidad_tecnologic!F9/1000000</f>
        <v>27.438889</v>
      </c>
      <c r="G15" s="77">
        <f>[24]historico_intensidad_tecnologic!G9/1000000</f>
        <v>38.081356</v>
      </c>
      <c r="H15" s="79">
        <f>[24]historico_intensidad_tecnologic!H9/1000000</f>
        <v>59.710332000000001</v>
      </c>
      <c r="I15" s="77">
        <f t="shared" si="0"/>
        <v>56.796759022971763</v>
      </c>
      <c r="J15" s="77">
        <f>IF(OR(OR(H15=0,G15=0),H15=""),"",H15/G15*100)</f>
        <v>156.79675902297177</v>
      </c>
      <c r="K15" s="77">
        <f t="shared" si="2"/>
        <v>38.786071112427337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[24]historico_intensidad_tecnologic!C10/1000000</f>
        <v>23.226573999999999</v>
      </c>
      <c r="D16" s="77">
        <f>[24]historico_intensidad_tecnologic!D10/1000000</f>
        <v>14.202802</v>
      </c>
      <c r="E16" s="77">
        <f>[24]historico_intensidad_tecnologic!E10/1000000</f>
        <v>19.489557999999999</v>
      </c>
      <c r="F16" s="77">
        <f>[24]historico_intensidad_tecnologic!F10/1000000</f>
        <v>24.233457000000001</v>
      </c>
      <c r="G16" s="77">
        <f>[24]historico_intensidad_tecnologic!G10/1000000</f>
        <v>40.676340000000003</v>
      </c>
      <c r="H16" s="79">
        <f>[24]historico_intensidad_tecnologic!H10/1000000</f>
        <v>36.316001</v>
      </c>
      <c r="I16" s="77">
        <f t="shared" si="0"/>
        <v>-10.719595224152423</v>
      </c>
      <c r="J16" s="77">
        <f t="shared" si="1"/>
        <v>89.280404775847572</v>
      </c>
      <c r="K16" s="77">
        <f t="shared" si="2"/>
        <v>67.851990741560314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[24]historico_intensidad_tecnologic!C11/1000000</f>
        <v>28.495253999999999</v>
      </c>
      <c r="D17" s="77">
        <f>[24]historico_intensidad_tecnologic!D11/1000000</f>
        <v>13.865957999999999</v>
      </c>
      <c r="E17" s="77">
        <f>[24]historico_intensidad_tecnologic!E11/1000000</f>
        <v>14.27079</v>
      </c>
      <c r="F17" s="77">
        <f>[24]historico_intensidad_tecnologic!F11/1000000</f>
        <v>31.560879</v>
      </c>
      <c r="G17" s="77">
        <f>[24]historico_intensidad_tecnologic!G11/1000000</f>
        <v>31.903929999999999</v>
      </c>
      <c r="H17" s="79">
        <f>[24]historico_intensidad_tecnologic!H11/1000000</f>
        <v>93.453502</v>
      </c>
      <c r="I17" s="77">
        <f t="shared" si="0"/>
        <v>192.92159931394033</v>
      </c>
      <c r="J17" s="77">
        <f t="shared" si="1"/>
        <v>292.92159931394031</v>
      </c>
      <c r="K17" s="77">
        <f t="shared" si="2"/>
        <v>1.0869500814600253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[24]historico_intensidad_tecnologic!C12/1000000</f>
        <v>20.791920999999999</v>
      </c>
      <c r="D18" s="77">
        <f>[24]historico_intensidad_tecnologic!D12/1000000</f>
        <v>19.507474999999999</v>
      </c>
      <c r="E18" s="77">
        <f>[24]historico_intensidad_tecnologic!E12/1000000</f>
        <v>21.550626999999999</v>
      </c>
      <c r="F18" s="77">
        <f>[24]historico_intensidad_tecnologic!F12/1000000</f>
        <v>23.495373000000001</v>
      </c>
      <c r="G18" s="77">
        <f>[24]historico_intensidad_tecnologic!G12/1000000</f>
        <v>41.351607999999999</v>
      </c>
      <c r="H18" s="79">
        <f>[24]historico_intensidad_tecnologic!H12/1000000</f>
        <v>48.789141000000001</v>
      </c>
      <c r="I18" s="77">
        <f t="shared" si="0"/>
        <v>17.98607928378506</v>
      </c>
      <c r="J18" s="77">
        <f t="shared" si="1"/>
        <v>117.98607928378506</v>
      </c>
      <c r="K18" s="77">
        <f t="shared" si="2"/>
        <v>75.998942430069079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[24]historico_intensidad_tecnologic!C13/1000000</f>
        <v>16.613361000000001</v>
      </c>
      <c r="D19" s="77">
        <f>[24]historico_intensidad_tecnologic!D13/1000000</f>
        <v>21.680579000000002</v>
      </c>
      <c r="E19" s="77">
        <f>[24]historico_intensidad_tecnologic!E13/1000000</f>
        <v>20.512635</v>
      </c>
      <c r="F19" s="77">
        <f>[24]historico_intensidad_tecnologic!F13/1000000</f>
        <v>25.970631000000001</v>
      </c>
      <c r="G19" s="77">
        <f>[24]historico_intensidad_tecnologic!G13/1000000</f>
        <v>28.143013</v>
      </c>
      <c r="H19" s="79">
        <f>[24]historico_intensidad_tecnologic!H13/1000000</f>
        <v>27.177731999999999</v>
      </c>
      <c r="I19" s="77">
        <f>IF(OR(OR(H19=0,G19=0),H19=""),"",(H19/G19-1)*100)</f>
        <v>-3.4299134922049834</v>
      </c>
      <c r="J19" s="77">
        <f t="shared" si="1"/>
        <v>96.570086507795011</v>
      </c>
      <c r="K19" s="77">
        <f t="shared" si="2"/>
        <v>8.3647640290295477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[24]historico_intensidad_tecnologic!C14/1000000</f>
        <v>11.735288000000001</v>
      </c>
      <c r="D20" s="77">
        <f>[24]historico_intensidad_tecnologic!D14/1000000</f>
        <v>17.564446</v>
      </c>
      <c r="E20" s="77">
        <f>[24]historico_intensidad_tecnologic!E14/1000000</f>
        <v>17.492294999999999</v>
      </c>
      <c r="F20" s="77">
        <f>[24]historico_intensidad_tecnologic!F14/1000000</f>
        <v>17.662241000000002</v>
      </c>
      <c r="G20" s="77">
        <f>[24]historico_intensidad_tecnologic!G14/1000000</f>
        <v>24.973901999999999</v>
      </c>
      <c r="H20" s="79">
        <f>[24]historico_intensidad_tecnologic!H14/1000000</f>
        <v>50.193392000000003</v>
      </c>
      <c r="I20" s="77">
        <f t="shared" si="0"/>
        <v>100.98337856855531</v>
      </c>
      <c r="J20" s="77">
        <f t="shared" si="1"/>
        <v>200.98337856855531</v>
      </c>
      <c r="K20" s="77">
        <f t="shared" si="2"/>
        <v>41.397130749150101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[24]historico_intensidad_tecnologic!C15/1000000</f>
        <v>11.095378</v>
      </c>
      <c r="D21" s="77">
        <f>[24]historico_intensidad_tecnologic!D15/1000000</f>
        <v>14.578238000000001</v>
      </c>
      <c r="E21" s="77">
        <f>[24]historico_intensidad_tecnologic!E15/1000000</f>
        <v>15.887632</v>
      </c>
      <c r="F21" s="77">
        <f>[24]historico_intensidad_tecnologic!F15/1000000</f>
        <v>11.456572</v>
      </c>
      <c r="G21" s="77">
        <f>[24]historico_intensidad_tecnologic!G15/1000000</f>
        <v>32.465789999999998</v>
      </c>
      <c r="H21" s="79">
        <f>[24]historico_intensidad_tecnologic!H15/1000000</f>
        <v>46.918804999999999</v>
      </c>
      <c r="I21" s="77">
        <f t="shared" ref="I21" si="4">IF(OR(OR(H21=0,G21=0),H21=""),"",(H21/G21-1)*100)</f>
        <v>44.517675374602007</v>
      </c>
      <c r="J21" s="77">
        <f t="shared" ref="J21" si="5">IF(OR(OR(H21=0,G21=0),H21=""),"",H21/G21*100)</f>
        <v>144.51767537460199</v>
      </c>
      <c r="K21" s="77">
        <f t="shared" ref="K21" si="6">IF(OR(OR(H21=0,G21=0),H21=""),"",(G21/F21-1)*100)</f>
        <v>183.38136398915833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[24]historico_intensidad_tecnologic!C16/1000000</f>
        <v>15.369215000000001</v>
      </c>
      <c r="D22" s="77">
        <f>[24]historico_intensidad_tecnologic!D16/1000000</f>
        <v>26.660453</v>
      </c>
      <c r="E22" s="77">
        <f>[24]historico_intensidad_tecnologic!E16/1000000</f>
        <v>13.869398</v>
      </c>
      <c r="F22" s="77">
        <f>[24]historico_intensidad_tecnologic!F16/1000000</f>
        <v>28.241161000000002</v>
      </c>
      <c r="G22" s="77">
        <f>[24]historico_intensidad_tecnologic!G16/1000000</f>
        <v>30.818999000000002</v>
      </c>
      <c r="H22" s="79">
        <f>[24]historico_intensidad_tecnologic!H16/1000000</f>
        <v>43.989147000000003</v>
      </c>
      <c r="I22" s="77">
        <f t="shared" ref="I22" si="7">IF(OR(OR(H22=0,G22=0),H22=""),"",(H22/G22-1)*100)</f>
        <v>42.733860369702455</v>
      </c>
      <c r="J22" s="77">
        <f t="shared" ref="J22" si="8">IF(OR(OR(H22=0,G22=0),H22=""),"",H22/G22*100)</f>
        <v>142.73386036970246</v>
      </c>
      <c r="K22" s="77">
        <f t="shared" ref="K22" si="9">IF(OR(OR(H22=0,G22=0),H22=""),"",(G22/F22-1)*100)</f>
        <v>9.1279462625491803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[24]historico_intensidad_tecnologic!C17/1000000</f>
        <v>15.105301000000001</v>
      </c>
      <c r="D23" s="77">
        <f>[24]historico_intensidad_tecnologic!D17/1000000</f>
        <v>12.548602000000001</v>
      </c>
      <c r="E23" s="77">
        <f>[24]historico_intensidad_tecnologic!E17/1000000</f>
        <v>15.798563</v>
      </c>
      <c r="F23" s="77">
        <f>[24]historico_intensidad_tecnologic!F17/1000000</f>
        <v>18.526928999999999</v>
      </c>
      <c r="G23" s="77">
        <f>[24]historico_intensidad_tecnologic!G17/1000000</f>
        <v>51.309499000000002</v>
      </c>
      <c r="H23" s="79">
        <f>[24]historico_intensidad_tecnologic!H17/1000000</f>
        <v>76.347656999999998</v>
      </c>
      <c r="I23" s="77">
        <f t="shared" ref="I23:I24" si="10">IF(OR(OR(H23=0,G23=0),H23=""),"",(H23/G23-1)*100)</f>
        <v>48.798289766968871</v>
      </c>
      <c r="J23" s="77">
        <f t="shared" ref="J23:J24" si="11">IF(OR(OR(H23=0,G23=0),H23=""),"",H23/G23*100)</f>
        <v>148.79828976696888</v>
      </c>
      <c r="K23" s="77">
        <f t="shared" ref="K23:K24" si="12">IF(OR(OR(H23=0,G23=0),H23=""),"",(G23/F23-1)*100)</f>
        <v>176.94551536306963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[24]historico_intensidad_tecnologic!C18/1000000</f>
        <v>13.919343</v>
      </c>
      <c r="D24" s="77">
        <f>[24]historico_intensidad_tecnologic!D18/1000000</f>
        <v>10.782764999999999</v>
      </c>
      <c r="E24" s="77">
        <f>[24]historico_intensidad_tecnologic!E18/1000000</f>
        <v>13.205997</v>
      </c>
      <c r="F24" s="77">
        <f>[24]historico_intensidad_tecnologic!F18/1000000</f>
        <v>24.58625</v>
      </c>
      <c r="G24" s="77">
        <f>[24]historico_intensidad_tecnologic!G18/1000000</f>
        <v>44.622079999999997</v>
      </c>
      <c r="H24" s="31">
        <f>[24]historico_intensidad_tecnologic!H18/1000000</f>
        <v>106.151449</v>
      </c>
      <c r="I24" s="25">
        <f t="shared" si="10"/>
        <v>137.88996165127224</v>
      </c>
      <c r="J24" s="25">
        <f t="shared" si="11"/>
        <v>237.88996165127224</v>
      </c>
      <c r="K24" s="25">
        <f t="shared" si="12"/>
        <v>81.492012812039235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184.48504</v>
      </c>
      <c r="D25" s="79">
        <f t="shared" si="13"/>
        <v>210.62527499999999</v>
      </c>
      <c r="E25" s="79">
        <f t="shared" si="13"/>
        <v>203.67320699999999</v>
      </c>
      <c r="F25" s="79">
        <f t="shared" si="13"/>
        <v>273.97504199999997</v>
      </c>
      <c r="G25" s="79">
        <f>SUM(G13:G24)</f>
        <v>438.52329599999996</v>
      </c>
      <c r="H25" s="107">
        <f>SUM(H13:H24)</f>
        <v>664.17796199999998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14.169297954999482</v>
      </c>
      <c r="E26" s="79">
        <f>(E25/D25-1)*100</f>
        <v>-3.3006807943633532</v>
      </c>
      <c r="F26" s="79">
        <f>(F25/E25-1)*100</f>
        <v>34.516977483444848</v>
      </c>
      <c r="G26" s="79">
        <f>(G25/F25-1)*100</f>
        <v>60.059577981559364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184.48504</v>
      </c>
      <c r="D28" s="76">
        <f t="shared" ref="D28:E28" si="14">SUMPRODUCT(D13:D24,$N$13:$N$24)</f>
        <v>210.62527499999999</v>
      </c>
      <c r="E28" s="76">
        <f t="shared" si="14"/>
        <v>203.67320699999999</v>
      </c>
      <c r="F28" s="76">
        <f>SUMPRODUCT(F13:F24,$N$13:$N$24)</f>
        <v>273.97504199999997</v>
      </c>
      <c r="G28" s="76">
        <f>SUMPRODUCT(G13:G24,$N$13:$N$24)</f>
        <v>438.52329599999996</v>
      </c>
      <c r="H28" s="72">
        <f>SUMPRODUCT(H13:H24,$N$13:$N$24)</f>
        <v>664.17796199999998</v>
      </c>
      <c r="I28" s="73">
        <f>IF(OR(OR(H28=0,G28=0),H28=""),"",(H28/G28-1)*100)</f>
        <v>51.457851397705468</v>
      </c>
      <c r="J28" s="31">
        <f>IF(OR(OR(H28=0,G28=0),H28=""),"",H28/G28*100)</f>
        <v>151.45785139770547</v>
      </c>
      <c r="K28" s="31">
        <f>IF(OR(OR(H28=0,G28=0),G28=""),"",(G28/F28-1)*100)</f>
        <v>60.059577981559364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14.169297954999482</v>
      </c>
      <c r="E29" s="79">
        <f t="shared" ref="E29:H29" si="15">(E28/D28-1)*100</f>
        <v>-3.3006807943633532</v>
      </c>
      <c r="F29" s="79">
        <f t="shared" si="15"/>
        <v>34.516977483444848</v>
      </c>
      <c r="G29" s="79">
        <f t="shared" si="15"/>
        <v>60.059577981559364</v>
      </c>
      <c r="H29" s="31">
        <f t="shared" si="15"/>
        <v>51.457851397705468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94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9">
        <v>2005</v>
      </c>
      <c r="D11" s="109">
        <v>2006</v>
      </c>
      <c r="E11" s="109">
        <v>2007</v>
      </c>
      <c r="F11" s="109">
        <v>2008</v>
      </c>
      <c r="G11" s="109">
        <v>2009</v>
      </c>
      <c r="H11" s="109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5">
        <f>+'Histórico basadas recursos nat'!C13+'Histórico manufacturas baja tek'!C13+'Histórico manufacturas medi tek'!C13+'Histórico manufacturas alta tek'!C13</f>
        <v>73.72569</v>
      </c>
      <c r="D13" s="75">
        <f>+'Histórico basadas recursos nat'!D13+'Histórico manufacturas baja tek'!D13+'Histórico manufacturas medi tek'!D13+'Histórico manufacturas alta tek'!D13</f>
        <v>99.244308999999987</v>
      </c>
      <c r="E13" s="75">
        <f>+'Histórico basadas recursos nat'!E13+'Histórico manufacturas baja tek'!E13+'Histórico manufacturas medi tek'!E13+'Histórico manufacturas alta tek'!E13</f>
        <v>138.968581</v>
      </c>
      <c r="F13" s="75">
        <f>+'Histórico basadas recursos nat'!F13+'Histórico manufacturas baja tek'!F13+'Histórico manufacturas medi tek'!F13+'Histórico manufacturas alta tek'!F13</f>
        <v>186.97770100000002</v>
      </c>
      <c r="G13" s="75">
        <f>+'Histórico basadas recursos nat'!G13+'Histórico manufacturas baja tek'!G13+'Histórico manufacturas medi tek'!G13+'Histórico manufacturas alta tek'!G13</f>
        <v>190.105942</v>
      </c>
      <c r="H13" s="76">
        <f>+'Histórico basadas recursos nat'!H13+'Histórico manufacturas baja tek'!H13+'Histórico manufacturas medi tek'!H13+'Histórico manufacturas alta tek'!H13</f>
        <v>129.35173999999998</v>
      </c>
      <c r="I13" s="77">
        <f t="shared" ref="I13:I18" si="0">IF(OR(OR(H13=0,G13=0),H13=""),"",(H13/G13-1)*100)</f>
        <v>-31.958076302528205</v>
      </c>
      <c r="J13" s="77">
        <f t="shared" ref="J13:J19" si="1">IF(OR(OR(H13=0,G13=0),H13=""),"",H13/G13*100)</f>
        <v>68.041923697471802</v>
      </c>
      <c r="K13" s="77">
        <f t="shared" ref="K13:K19" si="2">IF(OR(OR(H13=0,G13=0),H13=""),"",(G13/F13-1)*100)</f>
        <v>1.6730556549093389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5">
        <f>+'Histórico basadas recursos nat'!C14+'Histórico manufacturas baja tek'!C14+'Histórico manufacturas medi tek'!C14+'Histórico manufacturas alta tek'!C14</f>
        <v>91.389717000000019</v>
      </c>
      <c r="D14" s="75">
        <f>+'Histórico basadas recursos nat'!D14+'Histórico manufacturas baja tek'!D14+'Histórico manufacturas medi tek'!D14+'Histórico manufacturas alta tek'!D14</f>
        <v>151.26136600000001</v>
      </c>
      <c r="E14" s="75">
        <f>+'Histórico basadas recursos nat'!E14+'Histórico manufacturas baja tek'!E14+'Histórico manufacturas medi tek'!E14+'Histórico manufacturas alta tek'!E14</f>
        <v>163.90820399999998</v>
      </c>
      <c r="F14" s="75">
        <f>+'Histórico basadas recursos nat'!F14+'Histórico manufacturas baja tek'!F14+'Histórico manufacturas medi tek'!F14+'Histórico manufacturas alta tek'!F14</f>
        <v>223.59126899999998</v>
      </c>
      <c r="G14" s="75">
        <f>+'Histórico basadas recursos nat'!G14+'Histórico manufacturas baja tek'!G14+'Histórico manufacturas medi tek'!G14+'Histórico manufacturas alta tek'!G14</f>
        <v>204.87935200000001</v>
      </c>
      <c r="H14" s="76">
        <f>+'Histórico basadas recursos nat'!H14+'Histórico manufacturas baja tek'!H14+'Histórico manufacturas medi tek'!H14+'Histórico manufacturas alta tek'!H14</f>
        <v>160.236098</v>
      </c>
      <c r="I14" s="77">
        <f t="shared" si="0"/>
        <v>-21.790021085189693</v>
      </c>
      <c r="J14" s="77">
        <f t="shared" si="1"/>
        <v>78.209978914810307</v>
      </c>
      <c r="K14" s="77">
        <f t="shared" si="2"/>
        <v>-8.368804865989631</v>
      </c>
      <c r="L14" s="65"/>
      <c r="N14" s="43">
        <f t="shared" si="3"/>
        <v>1</v>
      </c>
    </row>
    <row r="15" spans="1:15">
      <c r="A15" s="63"/>
      <c r="B15" s="74" t="s">
        <v>13</v>
      </c>
      <c r="C15" s="75">
        <f>+'Histórico basadas recursos nat'!C15+'Histórico manufacturas baja tek'!C15+'Histórico manufacturas medi tek'!C15+'Histórico manufacturas alta tek'!C15</f>
        <v>101.87598199999999</v>
      </c>
      <c r="D15" s="75">
        <f>+'Histórico basadas recursos nat'!D15+'Histórico manufacturas baja tek'!D15+'Histórico manufacturas medi tek'!D15+'Histórico manufacturas alta tek'!D15</f>
        <v>169.82777799999997</v>
      </c>
      <c r="E15" s="75">
        <f>+'Histórico basadas recursos nat'!E15+'Histórico manufacturas baja tek'!E15+'Histórico manufacturas medi tek'!E15+'Histórico manufacturas alta tek'!E15</f>
        <v>192.11463099999997</v>
      </c>
      <c r="F15" s="75">
        <f>+'Histórico basadas recursos nat'!F15+'Histórico manufacturas baja tek'!F15+'Histórico manufacturas medi tek'!F15+'Histórico manufacturas alta tek'!F15</f>
        <v>228.23330899999999</v>
      </c>
      <c r="G15" s="75">
        <f>+'Histórico basadas recursos nat'!G15+'Histórico manufacturas baja tek'!G15+'Histórico manufacturas medi tek'!G15+'Histórico manufacturas alta tek'!G15</f>
        <v>222.26639699999998</v>
      </c>
      <c r="H15" s="76">
        <f>+'Histórico basadas recursos nat'!H15+'Histórico manufacturas baja tek'!H15+'Histórico manufacturas medi tek'!H15+'Histórico manufacturas alta tek'!H15</f>
        <v>224.25932799999998</v>
      </c>
      <c r="I15" s="77">
        <f t="shared" si="0"/>
        <v>0.89664070993151768</v>
      </c>
      <c r="J15" s="77">
        <f>IF(OR(OR(H15=0,G15=0),H15=""),"",H15/G15*100)</f>
        <v>100.89664070993152</v>
      </c>
      <c r="K15" s="77">
        <f t="shared" si="2"/>
        <v>-2.614391398934679</v>
      </c>
      <c r="L15" s="65"/>
      <c r="N15" s="43">
        <f t="shared" si="3"/>
        <v>1</v>
      </c>
    </row>
    <row r="16" spans="1:15">
      <c r="A16" s="63"/>
      <c r="B16" s="74" t="s">
        <v>14</v>
      </c>
      <c r="C16" s="75">
        <f>+'Histórico basadas recursos nat'!C16+'Histórico manufacturas baja tek'!C16+'Histórico manufacturas medi tek'!C16+'Histórico manufacturas alta tek'!C16</f>
        <v>127.724391</v>
      </c>
      <c r="D16" s="75">
        <f>+'Histórico basadas recursos nat'!D16+'Histórico manufacturas baja tek'!D16+'Histórico manufacturas medi tek'!D16+'Histórico manufacturas alta tek'!D16</f>
        <v>143.68068699999998</v>
      </c>
      <c r="E16" s="75">
        <f>+'Histórico basadas recursos nat'!E16+'Histórico manufacturas baja tek'!E16+'Histórico manufacturas medi tek'!E16+'Histórico manufacturas alta tek'!E16</f>
        <v>178.46861600000003</v>
      </c>
      <c r="F16" s="75">
        <f>+'Histórico basadas recursos nat'!F16+'Histórico manufacturas baja tek'!F16+'Histórico manufacturas medi tek'!F16+'Histórico manufacturas alta tek'!F16</f>
        <v>308.19162699999998</v>
      </c>
      <c r="G16" s="75">
        <f>+'Histórico basadas recursos nat'!G16+'Histórico manufacturas baja tek'!G16+'Histórico manufacturas medi tek'!G16+'Histórico manufacturas alta tek'!G16</f>
        <v>173.911461</v>
      </c>
      <c r="H16" s="76">
        <f>+'Histórico basadas recursos nat'!H16+'Histórico manufacturas baja tek'!H16+'Histórico manufacturas medi tek'!H16+'Histórico manufacturas alta tek'!H16</f>
        <v>180.811723</v>
      </c>
      <c r="I16" s="77">
        <f t="shared" si="0"/>
        <v>3.9676867529736759</v>
      </c>
      <c r="J16" s="77">
        <f t="shared" si="1"/>
        <v>103.96768675297368</v>
      </c>
      <c r="K16" s="77">
        <f t="shared" si="2"/>
        <v>-43.570348522155008</v>
      </c>
      <c r="L16" s="65"/>
      <c r="N16" s="43">
        <f t="shared" si="3"/>
        <v>1</v>
      </c>
    </row>
    <row r="17" spans="1:15">
      <c r="A17" s="63"/>
      <c r="B17" s="74" t="s">
        <v>15</v>
      </c>
      <c r="C17" s="75">
        <f>+'Histórico basadas recursos nat'!C17+'Histórico manufacturas baja tek'!C17+'Histórico manufacturas medi tek'!C17+'Histórico manufacturas alta tek'!C17</f>
        <v>122.41494500000002</v>
      </c>
      <c r="D17" s="75">
        <f>+'Histórico basadas recursos nat'!D17+'Histórico manufacturas baja tek'!D17+'Histórico manufacturas medi tek'!D17+'Histórico manufacturas alta tek'!D17</f>
        <v>164.60663200000002</v>
      </c>
      <c r="E17" s="75">
        <f>+'Histórico basadas recursos nat'!E17+'Histórico manufacturas baja tek'!E17+'Histórico manufacturas medi tek'!E17+'Histórico manufacturas alta tek'!E17</f>
        <v>238.52852100000001</v>
      </c>
      <c r="F17" s="75">
        <f>+'Histórico basadas recursos nat'!F17+'Histórico manufacturas baja tek'!F17+'Histórico manufacturas medi tek'!F17+'Histórico manufacturas alta tek'!F17</f>
        <v>261.90168700000004</v>
      </c>
      <c r="G17" s="75">
        <f>+'Histórico basadas recursos nat'!G17+'Histórico manufacturas baja tek'!G17+'Histórico manufacturas medi tek'!G17+'Histórico manufacturas alta tek'!G17</f>
        <v>226.26054199999999</v>
      </c>
      <c r="H17" s="76">
        <f>+'Histórico basadas recursos nat'!H17+'Histórico manufacturas baja tek'!H17+'Histórico manufacturas medi tek'!H17+'Histórico manufacturas alta tek'!H17</f>
        <v>250.57876700000003</v>
      </c>
      <c r="I17" s="77">
        <f t="shared" si="0"/>
        <v>10.747885948226909</v>
      </c>
      <c r="J17" s="77">
        <f t="shared" si="1"/>
        <v>110.74788594822691</v>
      </c>
      <c r="K17" s="77">
        <f t="shared" si="2"/>
        <v>-13.608596954169316</v>
      </c>
      <c r="L17" s="65"/>
      <c r="N17" s="43">
        <f t="shared" si="3"/>
        <v>1</v>
      </c>
    </row>
    <row r="18" spans="1:15">
      <c r="A18" s="63"/>
      <c r="B18" s="74" t="s">
        <v>16</v>
      </c>
      <c r="C18" s="75">
        <f>+'Histórico basadas recursos nat'!C18+'Histórico manufacturas baja tek'!C18+'Histórico manufacturas medi tek'!C18+'Histórico manufacturas alta tek'!C18</f>
        <v>124.95660100000001</v>
      </c>
      <c r="D18" s="75">
        <f>+'Histórico basadas recursos nat'!D18+'Histórico manufacturas baja tek'!D18+'Histórico manufacturas medi tek'!D18+'Histórico manufacturas alta tek'!D18</f>
        <v>167.21849799999998</v>
      </c>
      <c r="E18" s="75">
        <f>+'Histórico basadas recursos nat'!E18+'Histórico manufacturas baja tek'!E18+'Histórico manufacturas medi tek'!E18+'Histórico manufacturas alta tek'!E18</f>
        <v>189.23645199999999</v>
      </c>
      <c r="F18" s="75">
        <f>+'Histórico basadas recursos nat'!F18+'Histórico manufacturas baja tek'!F18+'Histórico manufacturas medi tek'!F18+'Histórico manufacturas alta tek'!F18</f>
        <v>260.31279000000001</v>
      </c>
      <c r="G18" s="75">
        <f>+'Histórico basadas recursos nat'!G18+'Histórico manufacturas baja tek'!G18+'Histórico manufacturas medi tek'!G18+'Histórico manufacturas alta tek'!G18</f>
        <v>200.771242</v>
      </c>
      <c r="H18" s="76">
        <f>+'Histórico basadas recursos nat'!H18+'Histórico manufacturas baja tek'!H18+'Histórico manufacturas medi tek'!H18+'Histórico manufacturas alta tek'!H18</f>
        <v>177.46283</v>
      </c>
      <c r="I18" s="77">
        <f t="shared" si="0"/>
        <v>-11.609437570745317</v>
      </c>
      <c r="J18" s="77">
        <f t="shared" si="1"/>
        <v>88.390562429254686</v>
      </c>
      <c r="K18" s="77">
        <f t="shared" si="2"/>
        <v>-22.873078191816852</v>
      </c>
      <c r="L18" s="65"/>
      <c r="N18" s="43">
        <f t="shared" si="3"/>
        <v>1</v>
      </c>
    </row>
    <row r="19" spans="1:15">
      <c r="A19" s="63"/>
      <c r="B19" s="74" t="s">
        <v>17</v>
      </c>
      <c r="C19" s="75">
        <f>+'Histórico basadas recursos nat'!C19+'Histórico manufacturas baja tek'!C19+'Histórico manufacturas medi tek'!C19+'Histórico manufacturas alta tek'!C19</f>
        <v>132.27008699999999</v>
      </c>
      <c r="D19" s="75">
        <f>+'Histórico basadas recursos nat'!D19+'Histórico manufacturas baja tek'!D19+'Histórico manufacturas medi tek'!D19+'Histórico manufacturas alta tek'!D19</f>
        <v>156.87049300000001</v>
      </c>
      <c r="E19" s="75">
        <f>+'Histórico basadas recursos nat'!E19+'Histórico manufacturas baja tek'!E19+'Histórico manufacturas medi tek'!E19+'Histórico manufacturas alta tek'!E19</f>
        <v>214.91910999999999</v>
      </c>
      <c r="F19" s="75">
        <f>+'Histórico basadas recursos nat'!F19+'Histórico manufacturas baja tek'!F19+'Histórico manufacturas medi tek'!F19+'Histórico manufacturas alta tek'!F19</f>
        <v>302.01399600000002</v>
      </c>
      <c r="G19" s="75">
        <f>+'Histórico basadas recursos nat'!G19+'Histórico manufacturas baja tek'!G19+'Histórico manufacturas medi tek'!G19+'Histórico manufacturas alta tek'!G19</f>
        <v>188.94807800000001</v>
      </c>
      <c r="H19" s="76">
        <f>+'Histórico basadas recursos nat'!H19+'Histórico manufacturas baja tek'!H19+'Histórico manufacturas medi tek'!H19+'Histórico manufacturas alta tek'!H19</f>
        <v>158.10245699999999</v>
      </c>
      <c r="I19" s="77">
        <f>IF(OR(OR(H19=0,G19=0),H19=""),"",(H19/G19-1)*100)</f>
        <v>-16.324919166417786</v>
      </c>
      <c r="J19" s="77">
        <f t="shared" si="1"/>
        <v>83.675080833582214</v>
      </c>
      <c r="K19" s="77">
        <f t="shared" si="2"/>
        <v>-37.437310686753733</v>
      </c>
      <c r="L19" s="65"/>
      <c r="N19" s="43">
        <f t="shared" si="3"/>
        <v>1</v>
      </c>
    </row>
    <row r="20" spans="1:15">
      <c r="A20" s="63"/>
      <c r="B20" s="74" t="s">
        <v>18</v>
      </c>
      <c r="C20" s="75">
        <f>+'Histórico basadas recursos nat'!C20+'Histórico manufacturas baja tek'!C20+'Histórico manufacturas medi tek'!C20+'Histórico manufacturas alta tek'!C20</f>
        <v>131.977665</v>
      </c>
      <c r="D20" s="75">
        <f>+'Histórico basadas recursos nat'!D20+'Histórico manufacturas baja tek'!D20+'Histórico manufacturas medi tek'!D20+'Histórico manufacturas alta tek'!D20</f>
        <v>171.417057</v>
      </c>
      <c r="E20" s="75">
        <f>+'Histórico basadas recursos nat'!E20+'Histórico manufacturas baja tek'!E20+'Histórico manufacturas medi tek'!E20+'Histórico manufacturas alta tek'!E20</f>
        <v>227.91213200000001</v>
      </c>
      <c r="F20" s="75">
        <f>+'Histórico basadas recursos nat'!F20+'Histórico manufacturas baja tek'!F20+'Histórico manufacturas medi tek'!F20+'Histórico manufacturas alta tek'!F20</f>
        <v>263.37339499999996</v>
      </c>
      <c r="G20" s="75">
        <f>+'Histórico basadas recursos nat'!G20+'Histórico manufacturas baja tek'!G20+'Histórico manufacturas medi tek'!G20+'Histórico manufacturas alta tek'!G20</f>
        <v>174.43123200000002</v>
      </c>
      <c r="H20" s="76">
        <f>+'Histórico basadas recursos nat'!H20+'Histórico manufacturas baja tek'!H20+'Histórico manufacturas medi tek'!H20+'Histórico manufacturas alta tek'!H20</f>
        <v>164.52992</v>
      </c>
      <c r="I20" s="77">
        <f>IF(OR(OR(H20=0,G20=0),H20=""),"",(H20/G20-1)*100)</f>
        <v>-5.6763412643900946</v>
      </c>
      <c r="J20" s="77">
        <f t="shared" ref="J20" si="4">IF(OR(OR(H20=0,G20=0),H20=""),"",H20/G20*100)</f>
        <v>94.323658735609911</v>
      </c>
      <c r="K20" s="77">
        <f t="shared" ref="K20" si="5">IF(OR(OR(H20=0,G20=0),H20=""),"",(G20/F20-1)*100)</f>
        <v>-33.770367352404726</v>
      </c>
      <c r="L20" s="65"/>
      <c r="N20" s="43">
        <f t="shared" si="3"/>
        <v>1</v>
      </c>
    </row>
    <row r="21" spans="1:15">
      <c r="A21" s="63"/>
      <c r="B21" s="74" t="s">
        <v>19</v>
      </c>
      <c r="C21" s="75">
        <f>+'Histórico basadas recursos nat'!C21+'Histórico manufacturas baja tek'!C21+'Histórico manufacturas medi tek'!C21+'Histórico manufacturas alta tek'!C21</f>
        <v>136.490386</v>
      </c>
      <c r="D21" s="75">
        <f>+'Histórico basadas recursos nat'!D21+'Histórico manufacturas baja tek'!D21+'Histórico manufacturas medi tek'!D21+'Histórico manufacturas alta tek'!D21</f>
        <v>196.910393</v>
      </c>
      <c r="E21" s="75">
        <f>+'Histórico basadas recursos nat'!E21+'Histórico manufacturas baja tek'!E21+'Histórico manufacturas medi tek'!E21+'Histórico manufacturas alta tek'!E21</f>
        <v>265.86287700000003</v>
      </c>
      <c r="F21" s="75">
        <f>+'Histórico basadas recursos nat'!F21+'Histórico manufacturas baja tek'!F21+'Histórico manufacturas medi tek'!F21+'Histórico manufacturas alta tek'!F21</f>
        <v>249.346632</v>
      </c>
      <c r="G21" s="75">
        <f>+'Histórico basadas recursos nat'!G21+'Histórico manufacturas baja tek'!G21+'Histórico manufacturas medi tek'!G21+'Histórico manufacturas alta tek'!G21</f>
        <v>205.732383</v>
      </c>
      <c r="H21" s="76">
        <f>+'Histórico basadas recursos nat'!H21+'Histórico manufacturas baja tek'!H21+'Histórico manufacturas medi tek'!H21+'Histórico manufacturas alta tek'!H21</f>
        <v>212.64487400000002</v>
      </c>
      <c r="I21" s="77">
        <f>IF(OR(OR(H21=0,G21=0),H21=""),"",(H21/G21-1)*100)</f>
        <v>3.3599430965615351</v>
      </c>
      <c r="J21" s="77">
        <f t="shared" ref="J21" si="6">IF(OR(OR(H21=0,G21=0),H21=""),"",H21/G21*100)</f>
        <v>103.35994309656154</v>
      </c>
      <c r="K21" s="77">
        <f t="shared" ref="K21" si="7">IF(OR(OR(H21=0,G21=0),H21=""),"",(G21/F21-1)*100)</f>
        <v>-17.491412917901371</v>
      </c>
      <c r="L21" s="65"/>
      <c r="N21" s="43">
        <f t="shared" si="3"/>
        <v>1</v>
      </c>
    </row>
    <row r="22" spans="1:15">
      <c r="A22" s="63"/>
      <c r="B22" s="74" t="s">
        <v>20</v>
      </c>
      <c r="C22" s="75">
        <f>+'Histórico basadas recursos nat'!C22+'Histórico manufacturas baja tek'!C22+'Histórico manufacturas medi tek'!C22+'Histórico manufacturas alta tek'!C22</f>
        <v>120.836566</v>
      </c>
      <c r="D22" s="75">
        <f>+'Histórico basadas recursos nat'!D22+'Histórico manufacturas baja tek'!D22+'Histórico manufacturas medi tek'!D22+'Histórico manufacturas alta tek'!D22</f>
        <v>195.65123400000002</v>
      </c>
      <c r="E22" s="75">
        <f>+'Histórico basadas recursos nat'!E22+'Histórico manufacturas baja tek'!E22+'Histórico manufacturas medi tek'!E22+'Histórico manufacturas alta tek'!E22</f>
        <v>265.95081299999998</v>
      </c>
      <c r="F22" s="75">
        <f>+'Histórico basadas recursos nat'!F22+'Histórico manufacturas baja tek'!F22+'Histórico manufacturas medi tek'!F22+'Histórico manufacturas alta tek'!F22</f>
        <v>365.213617</v>
      </c>
      <c r="G22" s="75">
        <f>+'Histórico basadas recursos nat'!G22+'Histórico manufacturas baja tek'!G22+'Histórico manufacturas medi tek'!G22+'Histórico manufacturas alta tek'!G22</f>
        <v>179.61160900000002</v>
      </c>
      <c r="H22" s="76">
        <f>+'Histórico basadas recursos nat'!H22+'Histórico manufacturas baja tek'!H22+'Histórico manufacturas medi tek'!H22+'Histórico manufacturas alta tek'!H22</f>
        <v>199.258126</v>
      </c>
      <c r="I22" s="77">
        <f>IF(OR(OR(H22=0,G22=0),H22=""),"",(H22/G22-1)*100)</f>
        <v>10.938333612945916</v>
      </c>
      <c r="J22" s="77">
        <f t="shared" ref="J22" si="8">IF(OR(OR(H22=0,G22=0),H22=""),"",H22/G22*100)</f>
        <v>110.93833361294591</v>
      </c>
      <c r="K22" s="77">
        <f t="shared" ref="K22" si="9">IF(OR(OR(H22=0,G22=0),H22=""),"",(G22/F22-1)*100)</f>
        <v>-50.820122624288679</v>
      </c>
      <c r="L22" s="65"/>
      <c r="N22" s="43">
        <f t="shared" si="3"/>
        <v>1</v>
      </c>
    </row>
    <row r="23" spans="1:15">
      <c r="A23" s="63"/>
      <c r="B23" s="74" t="s">
        <v>21</v>
      </c>
      <c r="C23" s="75">
        <f>+'Histórico basadas recursos nat'!C23+'Histórico manufacturas baja tek'!C23+'Histórico manufacturas medi tek'!C23+'Histórico manufacturas alta tek'!C23</f>
        <v>140.431522</v>
      </c>
      <c r="D23" s="75">
        <f>+'Histórico basadas recursos nat'!D23+'Histórico manufacturas baja tek'!D23+'Histórico manufacturas medi tek'!D23+'Histórico manufacturas alta tek'!D23</f>
        <v>199.18535800000001</v>
      </c>
      <c r="E23" s="75">
        <f>+'Histórico basadas recursos nat'!E23+'Histórico manufacturas baja tek'!E23+'Histórico manufacturas medi tek'!E23+'Histórico manufacturas alta tek'!E23</f>
        <v>294.44904700000001</v>
      </c>
      <c r="F23" s="75">
        <f>+'Histórico basadas recursos nat'!F23+'Histórico manufacturas baja tek'!F23+'Histórico manufacturas medi tek'!F23+'Histórico manufacturas alta tek'!F23</f>
        <v>253.75819099999998</v>
      </c>
      <c r="G23" s="75">
        <f>+'Histórico basadas recursos nat'!G23+'Histórico manufacturas baja tek'!G23+'Histórico manufacturas medi tek'!G23+'Histórico manufacturas alta tek'!G23</f>
        <v>168.657298</v>
      </c>
      <c r="H23" s="76">
        <f>+'Histórico basadas recursos nat'!H23+'Histórico manufacturas baja tek'!H23+'Histórico manufacturas medi tek'!H23+'Histórico manufacturas alta tek'!H23</f>
        <v>151.40176200000002</v>
      </c>
      <c r="I23" s="77">
        <f t="shared" ref="I23:I24" si="10">IF(OR(OR(H23=0,G23=0),H23=""),"",(H23/G23-1)*100)</f>
        <v>-10.231123233101947</v>
      </c>
      <c r="J23" s="77">
        <f t="shared" ref="J23:J24" si="11">IF(OR(OR(H23=0,G23=0),H23=""),"",H23/G23*100)</f>
        <v>89.76887676689806</v>
      </c>
      <c r="K23" s="77">
        <f t="shared" ref="K23:K24" si="12">IF(OR(OR(H23=0,G23=0),H23=""),"",(G23/F23-1)*100)</f>
        <v>-33.536215191571884</v>
      </c>
      <c r="L23" s="65"/>
      <c r="N23" s="43">
        <f t="shared" si="3"/>
        <v>1</v>
      </c>
    </row>
    <row r="24" spans="1:15">
      <c r="A24" s="63"/>
      <c r="B24" s="74" t="s">
        <v>22</v>
      </c>
      <c r="C24" s="75">
        <f>+'Histórico basadas recursos nat'!C24+'Histórico manufacturas baja tek'!C24+'Histórico manufacturas medi tek'!C24+'Histórico manufacturas alta tek'!C24</f>
        <v>128.60593500000002</v>
      </c>
      <c r="D24" s="75">
        <f>+'Histórico basadas recursos nat'!D24+'Histórico manufacturas baja tek'!D24+'Histórico manufacturas medi tek'!D24+'Histórico manufacturas alta tek'!D24</f>
        <v>167.25105399999998</v>
      </c>
      <c r="E24" s="75">
        <f>+'Histórico basadas recursos nat'!E24+'Histórico manufacturas baja tek'!E24+'Histórico manufacturas medi tek'!E24+'Histórico manufacturas alta tek'!E24</f>
        <v>277.88349700000003</v>
      </c>
      <c r="F24" s="75">
        <f>+'Histórico basadas recursos nat'!F24+'Histórico manufacturas baja tek'!F24+'Histórico manufacturas medi tek'!F24+'Histórico manufacturas alta tek'!F24</f>
        <v>280.44873899999999</v>
      </c>
      <c r="G24" s="75">
        <f>+'Histórico basadas recursos nat'!G24+'Histórico manufacturas baja tek'!G24+'Histórico manufacturas medi tek'!G24+'Histórico manufacturas alta tek'!G24</f>
        <v>189.43113300000002</v>
      </c>
      <c r="H24" s="72">
        <f>+'Histórico basadas recursos nat'!H24+'Histórico manufacturas baja tek'!H24+'Histórico manufacturas medi tek'!H24+'Histórico manufacturas alta tek'!H24</f>
        <v>168.21963199999999</v>
      </c>
      <c r="I24" s="25">
        <f t="shared" si="10"/>
        <v>-11.197473543063285</v>
      </c>
      <c r="J24" s="25">
        <f t="shared" si="11"/>
        <v>88.802526456936718</v>
      </c>
      <c r="K24" s="25">
        <f t="shared" si="12"/>
        <v>-32.454275360460784</v>
      </c>
      <c r="L24" s="65"/>
      <c r="N24" s="43">
        <f t="shared" si="3"/>
        <v>1</v>
      </c>
    </row>
    <row r="25" spans="1:15">
      <c r="A25" s="63"/>
      <c r="B25" s="78" t="s">
        <v>42</v>
      </c>
      <c r="C25" s="76">
        <f t="shared" ref="C25:F25" si="13">SUM(C13:C24)</f>
        <v>1432.6994870000001</v>
      </c>
      <c r="D25" s="76">
        <f t="shared" si="13"/>
        <v>1983.124859</v>
      </c>
      <c r="E25" s="76">
        <f t="shared" si="13"/>
        <v>2648.2024810000003</v>
      </c>
      <c r="F25" s="76">
        <f t="shared" si="13"/>
        <v>3183.3629529999998</v>
      </c>
      <c r="G25" s="76">
        <f>SUM(G13:G24)</f>
        <v>2325.0066689999999</v>
      </c>
      <c r="H25" s="71">
        <f>SUM(H13:H24)</f>
        <v>2176.8572569999997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38.418759620872244</v>
      </c>
      <c r="E26" s="79">
        <f>(E25/D25-1)*100</f>
        <v>33.536850641636782</v>
      </c>
      <c r="F26" s="79">
        <f>(F25/E25-1)*100</f>
        <v>20.20844236192676</v>
      </c>
      <c r="G26" s="79">
        <f>(G25/F25-1)*100</f>
        <v>-26.963820860925878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1432.6994870000001</v>
      </c>
      <c r="D28" s="76">
        <f t="shared" ref="D28:E28" si="14">SUMPRODUCT(D13:D24,$N$13:$N$24)</f>
        <v>1983.124859</v>
      </c>
      <c r="E28" s="76">
        <f t="shared" si="14"/>
        <v>2648.2024810000003</v>
      </c>
      <c r="F28" s="76">
        <f>SUMPRODUCT(F13:F24,$N$13:$N$24)</f>
        <v>3183.3629529999998</v>
      </c>
      <c r="G28" s="76">
        <f>SUMPRODUCT(G13:G24,$N$13:$N$24)</f>
        <v>2325.0066689999999</v>
      </c>
      <c r="H28" s="72">
        <f>SUMPRODUCT(H13:H24,$N$13:$N$24)</f>
        <v>2176.8572569999997</v>
      </c>
      <c r="I28" s="73">
        <f>IF(OR(OR(H28=0,G28=0),H28=""),"",(H28/G28-1)*100)</f>
        <v>-6.3719994430691322</v>
      </c>
      <c r="J28" s="31">
        <f>IF(OR(OR(H28=0,G28=0),H28=""),"",H28/G28*100)</f>
        <v>93.628000556930871</v>
      </c>
      <c r="K28" s="31">
        <f>IF(OR(OR(H28=0,G28=0),G28=""),"",(G28/F28-1)*100)</f>
        <v>-26.963820860925878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38.418759620872244</v>
      </c>
      <c r="E29" s="79">
        <f t="shared" ref="E29:H29" si="15">(E28/D28-1)*100</f>
        <v>33.536850641636782</v>
      </c>
      <c r="F29" s="79">
        <f t="shared" si="15"/>
        <v>20.20844236192676</v>
      </c>
      <c r="G29" s="79">
        <f t="shared" si="15"/>
        <v>-26.963820860925878</v>
      </c>
      <c r="H29" s="31">
        <f t="shared" si="15"/>
        <v>-6.3719994430691322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[24]historico_intensidad_tecnologic!C19/1000000</f>
        <v>6.3350179999999998</v>
      </c>
      <c r="D13" s="77">
        <f>[24]historico_intensidad_tecnologic!D19/1000000</f>
        <v>9.0392150000000004</v>
      </c>
      <c r="E13" s="77">
        <f>[24]historico_intensidad_tecnologic!E19/1000000</f>
        <v>15.791862</v>
      </c>
      <c r="F13" s="77">
        <f>[24]historico_intensidad_tecnologic!F19/1000000</f>
        <v>19.404335</v>
      </c>
      <c r="G13" s="77">
        <f>[24]historico_intensidad_tecnologic!G19/1000000</f>
        <v>33.199252999999999</v>
      </c>
      <c r="H13" s="79">
        <f>[24]historico_intensidad_tecnologic!H19/1000000</f>
        <v>19.423838</v>
      </c>
      <c r="I13" s="77">
        <f t="shared" ref="I13:I20" si="0">IF(OR(OR(H13=0,G13=0),H13=""),"",(H13/G13-1)*100)</f>
        <v>-41.493147451239345</v>
      </c>
      <c r="J13" s="77">
        <f t="shared" ref="J13:J20" si="1">IF(OR(OR(H13=0,G13=0),H13=""),"",H13/G13*100)</f>
        <v>58.506852548760655</v>
      </c>
      <c r="K13" s="77">
        <f t="shared" ref="K13:K20" si="2">IF(OR(OR(H13=0,G13=0),H13=""),"",(G13/F13-1)*100)</f>
        <v>71.091938991982985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[24]historico_intensidad_tecnologic!C20/1000000</f>
        <v>8.3623290000000008</v>
      </c>
      <c r="D14" s="77">
        <f>[24]historico_intensidad_tecnologic!D20/1000000</f>
        <v>11.612854</v>
      </c>
      <c r="E14" s="77">
        <f>[24]historico_intensidad_tecnologic!E20/1000000</f>
        <v>20.001425000000001</v>
      </c>
      <c r="F14" s="77">
        <f>[24]historico_intensidad_tecnologic!F20/1000000</f>
        <v>35.535169000000003</v>
      </c>
      <c r="G14" s="77">
        <f>[24]historico_intensidad_tecnologic!G20/1000000</f>
        <v>36.178716000000001</v>
      </c>
      <c r="H14" s="79">
        <f>[24]historico_intensidad_tecnologic!H20/1000000</f>
        <v>25.536850999999999</v>
      </c>
      <c r="I14" s="77">
        <f t="shared" si="0"/>
        <v>-29.414711677440408</v>
      </c>
      <c r="J14" s="77">
        <f t="shared" si="1"/>
        <v>70.585288322559592</v>
      </c>
      <c r="K14" s="77">
        <f t="shared" si="2"/>
        <v>1.8110143221775621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[24]historico_intensidad_tecnologic!C21/1000000</f>
        <v>12.516614000000001</v>
      </c>
      <c r="D15" s="77">
        <f>[24]historico_intensidad_tecnologic!D21/1000000</f>
        <v>17.069118</v>
      </c>
      <c r="E15" s="77">
        <f>[24]historico_intensidad_tecnologic!E21/1000000</f>
        <v>22.037883999999998</v>
      </c>
      <c r="F15" s="77">
        <f>[24]historico_intensidad_tecnologic!F21/1000000</f>
        <v>40.003261999999999</v>
      </c>
      <c r="G15" s="77">
        <f>[24]historico_intensidad_tecnologic!G21/1000000</f>
        <v>36.946570999999999</v>
      </c>
      <c r="H15" s="79">
        <f>[24]historico_intensidad_tecnologic!H21/1000000</f>
        <v>32.256864999999998</v>
      </c>
      <c r="I15" s="77">
        <f t="shared" si="0"/>
        <v>-12.693210419987288</v>
      </c>
      <c r="J15" s="77">
        <f>IF(OR(OR(H15=0,G15=0),H15=""),"",H15/G15*100)</f>
        <v>87.306789580012705</v>
      </c>
      <c r="K15" s="77">
        <f t="shared" si="2"/>
        <v>-7.6411043679387998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[24]historico_intensidad_tecnologic!C22/1000000</f>
        <v>13.132377999999999</v>
      </c>
      <c r="D16" s="77">
        <f>[24]historico_intensidad_tecnologic!D22/1000000</f>
        <v>15.788967</v>
      </c>
      <c r="E16" s="77">
        <f>[24]historico_intensidad_tecnologic!E22/1000000</f>
        <v>19.132721</v>
      </c>
      <c r="F16" s="77">
        <f>[24]historico_intensidad_tecnologic!F22/1000000</f>
        <v>68.962761999999998</v>
      </c>
      <c r="G16" s="77">
        <f>[24]historico_intensidad_tecnologic!G22/1000000</f>
        <v>24.392817999999998</v>
      </c>
      <c r="H16" s="79">
        <f>[24]historico_intensidad_tecnologic!H22/1000000</f>
        <v>29.191517999999999</v>
      </c>
      <c r="I16" s="77">
        <f t="shared" si="0"/>
        <v>19.672593793796199</v>
      </c>
      <c r="J16" s="77">
        <f t="shared" si="1"/>
        <v>119.6725937937962</v>
      </c>
      <c r="K16" s="77">
        <f t="shared" si="2"/>
        <v>-64.629000793210693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[24]historico_intensidad_tecnologic!C23/1000000</f>
        <v>14.090298000000001</v>
      </c>
      <c r="D17" s="77">
        <f>[24]historico_intensidad_tecnologic!D23/1000000</f>
        <v>18.583511999999999</v>
      </c>
      <c r="E17" s="77">
        <f>[24]historico_intensidad_tecnologic!E23/1000000</f>
        <v>22.238558999999999</v>
      </c>
      <c r="F17" s="77">
        <f>[24]historico_intensidad_tecnologic!F23/1000000</f>
        <v>50.627218999999997</v>
      </c>
      <c r="G17" s="77">
        <f>[24]historico_intensidad_tecnologic!G23/1000000</f>
        <v>26.788233999999999</v>
      </c>
      <c r="H17" s="79">
        <f>[24]historico_intensidad_tecnologic!H23/1000000</f>
        <v>31.292995000000001</v>
      </c>
      <c r="I17" s="77">
        <f t="shared" si="0"/>
        <v>16.81619251198121</v>
      </c>
      <c r="J17" s="77">
        <f t="shared" si="1"/>
        <v>116.81619251198121</v>
      </c>
      <c r="K17" s="77">
        <f t="shared" si="2"/>
        <v>-47.087289151711055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[24]historico_intensidad_tecnologic!C24/1000000</f>
        <v>11.333311</v>
      </c>
      <c r="D18" s="77">
        <f>[24]historico_intensidad_tecnologic!D24/1000000</f>
        <v>15.245396</v>
      </c>
      <c r="E18" s="77">
        <f>[24]historico_intensidad_tecnologic!E24/1000000</f>
        <v>18.091501000000001</v>
      </c>
      <c r="F18" s="77">
        <f>[24]historico_intensidad_tecnologic!F24/1000000</f>
        <v>71.879599999999996</v>
      </c>
      <c r="G18" s="77">
        <f>[24]historico_intensidad_tecnologic!G24/1000000</f>
        <v>22.363285999999999</v>
      </c>
      <c r="H18" s="79">
        <f>[24]historico_intensidad_tecnologic!H24/1000000</f>
        <v>30.560026000000001</v>
      </c>
      <c r="I18" s="77">
        <f t="shared" si="0"/>
        <v>36.652663655958271</v>
      </c>
      <c r="J18" s="77">
        <f t="shared" si="1"/>
        <v>136.65266365595826</v>
      </c>
      <c r="K18" s="77">
        <f t="shared" si="2"/>
        <v>-68.887854133857175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[24]historico_intensidad_tecnologic!C25/1000000</f>
        <v>10.096109</v>
      </c>
      <c r="D19" s="77">
        <f>[24]historico_intensidad_tecnologic!D25/1000000</f>
        <v>17.374067</v>
      </c>
      <c r="E19" s="77">
        <f>[24]historico_intensidad_tecnologic!E25/1000000</f>
        <v>23.677721999999999</v>
      </c>
      <c r="F19" s="77">
        <f>[24]historico_intensidad_tecnologic!F25/1000000</f>
        <v>62.214162999999999</v>
      </c>
      <c r="G19" s="77">
        <f>[24]historico_intensidad_tecnologic!G25/1000000</f>
        <v>27.634944999999998</v>
      </c>
      <c r="H19" s="79">
        <f>[24]historico_intensidad_tecnologic!H25/1000000</f>
        <v>26.095575</v>
      </c>
      <c r="I19" s="77">
        <f>IF(OR(OR(H19=0,G19=0),H19=""),"",(H19/G19-1)*100)</f>
        <v>-5.5703747555857159</v>
      </c>
      <c r="J19" s="77">
        <f t="shared" si="1"/>
        <v>94.429625244414282</v>
      </c>
      <c r="K19" s="77">
        <f t="shared" si="2"/>
        <v>-55.580942236577222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[24]historico_intensidad_tecnologic!C26/1000000</f>
        <v>11.505566</v>
      </c>
      <c r="D20" s="77">
        <f>[24]historico_intensidad_tecnologic!D26/1000000</f>
        <v>16.438839999999999</v>
      </c>
      <c r="E20" s="77">
        <f>[24]historico_intensidad_tecnologic!E26/1000000</f>
        <v>23.718336000000001</v>
      </c>
      <c r="F20" s="77">
        <f>[24]historico_intensidad_tecnologic!F26/1000000</f>
        <v>56.475669000000003</v>
      </c>
      <c r="G20" s="77">
        <f>[24]historico_intensidad_tecnologic!G26/1000000</f>
        <v>30.602354999999999</v>
      </c>
      <c r="H20" s="79">
        <f>[24]historico_intensidad_tecnologic!H26/1000000</f>
        <v>25.372374000000001</v>
      </c>
      <c r="I20" s="77">
        <f t="shared" si="0"/>
        <v>-17.090125906976759</v>
      </c>
      <c r="J20" s="77">
        <f t="shared" si="1"/>
        <v>82.909874093023234</v>
      </c>
      <c r="K20" s="77">
        <f t="shared" si="2"/>
        <v>-45.813204975048635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[24]historico_intensidad_tecnologic!C27/1000000</f>
        <v>11.418958999999999</v>
      </c>
      <c r="D21" s="77">
        <f>[24]historico_intensidad_tecnologic!D27/1000000</f>
        <v>16.750294</v>
      </c>
      <c r="E21" s="77">
        <f>[24]historico_intensidad_tecnologic!E27/1000000</f>
        <v>25.070029000000002</v>
      </c>
      <c r="F21" s="77">
        <f>[24]historico_intensidad_tecnologic!F27/1000000</f>
        <v>40.943089999999998</v>
      </c>
      <c r="G21" s="77">
        <f>[24]historico_intensidad_tecnologic!G27/1000000</f>
        <v>35.238087999999998</v>
      </c>
      <c r="H21" s="79">
        <f>[24]historico_intensidad_tecnologic!H27/1000000</f>
        <v>29.684328000000001</v>
      </c>
      <c r="I21" s="77">
        <f t="shared" ref="I21" si="4">IF(OR(OR(H21=0,G21=0),H21=""),"",(H21/G21-1)*100)</f>
        <v>-15.760673507597788</v>
      </c>
      <c r="J21" s="77">
        <f t="shared" ref="J21" si="5">IF(OR(OR(H21=0,G21=0),H21=""),"",H21/G21*100)</f>
        <v>84.239326492402213</v>
      </c>
      <c r="K21" s="77">
        <f t="shared" ref="K21" si="6">IF(OR(OR(H21=0,G21=0),H21=""),"",(G21/F21-1)*100)</f>
        <v>-13.933980068431573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[24]historico_intensidad_tecnologic!C28/1000000</f>
        <v>10.710637999999999</v>
      </c>
      <c r="D22" s="77">
        <f>[24]historico_intensidad_tecnologic!D28/1000000</f>
        <v>18.641265000000001</v>
      </c>
      <c r="E22" s="77">
        <f>[24]historico_intensidad_tecnologic!E28/1000000</f>
        <v>30.062384999999999</v>
      </c>
      <c r="F22" s="77">
        <f>[24]historico_intensidad_tecnologic!F28/1000000</f>
        <v>59.784436999999997</v>
      </c>
      <c r="G22" s="77">
        <f>[24]historico_intensidad_tecnologic!G28/1000000</f>
        <v>28.815688999999999</v>
      </c>
      <c r="H22" s="79">
        <f>[24]historico_intensidad_tecnologic!H28/1000000</f>
        <v>33.353411999999999</v>
      </c>
      <c r="I22" s="77">
        <f t="shared" ref="I22" si="7">IF(OR(OR(H22=0,G22=0),H22=""),"",(H22/G22-1)*100)</f>
        <v>15.747404131131471</v>
      </c>
      <c r="J22" s="77">
        <f t="shared" ref="J22" si="8">IF(OR(OR(H22=0,G22=0),H22=""),"",H22/G22*100)</f>
        <v>115.74740413113147</v>
      </c>
      <c r="K22" s="77">
        <f t="shared" ref="K22" si="9">IF(OR(OR(H22=0,G22=0),H22=""),"",(G22/F22-1)*100)</f>
        <v>-51.80068518500893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[24]historico_intensidad_tecnologic!C29/1000000</f>
        <v>13.49056</v>
      </c>
      <c r="D23" s="77">
        <f>[24]historico_intensidad_tecnologic!D29/1000000</f>
        <v>16.334589000000001</v>
      </c>
      <c r="E23" s="77">
        <f>[24]historico_intensidad_tecnologic!E29/1000000</f>
        <v>30.445751999999999</v>
      </c>
      <c r="F23" s="77">
        <f>[24]historico_intensidad_tecnologic!F29/1000000</f>
        <v>37.392091000000001</v>
      </c>
      <c r="G23" s="77">
        <f>[24]historico_intensidad_tecnologic!G29/1000000</f>
        <v>28.895007</v>
      </c>
      <c r="H23" s="79">
        <f>[24]historico_intensidad_tecnologic!H29/1000000</f>
        <v>26.537697000000001</v>
      </c>
      <c r="I23" s="77">
        <f t="shared" ref="I23:I24" si="10">IF(OR(OR(H23=0,G23=0),H23=""),"",(H23/G23-1)*100)</f>
        <v>-8.1581914827014828</v>
      </c>
      <c r="J23" s="77">
        <f t="shared" ref="J23:J24" si="11">IF(OR(OR(H23=0,G23=0),H23=""),"",H23/G23*100)</f>
        <v>91.841808517298517</v>
      </c>
      <c r="K23" s="77">
        <f t="shared" ref="K23:K24" si="12">IF(OR(OR(H23=0,G23=0),H23=""),"",(G23/F23-1)*100)</f>
        <v>-22.724281452994965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[24]historico_intensidad_tecnologic!C30/1000000</f>
        <v>11.330920000000001</v>
      </c>
      <c r="D24" s="77">
        <f>[24]historico_intensidad_tecnologic!D30/1000000</f>
        <v>17.458234999999998</v>
      </c>
      <c r="E24" s="77">
        <f>[24]historico_intensidad_tecnologic!E30/1000000</f>
        <v>29.501082</v>
      </c>
      <c r="F24" s="77">
        <f>[24]historico_intensidad_tecnologic!F30/1000000</f>
        <v>47.370643999999999</v>
      </c>
      <c r="G24" s="77">
        <f>[24]historico_intensidad_tecnologic!G30/1000000</f>
        <v>32.502701000000002</v>
      </c>
      <c r="H24" s="31">
        <f>[24]historico_intensidad_tecnologic!H30/1000000</f>
        <v>30.797248</v>
      </c>
      <c r="I24" s="25">
        <f t="shared" si="10"/>
        <v>-5.247111616969935</v>
      </c>
      <c r="J24" s="25">
        <f t="shared" si="11"/>
        <v>94.752888383030069</v>
      </c>
      <c r="K24" s="25">
        <f t="shared" si="12"/>
        <v>-31.38640673747226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134.3227</v>
      </c>
      <c r="D25" s="79">
        <f t="shared" si="13"/>
        <v>190.33635200000001</v>
      </c>
      <c r="E25" s="79">
        <f t="shared" si="13"/>
        <v>279.76925799999998</v>
      </c>
      <c r="F25" s="79">
        <f t="shared" si="13"/>
        <v>590.59244100000001</v>
      </c>
      <c r="G25" s="79">
        <f>SUM(G13:G24)</f>
        <v>363.55766299999999</v>
      </c>
      <c r="H25" s="107">
        <f>SUM(H13:H24)</f>
        <v>340.10272700000002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41.700808575170086</v>
      </c>
      <c r="E26" s="79">
        <f>(E25/D25-1)*100</f>
        <v>46.98677108196334</v>
      </c>
      <c r="F26" s="79">
        <f>(F25/E25-1)*100</f>
        <v>111.09983463586985</v>
      </c>
      <c r="G26" s="79">
        <f>(G25/F25-1)*100</f>
        <v>-38.441869932432816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134.3227</v>
      </c>
      <c r="D28" s="76">
        <f t="shared" ref="D28:E28" si="14">SUMPRODUCT(D13:D24,$N$13:$N$24)</f>
        <v>190.33635200000001</v>
      </c>
      <c r="E28" s="76">
        <f t="shared" si="14"/>
        <v>279.76925799999998</v>
      </c>
      <c r="F28" s="76">
        <f>SUMPRODUCT(F13:F24,$N$13:$N$24)</f>
        <v>590.59244100000001</v>
      </c>
      <c r="G28" s="76">
        <f>SUMPRODUCT(G13:G24,$N$13:$N$24)</f>
        <v>363.55766299999999</v>
      </c>
      <c r="H28" s="72">
        <f>SUMPRODUCT(H13:H24,$N$13:$N$24)</f>
        <v>340.10272700000002</v>
      </c>
      <c r="I28" s="73">
        <f>IF(OR(OR(H28=0,G28=0),H28=""),"",(H28/G28-1)*100)</f>
        <v>-6.4515036779736352</v>
      </c>
      <c r="J28" s="31">
        <f>IF(OR(OR(H28=0,G28=0),H28=""),"",H28/G28*100)</f>
        <v>93.548496322026367</v>
      </c>
      <c r="K28" s="31">
        <f>IF(OR(OR(H28=0,G28=0),G28=""),"",(G28/F28-1)*100)</f>
        <v>-38.441869932432816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41.700808575170086</v>
      </c>
      <c r="E29" s="79">
        <f t="shared" ref="E29:H29" si="15">(E28/D28-1)*100</f>
        <v>46.98677108196334</v>
      </c>
      <c r="F29" s="79">
        <f t="shared" si="15"/>
        <v>111.09983463586985</v>
      </c>
      <c r="G29" s="79">
        <f t="shared" si="15"/>
        <v>-38.441869932432816</v>
      </c>
      <c r="H29" s="31">
        <f t="shared" si="15"/>
        <v>-6.4515036779736352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s="120" customFormat="1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5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45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[24]historico_intensidad_tecnologic!C31/1000000</f>
        <v>19.795380000000002</v>
      </c>
      <c r="D13" s="77">
        <f>[24]historico_intensidad_tecnologic!D31/1000000</f>
        <v>30.128646</v>
      </c>
      <c r="E13" s="77">
        <f>[24]historico_intensidad_tecnologic!E31/1000000</f>
        <v>50.353810000000003</v>
      </c>
      <c r="F13" s="77">
        <f>[24]historico_intensidad_tecnologic!F31/1000000</f>
        <v>88.437582000000006</v>
      </c>
      <c r="G13" s="77">
        <f>[24]historico_intensidad_tecnologic!G31/1000000</f>
        <v>64.961584000000002</v>
      </c>
      <c r="H13" s="79">
        <f>[24]historico_intensidad_tecnologic!H31/1000000</f>
        <v>38.253278999999999</v>
      </c>
      <c r="I13" s="77">
        <f t="shared" ref="I13:I20" si="0">IF(OR(OR(H13=0,G13=0),H13=""),"",(H13/G13-1)*100)</f>
        <v>-41.113999005935575</v>
      </c>
      <c r="J13" s="77">
        <f t="shared" ref="J13:J20" si="1">IF(OR(OR(H13=0,G13=0),H13=""),"",H13/G13*100)</f>
        <v>58.886000994064425</v>
      </c>
      <c r="K13" s="77">
        <f t="shared" ref="K13:K20" si="2">IF(OR(OR(H13=0,G13=0),H13=""),"",(G13/F13-1)*100)</f>
        <v>-26.545273478870101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[24]historico_intensidad_tecnologic!C32/1000000</f>
        <v>26.491799</v>
      </c>
      <c r="D14" s="77">
        <f>[24]historico_intensidad_tecnologic!D32/1000000</f>
        <v>59.372773000000002</v>
      </c>
      <c r="E14" s="77">
        <f>[24]historico_intensidad_tecnologic!E32/1000000</f>
        <v>55.902965999999999</v>
      </c>
      <c r="F14" s="77">
        <f>[24]historico_intensidad_tecnologic!F32/1000000</f>
        <v>84.472150999999997</v>
      </c>
      <c r="G14" s="77">
        <f>[24]historico_intensidad_tecnologic!G32/1000000</f>
        <v>70.957369999999997</v>
      </c>
      <c r="H14" s="79">
        <f>[24]historico_intensidad_tecnologic!H32/1000000</f>
        <v>53.389837</v>
      </c>
      <c r="I14" s="77">
        <f t="shared" si="0"/>
        <v>-24.757869408068533</v>
      </c>
      <c r="J14" s="77">
        <f t="shared" si="1"/>
        <v>75.24213059193147</v>
      </c>
      <c r="K14" s="77">
        <f t="shared" si="2"/>
        <v>-15.999096554318825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[24]historico_intensidad_tecnologic!C33/1000000</f>
        <v>32.903571999999997</v>
      </c>
      <c r="D15" s="77">
        <f>[24]historico_intensidad_tecnologic!D33/1000000</f>
        <v>60.108415999999998</v>
      </c>
      <c r="E15" s="77">
        <f>[24]historico_intensidad_tecnologic!E33/1000000</f>
        <v>63.273246999999998</v>
      </c>
      <c r="F15" s="77">
        <f>[24]historico_intensidad_tecnologic!F33/1000000</f>
        <v>81.187340000000006</v>
      </c>
      <c r="G15" s="77">
        <f>[24]historico_intensidad_tecnologic!G33/1000000</f>
        <v>76.748938999999993</v>
      </c>
      <c r="H15" s="79">
        <f>[24]historico_intensidad_tecnologic!H33/1000000</f>
        <v>63.580505000000002</v>
      </c>
      <c r="I15" s="77">
        <f t="shared" si="0"/>
        <v>-17.157805920939172</v>
      </c>
      <c r="J15" s="77">
        <f>IF(OR(OR(H15=0,G15=0),H15=""),"",H15/G15*100)</f>
        <v>82.842194079060832</v>
      </c>
      <c r="K15" s="77">
        <f t="shared" si="2"/>
        <v>-5.4668634296923813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[24]historico_intensidad_tecnologic!C34/1000000</f>
        <v>38.143327999999997</v>
      </c>
      <c r="D16" s="77">
        <f>[24]historico_intensidad_tecnologic!D34/1000000</f>
        <v>49.057431999999999</v>
      </c>
      <c r="E16" s="77">
        <f>[24]historico_intensidad_tecnologic!E34/1000000</f>
        <v>63.852141000000003</v>
      </c>
      <c r="F16" s="77">
        <f>[24]historico_intensidad_tecnologic!F34/1000000</f>
        <v>118.820877</v>
      </c>
      <c r="G16" s="77">
        <f>[24]historico_intensidad_tecnologic!G34/1000000</f>
        <v>55.514966999999999</v>
      </c>
      <c r="H16" s="79">
        <f>[24]historico_intensidad_tecnologic!H34/1000000</f>
        <v>58.702657000000002</v>
      </c>
      <c r="I16" s="77">
        <f t="shared" si="0"/>
        <v>5.7420370978514823</v>
      </c>
      <c r="J16" s="77">
        <f t="shared" si="1"/>
        <v>105.74203709785148</v>
      </c>
      <c r="K16" s="77">
        <f t="shared" si="2"/>
        <v>-53.278440286213339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[24]historico_intensidad_tecnologic!C35/1000000</f>
        <v>35.194484000000003</v>
      </c>
      <c r="D17" s="77">
        <f>[24]historico_intensidad_tecnologic!D35/1000000</f>
        <v>56.919884000000003</v>
      </c>
      <c r="E17" s="77">
        <f>[24]historico_intensidad_tecnologic!E35/1000000</f>
        <v>86.950443000000007</v>
      </c>
      <c r="F17" s="77">
        <f>[24]historico_intensidad_tecnologic!F35/1000000</f>
        <v>111.525355</v>
      </c>
      <c r="G17" s="77">
        <f>[24]historico_intensidad_tecnologic!G35/1000000</f>
        <v>93.260051000000004</v>
      </c>
      <c r="H17" s="79">
        <f>[24]historico_intensidad_tecnologic!H35/1000000</f>
        <v>57.660742999999997</v>
      </c>
      <c r="I17" s="77">
        <f t="shared" si="0"/>
        <v>-38.17208721020323</v>
      </c>
      <c r="J17" s="77">
        <f t="shared" si="1"/>
        <v>61.82791278979677</v>
      </c>
      <c r="K17" s="77">
        <f t="shared" si="2"/>
        <v>-16.377714287481982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[24]historico_intensidad_tecnologic!C36/1000000</f>
        <v>32.009804000000003</v>
      </c>
      <c r="D18" s="77">
        <f>[24]historico_intensidad_tecnologic!D36/1000000</f>
        <v>62.456125999999998</v>
      </c>
      <c r="E18" s="77">
        <f>[24]historico_intensidad_tecnologic!E36/1000000</f>
        <v>66.104044000000002</v>
      </c>
      <c r="F18" s="77">
        <f>[24]historico_intensidad_tecnologic!F36/1000000</f>
        <v>89.125365000000002</v>
      </c>
      <c r="G18" s="77">
        <f>[24]historico_intensidad_tecnologic!G36/1000000</f>
        <v>86.122669000000002</v>
      </c>
      <c r="H18" s="79">
        <f>[24]historico_intensidad_tecnologic!H36/1000000</f>
        <v>62.226002000000001</v>
      </c>
      <c r="I18" s="77">
        <f t="shared" si="0"/>
        <v>-27.74724387605777</v>
      </c>
      <c r="J18" s="77">
        <f t="shared" si="1"/>
        <v>72.252756123942234</v>
      </c>
      <c r="K18" s="77">
        <f t="shared" si="2"/>
        <v>-3.3690700733736145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[24]historico_intensidad_tecnologic!C37/1000000</f>
        <v>34.584423000000001</v>
      </c>
      <c r="D19" s="77">
        <f>[24]historico_intensidad_tecnologic!D37/1000000</f>
        <v>55.080598000000002</v>
      </c>
      <c r="E19" s="77">
        <f>[24]historico_intensidad_tecnologic!E37/1000000</f>
        <v>76.663713000000001</v>
      </c>
      <c r="F19" s="77">
        <f>[24]historico_intensidad_tecnologic!F37/1000000</f>
        <v>99.360218000000003</v>
      </c>
      <c r="G19" s="77">
        <f>[24]historico_intensidad_tecnologic!G37/1000000</f>
        <v>58.254475999999997</v>
      </c>
      <c r="H19" s="79">
        <f>[24]historico_intensidad_tecnologic!H37/1000000</f>
        <v>57.792147</v>
      </c>
      <c r="I19" s="77">
        <f>IF(OR(OR(H19=0,G19=0),H19=""),"",(H19/G19-1)*100)</f>
        <v>-0.79363687006642758</v>
      </c>
      <c r="J19" s="77">
        <f t="shared" si="1"/>
        <v>99.206363129933578</v>
      </c>
      <c r="K19" s="77">
        <f t="shared" si="2"/>
        <v>-41.370422516585059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[24]historico_intensidad_tecnologic!C38/1000000</f>
        <v>33.331797999999999</v>
      </c>
      <c r="D20" s="77">
        <f>[24]historico_intensidad_tecnologic!D38/1000000</f>
        <v>42.586530000000003</v>
      </c>
      <c r="E20" s="77">
        <f>[24]historico_intensidad_tecnologic!E38/1000000</f>
        <v>77.487934999999993</v>
      </c>
      <c r="F20" s="77">
        <f>[24]historico_intensidad_tecnologic!F38/1000000</f>
        <v>91.750337999999999</v>
      </c>
      <c r="G20" s="77">
        <f>[24]historico_intensidad_tecnologic!G38/1000000</f>
        <v>47.323711000000003</v>
      </c>
      <c r="H20" s="79">
        <f>[24]historico_intensidad_tecnologic!H38/1000000</f>
        <v>47.272337999999998</v>
      </c>
      <c r="I20" s="77">
        <f t="shared" si="0"/>
        <v>-0.10855657537086616</v>
      </c>
      <c r="J20" s="77">
        <f t="shared" si="1"/>
        <v>99.891443424629131</v>
      </c>
      <c r="K20" s="77">
        <f t="shared" si="2"/>
        <v>-48.421213445557001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[24]historico_intensidad_tecnologic!C39/1000000</f>
        <v>40.204141999999997</v>
      </c>
      <c r="D21" s="77">
        <f>[24]historico_intensidad_tecnologic!D39/1000000</f>
        <v>69.634092999999993</v>
      </c>
      <c r="E21" s="77">
        <f>[24]historico_intensidad_tecnologic!E39/1000000</f>
        <v>87.398392000000001</v>
      </c>
      <c r="F21" s="77">
        <f>[24]historico_intensidad_tecnologic!F39/1000000</f>
        <v>87.287746999999996</v>
      </c>
      <c r="G21" s="77">
        <f>[24]historico_intensidad_tecnologic!G39/1000000</f>
        <v>60.902158</v>
      </c>
      <c r="H21" s="79">
        <f>[24]historico_intensidad_tecnologic!H39/1000000</f>
        <v>66.503538000000006</v>
      </c>
      <c r="I21" s="77">
        <f t="shared" ref="I21" si="4">IF(OR(OR(H21=0,G21=0),H21=""),"",(H21/G21-1)*100)</f>
        <v>9.1973423995911787</v>
      </c>
      <c r="J21" s="77">
        <f t="shared" ref="J21" si="5">IF(OR(OR(H21=0,G21=0),H21=""),"",H21/G21*100)</f>
        <v>109.19734239959118</v>
      </c>
      <c r="K21" s="77">
        <f t="shared" ref="K21" si="6">IF(OR(OR(H21=0,G21=0),H21=""),"",(G21/F21-1)*100)</f>
        <v>-30.228285076483875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[24]historico_intensidad_tecnologic!C40/1000000</f>
        <v>39.099065000000003</v>
      </c>
      <c r="D22" s="77">
        <f>[24]historico_intensidad_tecnologic!D40/1000000</f>
        <v>64.054348000000005</v>
      </c>
      <c r="E22" s="77">
        <f>[24]historico_intensidad_tecnologic!E40/1000000</f>
        <v>110.37331500000001</v>
      </c>
      <c r="F22" s="77">
        <f>[24]historico_intensidad_tecnologic!F40/1000000</f>
        <v>141.96741299999999</v>
      </c>
      <c r="G22" s="77">
        <f>[24]historico_intensidad_tecnologic!G40/1000000</f>
        <v>54.660938000000002</v>
      </c>
      <c r="H22" s="79">
        <f>[24]historico_intensidad_tecnologic!H40/1000000</f>
        <v>60.430861</v>
      </c>
      <c r="I22" s="77">
        <f t="shared" ref="I22" si="7">IF(OR(OR(H22=0,G22=0),H22=""),"",(H22/G22-1)*100)</f>
        <v>10.555843370269269</v>
      </c>
      <c r="J22" s="77">
        <f t="shared" ref="J22" si="8">IF(OR(OR(H22=0,G22=0),H22=""),"",H22/G22*100)</f>
        <v>110.55584337026927</v>
      </c>
      <c r="K22" s="77">
        <f t="shared" ref="K22" si="9">IF(OR(OR(H22=0,G22=0),H22=""),"",(G22/F22-1)*100)</f>
        <v>-61.497545919217387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[24]historico_intensidad_tecnologic!C41/1000000</f>
        <v>49.268898</v>
      </c>
      <c r="D23" s="77">
        <f>[24]historico_intensidad_tecnologic!D41/1000000</f>
        <v>71.697181999999998</v>
      </c>
      <c r="E23" s="77">
        <f>[24]historico_intensidad_tecnologic!E41/1000000</f>
        <v>106.418468</v>
      </c>
      <c r="F23" s="77">
        <f>[24]historico_intensidad_tecnologic!F41/1000000</f>
        <v>107.96252200000001</v>
      </c>
      <c r="G23" s="77">
        <f>[24]historico_intensidad_tecnologic!G41/1000000</f>
        <v>51.297908999999997</v>
      </c>
      <c r="H23" s="79">
        <f>[24]historico_intensidad_tecnologic!H41/1000000</f>
        <v>51.264521000000002</v>
      </c>
      <c r="I23" s="77">
        <f t="shared" ref="I23:I24" si="10">IF(OR(OR(H23=0,G23=0),H23=""),"",(H23/G23-1)*100)</f>
        <v>-6.5086473602649075E-2</v>
      </c>
      <c r="J23" s="77">
        <f t="shared" ref="J23:J24" si="11">IF(OR(OR(H23=0,G23=0),H23=""),"",H23/G23*100)</f>
        <v>99.934913526397352</v>
      </c>
      <c r="K23" s="77">
        <f t="shared" ref="K23:K24" si="12">IF(OR(OR(H23=0,G23=0),H23=""),"",(G23/F23-1)*100)</f>
        <v>-52.485447681557496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[24]historico_intensidad_tecnologic!C42/1000000</f>
        <v>46.003891000000003</v>
      </c>
      <c r="D24" s="77">
        <f>[24]historico_intensidad_tecnologic!D42/1000000</f>
        <v>63.413137999999996</v>
      </c>
      <c r="E24" s="77">
        <f>[24]historico_intensidad_tecnologic!E42/1000000</f>
        <v>112.531479</v>
      </c>
      <c r="F24" s="77">
        <f>[24]historico_intensidad_tecnologic!F42/1000000</f>
        <v>108.60164899999999</v>
      </c>
      <c r="G24" s="77">
        <f>[24]historico_intensidad_tecnologic!G42/1000000</f>
        <v>61.088583999999997</v>
      </c>
      <c r="H24" s="31">
        <f>[24]historico_intensidad_tecnologic!H42/1000000</f>
        <v>65.737679999999997</v>
      </c>
      <c r="I24" s="25">
        <f t="shared" si="10"/>
        <v>7.6104170298005203</v>
      </c>
      <c r="J24" s="25">
        <f t="shared" si="11"/>
        <v>107.61041702980052</v>
      </c>
      <c r="K24" s="25">
        <f t="shared" si="12"/>
        <v>-43.74985595292388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427.03058399999998</v>
      </c>
      <c r="D25" s="79">
        <f t="shared" si="13"/>
        <v>684.50916600000005</v>
      </c>
      <c r="E25" s="79">
        <f t="shared" si="13"/>
        <v>957.30995300000006</v>
      </c>
      <c r="F25" s="79">
        <f t="shared" si="13"/>
        <v>1210.4985569999999</v>
      </c>
      <c r="G25" s="79">
        <f>SUM(G13:G24)</f>
        <v>781.09335599999997</v>
      </c>
      <c r="H25" s="107">
        <f>SUM(H13:H24)</f>
        <v>682.81410799999981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60.295115068385854</v>
      </c>
      <c r="E26" s="79">
        <f>(E25/D25-1)*100</f>
        <v>39.853489266497277</v>
      </c>
      <c r="F26" s="79">
        <f>(F25/E25-1)*100</f>
        <v>26.447923497145531</v>
      </c>
      <c r="G26" s="79">
        <f>(G25/F25-1)*100</f>
        <v>-35.473417007964258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427.03058399999998</v>
      </c>
      <c r="D28" s="76">
        <f t="shared" ref="D28:E28" si="14">SUMPRODUCT(D13:D24,$N$13:$N$24)</f>
        <v>684.50916600000005</v>
      </c>
      <c r="E28" s="76">
        <f t="shared" si="14"/>
        <v>957.30995300000006</v>
      </c>
      <c r="F28" s="76">
        <f>SUMPRODUCT(F13:F24,$N$13:$N$24)</f>
        <v>1210.4985569999999</v>
      </c>
      <c r="G28" s="76">
        <f>SUMPRODUCT(G13:G24,$N$13:$N$24)</f>
        <v>781.09335599999997</v>
      </c>
      <c r="H28" s="72">
        <f>SUMPRODUCT(H13:H24,$N$13:$N$24)</f>
        <v>682.81410799999981</v>
      </c>
      <c r="I28" s="73">
        <f>IF(OR(OR(H28=0,G28=0),H28=""),"",(H28/G28-1)*100)</f>
        <v>-12.58226654279725</v>
      </c>
      <c r="J28" s="31">
        <f>IF(OR(OR(H28=0,G28=0),H28=""),"",H28/G28*100)</f>
        <v>87.417733457202758</v>
      </c>
      <c r="K28" s="31">
        <f>IF(OR(OR(H28=0,G28=0),G28=""),"",(G28/F28-1)*100)</f>
        <v>-35.473417007964258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60.295115068385854</v>
      </c>
      <c r="E29" s="79">
        <f t="shared" ref="E29:H29" si="15">(E28/D28-1)*100</f>
        <v>39.853489266497277</v>
      </c>
      <c r="F29" s="79">
        <f t="shared" si="15"/>
        <v>26.447923497145531</v>
      </c>
      <c r="G29" s="79">
        <f t="shared" si="15"/>
        <v>-35.473417007964258</v>
      </c>
      <c r="H29" s="31">
        <f t="shared" si="15"/>
        <v>-12.58226654279725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57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[24]historico_intensidad_tecnologic!C43/1000000</f>
        <v>37.315683999999997</v>
      </c>
      <c r="D13" s="77">
        <f>[24]historico_intensidad_tecnologic!D43/1000000</f>
        <v>46.022174999999997</v>
      </c>
      <c r="E13" s="77">
        <f>[24]historico_intensidad_tecnologic!E43/1000000</f>
        <v>51.745559</v>
      </c>
      <c r="F13" s="77">
        <f>[24]historico_intensidad_tecnologic!F43/1000000</f>
        <v>49.100009</v>
      </c>
      <c r="G13" s="77">
        <f>[24]historico_intensidad_tecnologic!G43/1000000</f>
        <v>61.785584</v>
      </c>
      <c r="H13" s="79">
        <f>[24]historico_intensidad_tecnologic!H43/1000000</f>
        <v>38.142007</v>
      </c>
      <c r="I13" s="77">
        <f t="shared" ref="I13:I20" si="0">IF(OR(OR(H13=0,G13=0),H13=""),"",(H13/G13-1)*100)</f>
        <v>-38.267141733256096</v>
      </c>
      <c r="J13" s="77">
        <f t="shared" ref="J13:J20" si="1">IF(OR(OR(H13=0,G13=0),H13=""),"",H13/G13*100)</f>
        <v>61.732858266743904</v>
      </c>
      <c r="K13" s="77">
        <f t="shared" ref="K13:K20" si="2">IF(OR(OR(H13=0,G13=0),H13=""),"",(G13/F13-1)*100)</f>
        <v>25.836196893568797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[24]historico_intensidad_tecnologic!C44/1000000</f>
        <v>40.046906</v>
      </c>
      <c r="D14" s="77">
        <f>[24]historico_intensidad_tecnologic!D44/1000000</f>
        <v>56.098174999999998</v>
      </c>
      <c r="E14" s="77">
        <f>[24]historico_intensidad_tecnologic!E44/1000000</f>
        <v>73.030208999999999</v>
      </c>
      <c r="F14" s="77">
        <f>[24]historico_intensidad_tecnologic!F44/1000000</f>
        <v>72.967084</v>
      </c>
      <c r="G14" s="77">
        <f>[24]historico_intensidad_tecnologic!G44/1000000</f>
        <v>65.364384999999999</v>
      </c>
      <c r="H14" s="79">
        <f>[24]historico_intensidad_tecnologic!H44/1000000</f>
        <v>54.358974000000003</v>
      </c>
      <c r="I14" s="77">
        <f t="shared" si="0"/>
        <v>-16.83701453016042</v>
      </c>
      <c r="J14" s="77">
        <f t="shared" si="1"/>
        <v>83.162985469839583</v>
      </c>
      <c r="K14" s="77">
        <f t="shared" si="2"/>
        <v>-10.419354294054017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[24]historico_intensidad_tecnologic!C45/1000000</f>
        <v>41.055196000000002</v>
      </c>
      <c r="D15" s="77">
        <f>[24]historico_intensidad_tecnologic!D45/1000000</f>
        <v>69.446663999999998</v>
      </c>
      <c r="E15" s="77">
        <f>[24]historico_intensidad_tecnologic!E45/1000000</f>
        <v>82.844943000000001</v>
      </c>
      <c r="F15" s="77">
        <f>[24]historico_intensidad_tecnologic!F45/1000000</f>
        <v>72.331755999999999</v>
      </c>
      <c r="G15" s="77">
        <f>[24]historico_intensidad_tecnologic!G45/1000000</f>
        <v>62.430121</v>
      </c>
      <c r="H15" s="79">
        <f>[24]historico_intensidad_tecnologic!H45/1000000</f>
        <v>62.692455000000002</v>
      </c>
      <c r="I15" s="77">
        <f t="shared" si="0"/>
        <v>0.4202042152056773</v>
      </c>
      <c r="J15" s="77">
        <f>IF(OR(OR(H15=0,G15=0),H15=""),"",H15/G15*100)</f>
        <v>100.42020421520567</v>
      </c>
      <c r="K15" s="77">
        <f t="shared" si="2"/>
        <v>-13.689194826128649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[24]historico_intensidad_tecnologic!C46/1000000</f>
        <v>57.138572000000003</v>
      </c>
      <c r="D16" s="77">
        <f>[24]historico_intensidad_tecnologic!D46/1000000</f>
        <v>59.941648000000001</v>
      </c>
      <c r="E16" s="77">
        <f>[24]historico_intensidad_tecnologic!E46/1000000</f>
        <v>75.628871000000004</v>
      </c>
      <c r="F16" s="77">
        <f>[24]historico_intensidad_tecnologic!F46/1000000</f>
        <v>77.271294999999995</v>
      </c>
      <c r="G16" s="77">
        <f>[24]historico_intensidad_tecnologic!G46/1000000</f>
        <v>52.729798000000002</v>
      </c>
      <c r="H16" s="79">
        <f>[24]historico_intensidad_tecnologic!H46/1000000</f>
        <v>66.630747</v>
      </c>
      <c r="I16" s="77">
        <f t="shared" si="0"/>
        <v>26.362606206077245</v>
      </c>
      <c r="J16" s="77">
        <f t="shared" si="1"/>
        <v>126.36260620607725</v>
      </c>
      <c r="K16" s="77">
        <f t="shared" si="2"/>
        <v>-31.760173037089633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[24]historico_intensidad_tecnologic!C47/1000000</f>
        <v>55.389189000000002</v>
      </c>
      <c r="D17" s="77">
        <f>[24]historico_intensidad_tecnologic!D47/1000000</f>
        <v>63.813510999999998</v>
      </c>
      <c r="E17" s="77">
        <f>[24]historico_intensidad_tecnologic!E47/1000000</f>
        <v>85.345544000000004</v>
      </c>
      <c r="F17" s="77">
        <f>[24]historico_intensidad_tecnologic!F47/1000000</f>
        <v>62.664107999999999</v>
      </c>
      <c r="G17" s="77">
        <f>[24]historico_intensidad_tecnologic!G47/1000000</f>
        <v>58.156405999999997</v>
      </c>
      <c r="H17" s="79">
        <f>[24]historico_intensidad_tecnologic!H47/1000000</f>
        <v>65.794837999999999</v>
      </c>
      <c r="I17" s="77">
        <f t="shared" si="0"/>
        <v>13.134291689207899</v>
      </c>
      <c r="J17" s="77">
        <f t="shared" si="1"/>
        <v>113.1342916892079</v>
      </c>
      <c r="K17" s="77">
        <f t="shared" si="2"/>
        <v>-7.1934351957902321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[24]historico_intensidad_tecnologic!C48/1000000</f>
        <v>59.936957</v>
      </c>
      <c r="D18" s="77">
        <f>[24]historico_intensidad_tecnologic!D48/1000000</f>
        <v>61.650835000000001</v>
      </c>
      <c r="E18" s="77">
        <f>[24]historico_intensidad_tecnologic!E48/1000000</f>
        <v>72.828411000000003</v>
      </c>
      <c r="F18" s="77">
        <f>[24]historico_intensidad_tecnologic!F48/1000000</f>
        <v>57.565038000000001</v>
      </c>
      <c r="G18" s="77">
        <f>[24]historico_intensidad_tecnologic!G48/1000000</f>
        <v>50.618592999999997</v>
      </c>
      <c r="H18" s="79">
        <f>[24]historico_intensidad_tecnologic!H48/1000000</f>
        <v>60.764901000000002</v>
      </c>
      <c r="I18" s="77">
        <f t="shared" si="0"/>
        <v>20.044626684902145</v>
      </c>
      <c r="J18" s="77">
        <f t="shared" si="1"/>
        <v>120.04462668490214</v>
      </c>
      <c r="K18" s="77">
        <f t="shared" si="2"/>
        <v>-12.067124840602039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[24]historico_intensidad_tecnologic!C49/1000000</f>
        <v>63.509920000000001</v>
      </c>
      <c r="D19" s="77">
        <f>[24]historico_intensidad_tecnologic!D49/1000000</f>
        <v>62.178445000000004</v>
      </c>
      <c r="E19" s="77">
        <f>[24]historico_intensidad_tecnologic!E49/1000000</f>
        <v>86.674037999999996</v>
      </c>
      <c r="F19" s="77">
        <f>[24]historico_intensidad_tecnologic!F49/1000000</f>
        <v>85.594853000000001</v>
      </c>
      <c r="G19" s="77">
        <f>[24]historico_intensidad_tecnologic!G49/1000000</f>
        <v>56.051180000000002</v>
      </c>
      <c r="H19" s="79">
        <f>[24]historico_intensidad_tecnologic!H49/1000000</f>
        <v>46.727649999999997</v>
      </c>
      <c r="I19" s="77">
        <f>IF(OR(OR(H19=0,G19=0),H19=""),"",(H19/G19-1)*100)</f>
        <v>-16.633958464389163</v>
      </c>
      <c r="J19" s="77">
        <f t="shared" si="1"/>
        <v>83.366041535610833</v>
      </c>
      <c r="K19" s="77">
        <f t="shared" si="2"/>
        <v>-34.515712060396893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[24]historico_intensidad_tecnologic!C50/1000000</f>
        <v>69.115159000000006</v>
      </c>
      <c r="D20" s="77">
        <f>[24]historico_intensidad_tecnologic!D50/1000000</f>
        <v>84.109071999999998</v>
      </c>
      <c r="E20" s="77">
        <f>[24]historico_intensidad_tecnologic!E50/1000000</f>
        <v>95.716435000000004</v>
      </c>
      <c r="F20" s="77">
        <f>[24]historico_intensidad_tecnologic!F50/1000000</f>
        <v>75.222325999999995</v>
      </c>
      <c r="G20" s="77">
        <f>[24]historico_intensidad_tecnologic!G50/1000000</f>
        <v>47.861930000000001</v>
      </c>
      <c r="H20" s="79">
        <f>[24]historico_intensidad_tecnologic!H50/1000000</f>
        <v>56.905189999999997</v>
      </c>
      <c r="I20" s="77">
        <f t="shared" si="0"/>
        <v>18.894474167673557</v>
      </c>
      <c r="J20" s="77">
        <f t="shared" si="1"/>
        <v>118.89447416767356</v>
      </c>
      <c r="K20" s="77">
        <f t="shared" si="2"/>
        <v>-36.372706688171277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[24]historico_intensidad_tecnologic!C51/1000000</f>
        <v>66.181804999999997</v>
      </c>
      <c r="D21" s="77">
        <f>[24]historico_intensidad_tecnologic!D51/1000000</f>
        <v>78.446601999999999</v>
      </c>
      <c r="E21" s="77">
        <f>[24]historico_intensidad_tecnologic!E51/1000000</f>
        <v>95.087427000000005</v>
      </c>
      <c r="F21" s="77">
        <f>[24]historico_intensidad_tecnologic!F51/1000000</f>
        <v>84.516658000000007</v>
      </c>
      <c r="G21" s="77">
        <f>[24]historico_intensidad_tecnologic!G51/1000000</f>
        <v>60.162281999999998</v>
      </c>
      <c r="H21" s="79">
        <f>[24]historico_intensidad_tecnologic!H51/1000000</f>
        <v>62.574131000000001</v>
      </c>
      <c r="I21" s="77">
        <f t="shared" ref="I21" si="4">IF(OR(OR(H21=0,G21=0),H21=""),"",(H21/G21-1)*100)</f>
        <v>4.0089054467714602</v>
      </c>
      <c r="J21" s="77">
        <f t="shared" ref="J21" si="5">IF(OR(OR(H21=0,G21=0),H21=""),"",H21/G21*100)</f>
        <v>104.00890544677146</v>
      </c>
      <c r="K21" s="77">
        <f t="shared" ref="K21" si="6">IF(OR(OR(H21=0,G21=0),H21=""),"",(G21/F21-1)*100)</f>
        <v>-28.816066058835421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[24]historico_intensidad_tecnologic!C52/1000000</f>
        <v>52.452800000000003</v>
      </c>
      <c r="D22" s="77">
        <f>[24]historico_intensidad_tecnologic!D52/1000000</f>
        <v>77.347560999999999</v>
      </c>
      <c r="E22" s="77">
        <f>[24]historico_intensidad_tecnologic!E52/1000000</f>
        <v>97.278266000000002</v>
      </c>
      <c r="F22" s="77">
        <f>[24]historico_intensidad_tecnologic!F52/1000000</f>
        <v>95.369840999999994</v>
      </c>
      <c r="G22" s="77">
        <f>[24]historico_intensidad_tecnologic!G52/1000000</f>
        <v>54.962479999999999</v>
      </c>
      <c r="H22" s="79">
        <f>[24]historico_intensidad_tecnologic!H52/1000000</f>
        <v>59.516176000000002</v>
      </c>
      <c r="I22" s="77">
        <f t="shared" ref="I22" si="7">IF(OR(OR(H22=0,G22=0),H22=""),"",(H22/G22-1)*100)</f>
        <v>8.2850992167747819</v>
      </c>
      <c r="J22" s="77">
        <f t="shared" ref="J22" si="8">IF(OR(OR(H22=0,G22=0),H22=""),"",H22/G22*100)</f>
        <v>108.28509921677478</v>
      </c>
      <c r="K22" s="77">
        <f t="shared" ref="K22" si="9">IF(OR(OR(H22=0,G22=0),H22=""),"",(G22/F22-1)*100)</f>
        <v>-42.369118556043304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[24]historico_intensidad_tecnologic!C53/1000000</f>
        <v>57.081417000000002</v>
      </c>
      <c r="D23" s="77">
        <f>[24]historico_intensidad_tecnologic!D53/1000000</f>
        <v>81.279758999999999</v>
      </c>
      <c r="E23" s="77">
        <f>[24]historico_intensidad_tecnologic!E53/1000000</f>
        <v>128.54671500000001</v>
      </c>
      <c r="F23" s="77">
        <f>[24]historico_intensidad_tecnologic!F53/1000000</f>
        <v>76.150389000000004</v>
      </c>
      <c r="G23" s="77">
        <f>[24]historico_intensidad_tecnologic!G53/1000000</f>
        <v>53.624661000000003</v>
      </c>
      <c r="H23" s="79">
        <f>[24]historico_intensidad_tecnologic!H53/1000000</f>
        <v>49.613410000000002</v>
      </c>
      <c r="I23" s="77">
        <f t="shared" ref="I23:I24" si="10">IF(OR(OR(H23=0,G23=0),H23=""),"",(H23/G23-1)*100)</f>
        <v>-7.480235632631782</v>
      </c>
      <c r="J23" s="77">
        <f t="shared" ref="J23:J24" si="11">IF(OR(OR(H23=0,G23=0),H23=""),"",H23/G23*100)</f>
        <v>92.519764367368225</v>
      </c>
      <c r="K23" s="77">
        <f t="shared" ref="K23:K24" si="12">IF(OR(OR(H23=0,G23=0),H23=""),"",(G23/F23-1)*100)</f>
        <v>-29.580581656647876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[24]historico_intensidad_tecnologic!C54/1000000</f>
        <v>56.510286999999998</v>
      </c>
      <c r="D24" s="77">
        <f>[24]historico_intensidad_tecnologic!D54/1000000</f>
        <v>72.585549</v>
      </c>
      <c r="E24" s="77">
        <f>[24]historico_intensidad_tecnologic!E54/1000000</f>
        <v>104.308672</v>
      </c>
      <c r="F24" s="77">
        <f>[24]historico_intensidad_tecnologic!F54/1000000</f>
        <v>90.768907999999996</v>
      </c>
      <c r="G24" s="77">
        <f>[24]historico_intensidad_tecnologic!G54/1000000</f>
        <v>57.841999000000001</v>
      </c>
      <c r="H24" s="31">
        <f>[24]historico_intensidad_tecnologic!H54/1000000</f>
        <v>52.165011</v>
      </c>
      <c r="I24" s="25">
        <f t="shared" si="10"/>
        <v>-9.8146469661257729</v>
      </c>
      <c r="J24" s="25">
        <f t="shared" si="11"/>
        <v>90.185353033874222</v>
      </c>
      <c r="K24" s="25">
        <f t="shared" si="12"/>
        <v>-36.275537213689958</v>
      </c>
      <c r="L24" s="65"/>
      <c r="N24" s="43">
        <f t="shared" si="3"/>
        <v>1</v>
      </c>
    </row>
    <row r="25" spans="1:15">
      <c r="A25" s="63"/>
      <c r="B25" s="78" t="s">
        <v>42</v>
      </c>
      <c r="C25" s="76">
        <f t="shared" ref="C25:F25" si="13">SUM(C13:C24)</f>
        <v>655.73389199999997</v>
      </c>
      <c r="D25" s="76">
        <f t="shared" si="13"/>
        <v>812.91999600000008</v>
      </c>
      <c r="E25" s="76">
        <f t="shared" si="13"/>
        <v>1049.0350900000003</v>
      </c>
      <c r="F25" s="76">
        <f t="shared" si="13"/>
        <v>899.52226499999995</v>
      </c>
      <c r="G25" s="76">
        <f>SUM(G13:G24)</f>
        <v>681.58941899999991</v>
      </c>
      <c r="H25" s="71">
        <f>SUM(H13:H24)</f>
        <v>675.88549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23.971020244291431</v>
      </c>
      <c r="E26" s="79">
        <f>(E25/D25-1)*100</f>
        <v>29.045305215988336</v>
      </c>
      <c r="F26" s="79">
        <f>(F25/E25-1)*100</f>
        <v>-14.252414092268385</v>
      </c>
      <c r="G26" s="79">
        <f>(G25/F25-1)*100</f>
        <v>-24.227621091735852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655.73389199999997</v>
      </c>
      <c r="D28" s="76">
        <f t="shared" ref="D28:E28" si="14">SUMPRODUCT(D13:D24,$N$13:$N$24)</f>
        <v>812.91999600000008</v>
      </c>
      <c r="E28" s="76">
        <f t="shared" si="14"/>
        <v>1049.0350900000003</v>
      </c>
      <c r="F28" s="76">
        <f>SUMPRODUCT(F13:F24,$N$13:$N$24)</f>
        <v>899.52226499999995</v>
      </c>
      <c r="G28" s="76">
        <f>SUMPRODUCT(G13:G24,$N$13:$N$24)</f>
        <v>681.58941899999991</v>
      </c>
      <c r="H28" s="72">
        <f>SUMPRODUCT(H13:H24,$N$13:$N$24)</f>
        <v>675.88549</v>
      </c>
      <c r="I28" s="73">
        <f>IF(OR(OR(H28=0,G28=0),H28=""),"",(H28/G28-1)*100)</f>
        <v>-0.83685703460133487</v>
      </c>
      <c r="J28" s="31">
        <f>IF(OR(OR(H28=0,G28=0),H28=""),"",H28/G28*100)</f>
        <v>99.163142965398663</v>
      </c>
      <c r="K28" s="31">
        <f>IF(OR(OR(H28=0,G28=0),G28=""),"",(G28/F28-1)*100)</f>
        <v>-24.227621091735852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23.971020244291431</v>
      </c>
      <c r="E29" s="79">
        <f t="shared" ref="E29:H29" si="15">(E28/D28-1)*100</f>
        <v>29.045305215988336</v>
      </c>
      <c r="F29" s="79">
        <f t="shared" si="15"/>
        <v>-14.252414092268385</v>
      </c>
      <c r="G29" s="79">
        <f t="shared" si="15"/>
        <v>-24.227621091735852</v>
      </c>
      <c r="H29" s="31">
        <f t="shared" si="15"/>
        <v>-0.83685703460133487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46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[24]historico_intensidad_tecnologic!C55/1000000</f>
        <v>10.279608</v>
      </c>
      <c r="D13" s="77">
        <f>[24]historico_intensidad_tecnologic!D55/1000000</f>
        <v>14.054273</v>
      </c>
      <c r="E13" s="77">
        <f>[24]historico_intensidad_tecnologic!E55/1000000</f>
        <v>21.077349999999999</v>
      </c>
      <c r="F13" s="77">
        <f>[24]historico_intensidad_tecnologic!F55/1000000</f>
        <v>30.035775000000001</v>
      </c>
      <c r="G13" s="77">
        <f>[24]historico_intensidad_tecnologic!G55/1000000</f>
        <v>30.159521000000002</v>
      </c>
      <c r="H13" s="79">
        <f>[24]historico_intensidad_tecnologic!H55/1000000</f>
        <v>33.532615999999997</v>
      </c>
      <c r="I13" s="77">
        <f t="shared" ref="I13:I20" si="0">IF(OR(OR(H13=0,G13=0),H13=""),"",(H13/G13-1)*100)</f>
        <v>11.184179616115241</v>
      </c>
      <c r="J13" s="77">
        <f t="shared" ref="J13:J20" si="1">IF(OR(OR(H13=0,G13=0),H13=""),"",H13/G13*100)</f>
        <v>111.18417961611524</v>
      </c>
      <c r="K13" s="77">
        <f t="shared" ref="K13:K20" si="2">IF(OR(OR(H13=0,G13=0),H13=""),"",(G13/F13-1)*100)</f>
        <v>0.4119953621972483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[24]historico_intensidad_tecnologic!C56/1000000</f>
        <v>16.488683000000002</v>
      </c>
      <c r="D14" s="77">
        <f>[24]historico_intensidad_tecnologic!D56/1000000</f>
        <v>24.177564</v>
      </c>
      <c r="E14" s="77">
        <f>[24]historico_intensidad_tecnologic!E56/1000000</f>
        <v>14.973604</v>
      </c>
      <c r="F14" s="77">
        <f>[24]historico_intensidad_tecnologic!F56/1000000</f>
        <v>30.616865000000001</v>
      </c>
      <c r="G14" s="77">
        <f>[24]historico_intensidad_tecnologic!G56/1000000</f>
        <v>32.378881</v>
      </c>
      <c r="H14" s="79">
        <f>[24]historico_intensidad_tecnologic!H56/1000000</f>
        <v>26.950436</v>
      </c>
      <c r="I14" s="77">
        <f t="shared" si="0"/>
        <v>-16.765387908247973</v>
      </c>
      <c r="J14" s="77">
        <f t="shared" si="1"/>
        <v>83.234612091752027</v>
      </c>
      <c r="K14" s="77">
        <f t="shared" si="2"/>
        <v>5.7550503619492099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[24]historico_intensidad_tecnologic!C57/1000000</f>
        <v>15.400600000000001</v>
      </c>
      <c r="D15" s="77">
        <f>[24]historico_intensidad_tecnologic!D57/1000000</f>
        <v>23.203579999999999</v>
      </c>
      <c r="E15" s="77">
        <f>[24]historico_intensidad_tecnologic!E57/1000000</f>
        <v>23.958556999999999</v>
      </c>
      <c r="F15" s="77">
        <f>[24]historico_intensidad_tecnologic!F57/1000000</f>
        <v>34.710951000000001</v>
      </c>
      <c r="G15" s="77">
        <f>[24]historico_intensidad_tecnologic!G57/1000000</f>
        <v>46.140765999999999</v>
      </c>
      <c r="H15" s="79">
        <f>[24]historico_intensidad_tecnologic!H57/1000000</f>
        <v>65.729502999999994</v>
      </c>
      <c r="I15" s="77">
        <f t="shared" si="0"/>
        <v>42.4542951887708</v>
      </c>
      <c r="J15" s="77">
        <f>IF(OR(OR(H15=0,G15=0),H15=""),"",H15/G15*100)</f>
        <v>142.4542951887708</v>
      </c>
      <c r="K15" s="77">
        <f t="shared" si="2"/>
        <v>32.928556178135238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[24]historico_intensidad_tecnologic!C58/1000000</f>
        <v>19.310113000000001</v>
      </c>
      <c r="D16" s="77">
        <f>[24]historico_intensidad_tecnologic!D58/1000000</f>
        <v>18.89264</v>
      </c>
      <c r="E16" s="77">
        <f>[24]historico_intensidad_tecnologic!E58/1000000</f>
        <v>19.854883000000001</v>
      </c>
      <c r="F16" s="77">
        <f>[24]historico_intensidad_tecnologic!F58/1000000</f>
        <v>43.136693000000001</v>
      </c>
      <c r="G16" s="77">
        <f>[24]historico_intensidad_tecnologic!G58/1000000</f>
        <v>41.273878000000003</v>
      </c>
      <c r="H16" s="79">
        <f>[24]historico_intensidad_tecnologic!H58/1000000</f>
        <v>26.286801000000001</v>
      </c>
      <c r="I16" s="77">
        <f t="shared" si="0"/>
        <v>-36.311288704201729</v>
      </c>
      <c r="J16" s="77">
        <f t="shared" si="1"/>
        <v>63.688711295798271</v>
      </c>
      <c r="K16" s="77">
        <f t="shared" si="2"/>
        <v>-4.3184001147236746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[24]historico_intensidad_tecnologic!C59/1000000</f>
        <v>17.740974000000001</v>
      </c>
      <c r="D17" s="77">
        <f>[24]historico_intensidad_tecnologic!D59/1000000</f>
        <v>25.289725000000001</v>
      </c>
      <c r="E17" s="77">
        <f>[24]historico_intensidad_tecnologic!E59/1000000</f>
        <v>43.993974999999999</v>
      </c>
      <c r="F17" s="77">
        <f>[24]historico_intensidad_tecnologic!F59/1000000</f>
        <v>37.085005000000002</v>
      </c>
      <c r="G17" s="77">
        <f>[24]historico_intensidad_tecnologic!G59/1000000</f>
        <v>48.055850999999997</v>
      </c>
      <c r="H17" s="79">
        <f>[24]historico_intensidad_tecnologic!H59/1000000</f>
        <v>95.830190999999999</v>
      </c>
      <c r="I17" s="77">
        <f t="shared" si="0"/>
        <v>99.414200364488408</v>
      </c>
      <c r="J17" s="77">
        <f t="shared" si="1"/>
        <v>199.41420036448841</v>
      </c>
      <c r="K17" s="77">
        <f t="shared" si="2"/>
        <v>29.582970259812534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[24]historico_intensidad_tecnologic!C60/1000000</f>
        <v>21.676528999999999</v>
      </c>
      <c r="D18" s="77">
        <f>[24]historico_intensidad_tecnologic!D60/1000000</f>
        <v>27.866140999999999</v>
      </c>
      <c r="E18" s="77">
        <f>[24]historico_intensidad_tecnologic!E60/1000000</f>
        <v>32.212496000000002</v>
      </c>
      <c r="F18" s="77">
        <f>[24]historico_intensidad_tecnologic!F60/1000000</f>
        <v>41.742787</v>
      </c>
      <c r="G18" s="77">
        <f>[24]historico_intensidad_tecnologic!G60/1000000</f>
        <v>41.666694</v>
      </c>
      <c r="H18" s="79">
        <f>[24]historico_intensidad_tecnologic!H60/1000000</f>
        <v>23.911901</v>
      </c>
      <c r="I18" s="77">
        <f t="shared" si="0"/>
        <v>-42.611475246872232</v>
      </c>
      <c r="J18" s="77">
        <f t="shared" si="1"/>
        <v>57.388524753127768</v>
      </c>
      <c r="K18" s="77">
        <f t="shared" si="2"/>
        <v>-0.18229017626446575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[24]historico_intensidad_tecnologic!C61/1000000</f>
        <v>24.079635</v>
      </c>
      <c r="D19" s="77">
        <f>[24]historico_intensidad_tecnologic!D61/1000000</f>
        <v>22.237383000000001</v>
      </c>
      <c r="E19" s="77">
        <f>[24]historico_intensidad_tecnologic!E61/1000000</f>
        <v>27.903637</v>
      </c>
      <c r="F19" s="77">
        <f>[24]historico_intensidad_tecnologic!F61/1000000</f>
        <v>54.844762000000003</v>
      </c>
      <c r="G19" s="77">
        <f>[24]historico_intensidad_tecnologic!G61/1000000</f>
        <v>47.007477000000002</v>
      </c>
      <c r="H19" s="79">
        <f>[24]historico_intensidad_tecnologic!H61/1000000</f>
        <v>27.487085</v>
      </c>
      <c r="I19" s="77">
        <f>IF(OR(OR(H19=0,G19=0),H19=""),"",(H19/G19-1)*100)</f>
        <v>-41.526142745333892</v>
      </c>
      <c r="J19" s="77">
        <f t="shared" si="1"/>
        <v>58.473857254666108</v>
      </c>
      <c r="K19" s="77">
        <f t="shared" si="2"/>
        <v>-14.289942583760329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[24]historico_intensidad_tecnologic!C62/1000000</f>
        <v>18.025141999999999</v>
      </c>
      <c r="D20" s="77">
        <f>[24]historico_intensidad_tecnologic!D62/1000000</f>
        <v>28.282615</v>
      </c>
      <c r="E20" s="77">
        <f>[24]historico_intensidad_tecnologic!E62/1000000</f>
        <v>30.989426000000002</v>
      </c>
      <c r="F20" s="77">
        <f>[24]historico_intensidad_tecnologic!F62/1000000</f>
        <v>39.925061999999997</v>
      </c>
      <c r="G20" s="77">
        <f>[24]historico_intensidad_tecnologic!G62/1000000</f>
        <v>48.643236000000002</v>
      </c>
      <c r="H20" s="79">
        <f>[24]historico_intensidad_tecnologic!H62/1000000</f>
        <v>34.980018000000001</v>
      </c>
      <c r="I20" s="77">
        <f t="shared" si="0"/>
        <v>-28.088628807507789</v>
      </c>
      <c r="J20" s="77">
        <f t="shared" si="1"/>
        <v>71.911371192492211</v>
      </c>
      <c r="K20" s="77">
        <f t="shared" si="2"/>
        <v>21.836344299227406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[24]historico_intensidad_tecnologic!C63/1000000</f>
        <v>18.685479999999998</v>
      </c>
      <c r="D21" s="77">
        <f>[24]historico_intensidad_tecnologic!D63/1000000</f>
        <v>32.079403999999997</v>
      </c>
      <c r="E21" s="77">
        <f>[24]historico_intensidad_tecnologic!E63/1000000</f>
        <v>58.307029</v>
      </c>
      <c r="F21" s="77">
        <f>[24]historico_intensidad_tecnologic!F63/1000000</f>
        <v>36.599136999999999</v>
      </c>
      <c r="G21" s="77">
        <f>[24]historico_intensidad_tecnologic!G63/1000000</f>
        <v>49.429855000000003</v>
      </c>
      <c r="H21" s="79">
        <f>[24]historico_intensidad_tecnologic!H63/1000000</f>
        <v>53.882877000000001</v>
      </c>
      <c r="I21" s="77">
        <f t="shared" ref="I21" si="4">IF(OR(OR(H21=0,G21=0),H21=""),"",(H21/G21-1)*100)</f>
        <v>9.0087701046260413</v>
      </c>
      <c r="J21" s="77">
        <f t="shared" ref="J21" si="5">IF(OR(OR(H21=0,G21=0),H21=""),"",H21/G21*100)</f>
        <v>109.00877010462604</v>
      </c>
      <c r="K21" s="77">
        <f t="shared" ref="K21" si="6">IF(OR(OR(H21=0,G21=0),H21=""),"",(G21/F21-1)*100)</f>
        <v>35.05743318483168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[24]historico_intensidad_tecnologic!C64/1000000</f>
        <v>18.574062999999999</v>
      </c>
      <c r="D22" s="77">
        <f>[24]historico_intensidad_tecnologic!D64/1000000</f>
        <v>35.608060000000002</v>
      </c>
      <c r="E22" s="77">
        <f>[24]historico_intensidad_tecnologic!E64/1000000</f>
        <v>28.236847000000001</v>
      </c>
      <c r="F22" s="77">
        <f>[24]historico_intensidad_tecnologic!F64/1000000</f>
        <v>68.091926000000001</v>
      </c>
      <c r="G22" s="77">
        <f>[24]historico_intensidad_tecnologic!G64/1000000</f>
        <v>41.172502000000001</v>
      </c>
      <c r="H22" s="79">
        <f>[24]historico_intensidad_tecnologic!H64/1000000</f>
        <v>45.957676999999997</v>
      </c>
      <c r="I22" s="77">
        <f t="shared" ref="I22:I23" si="7">IF(OR(OR(H22=0,G22=0),H22=""),"",(H22/G22-1)*100)</f>
        <v>11.62225943907902</v>
      </c>
      <c r="J22" s="77">
        <f t="shared" ref="J22:J23" si="8">IF(OR(OR(H22=0,G22=0),H22=""),"",H22/G22*100)</f>
        <v>111.62225943907902</v>
      </c>
      <c r="K22" s="77">
        <f t="shared" ref="K22:K23" si="9">IF(OR(OR(H22=0,G22=0),H22=""),"",(G22/F22-1)*100)</f>
        <v>-39.533944156609699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[24]historico_intensidad_tecnologic!C65/1000000</f>
        <v>20.590647000000001</v>
      </c>
      <c r="D23" s="77">
        <f>[24]historico_intensidad_tecnologic!D65/1000000</f>
        <v>29.873828</v>
      </c>
      <c r="E23" s="77">
        <f>[24]historico_intensidad_tecnologic!E65/1000000</f>
        <v>29.038112000000002</v>
      </c>
      <c r="F23" s="77">
        <f>[24]historico_intensidad_tecnologic!F65/1000000</f>
        <v>32.253188999999999</v>
      </c>
      <c r="G23" s="77">
        <f>[24]historico_intensidad_tecnologic!G65/1000000</f>
        <v>34.839720999999997</v>
      </c>
      <c r="H23" s="79">
        <f>[24]historico_intensidad_tecnologic!H65/1000000</f>
        <v>23.986134</v>
      </c>
      <c r="I23" s="77">
        <f t="shared" si="7"/>
        <v>-31.152910208437078</v>
      </c>
      <c r="J23" s="77">
        <f t="shared" si="8"/>
        <v>68.847089791562922</v>
      </c>
      <c r="K23" s="77">
        <f t="shared" si="9"/>
        <v>8.0194612693957232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[24]historico_intensidad_tecnologic!C66/1000000</f>
        <v>14.760837</v>
      </c>
      <c r="D24" s="77">
        <f>[24]historico_intensidad_tecnologic!D66/1000000</f>
        <v>13.794131999999999</v>
      </c>
      <c r="E24" s="77">
        <f>[24]historico_intensidad_tecnologic!E66/1000000</f>
        <v>31.542263999999999</v>
      </c>
      <c r="F24" s="77">
        <f>[24]historico_intensidad_tecnologic!F66/1000000</f>
        <v>33.707538</v>
      </c>
      <c r="G24" s="77">
        <f>[24]historico_intensidad_tecnologic!G66/1000000</f>
        <v>37.997849000000002</v>
      </c>
      <c r="H24" s="31">
        <f>[24]historico_intensidad_tecnologic!H66/1000000</f>
        <v>19.519693</v>
      </c>
      <c r="I24" s="25">
        <f t="shared" ref="I24" si="10">IF(OR(OR(H24=0,G24=0),H24=""),"",(H24/G24-1)*100)</f>
        <v>-48.62947900024551</v>
      </c>
      <c r="J24" s="25">
        <f t="shared" ref="J24" si="11">IF(OR(OR(H24=0,G24=0),H24=""),"",H24/G24*100)</f>
        <v>51.37052099975449</v>
      </c>
      <c r="K24" s="25">
        <f t="shared" ref="K24" si="12">IF(OR(OR(H24=0,G24=0),H24=""),"",(G24/F24-1)*100)</f>
        <v>12.728046171749474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215.61231099999998</v>
      </c>
      <c r="D25" s="79">
        <f t="shared" si="13"/>
        <v>295.35934499999996</v>
      </c>
      <c r="E25" s="79">
        <f t="shared" si="13"/>
        <v>362.08818000000008</v>
      </c>
      <c r="F25" s="79">
        <f t="shared" si="13"/>
        <v>482.74968999999999</v>
      </c>
      <c r="G25" s="79">
        <f>SUM(G13:G24)</f>
        <v>498.76623100000006</v>
      </c>
      <c r="H25" s="107">
        <f>SUM(H13:H24)</f>
        <v>478.05493199999995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36.986308263260526</v>
      </c>
      <c r="E26" s="79">
        <f>(E25/D25-1)*100</f>
        <v>22.592423815132754</v>
      </c>
      <c r="F26" s="79">
        <f>(F25/E25-1)*100</f>
        <v>33.32379145875457</v>
      </c>
      <c r="G26" s="79">
        <f>(G25/F25-1)*100</f>
        <v>3.3177734407245474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215.61231099999998</v>
      </c>
      <c r="D28" s="76">
        <f t="shared" ref="D28:E28" si="14">SUMPRODUCT(D13:D24,$N$13:$N$24)</f>
        <v>295.35934499999996</v>
      </c>
      <c r="E28" s="76">
        <f t="shared" si="14"/>
        <v>362.08818000000008</v>
      </c>
      <c r="F28" s="76">
        <f>SUMPRODUCT(F13:F24,$N$13:$N$24)</f>
        <v>482.74968999999999</v>
      </c>
      <c r="G28" s="76">
        <f>SUMPRODUCT(G13:G24,$N$13:$N$24)</f>
        <v>498.76623100000006</v>
      </c>
      <c r="H28" s="72">
        <f>SUMPRODUCT(H13:H24,$N$13:$N$24)</f>
        <v>478.05493199999995</v>
      </c>
      <c r="I28" s="73">
        <f>IF(OR(OR(H28=0,G28=0),H28=""),"",(H28/G28-1)*100)</f>
        <v>-4.1525062670091035</v>
      </c>
      <c r="J28" s="31">
        <f>IF(OR(OR(H28=0,G28=0),H28=""),"",H28/G28*100)</f>
        <v>95.847493732990898</v>
      </c>
      <c r="K28" s="31">
        <f>IF(OR(OR(H28=0,G28=0),G28=""),"",(G28/F28-1)*100)</f>
        <v>3.3177734407245474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36.986308263260526</v>
      </c>
      <c r="E29" s="79">
        <f t="shared" ref="E29:H29" si="15">(E28/D28-1)*100</f>
        <v>22.592423815132754</v>
      </c>
      <c r="F29" s="79">
        <f t="shared" si="15"/>
        <v>33.32379145875457</v>
      </c>
      <c r="G29" s="79">
        <f t="shared" si="15"/>
        <v>3.3177734407245474</v>
      </c>
      <c r="H29" s="31">
        <f t="shared" si="15"/>
        <v>-4.1525062670091035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47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2">
        <v>2005</v>
      </c>
      <c r="D11" s="102">
        <v>2006</v>
      </c>
      <c r="E11" s="102">
        <v>2007</v>
      </c>
      <c r="F11" s="102">
        <v>2008</v>
      </c>
      <c r="G11" s="102">
        <v>2009</v>
      </c>
      <c r="H11" s="102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[24]historico_intensidad_tecnologic!C67/1000000</f>
        <v>5.4170949999999998</v>
      </c>
      <c r="D13" s="77">
        <f>[24]historico_intensidad_tecnologic!D67/1000000</f>
        <v>11.917069</v>
      </c>
      <c r="E13" s="77">
        <f>[24]historico_intensidad_tecnologic!E67/1000000</f>
        <v>8.1371970000000005</v>
      </c>
      <c r="F13" s="77">
        <f>[24]historico_intensidad_tecnologic!F67/1000000</f>
        <v>11.780163</v>
      </c>
      <c r="G13" s="77">
        <f>[24]historico_intensidad_tecnologic!G67/1000000</f>
        <v>13.671403</v>
      </c>
      <c r="H13" s="79">
        <f>[24]historico_intensidad_tecnologic!H67/1000000</f>
        <v>5.8660030000000001</v>
      </c>
      <c r="I13" s="77">
        <f t="shared" ref="I13:I20" si="0">IF(OR(OR(H13=0,G13=0),H13=""),"",(H13/G13-1)*100)</f>
        <v>-57.092896756828829</v>
      </c>
      <c r="J13" s="77">
        <f t="shared" ref="J13:J20" si="1">IF(OR(OR(H13=0,G13=0),H13=""),"",H13/G13*100)</f>
        <v>42.907103243171171</v>
      </c>
      <c r="K13" s="77">
        <f t="shared" ref="K13:K20" si="2">IF(OR(OR(H13=0,G13=0),H13=""),"",(G13/F13-1)*100)</f>
        <v>16.054446784819532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[24]historico_intensidad_tecnologic!C68/1000000</f>
        <v>8.6259990000000002</v>
      </c>
      <c r="D14" s="77">
        <f>[24]historico_intensidad_tecnologic!D68/1000000</f>
        <v>9.7268290000000004</v>
      </c>
      <c r="E14" s="77">
        <f>[24]historico_intensidad_tecnologic!E68/1000000</f>
        <v>11.815770000000001</v>
      </c>
      <c r="F14" s="77">
        <f>[24]historico_intensidad_tecnologic!F68/1000000</f>
        <v>9.1612969999999994</v>
      </c>
      <c r="G14" s="77">
        <f>[24]historico_intensidad_tecnologic!G68/1000000</f>
        <v>11.137116000000001</v>
      </c>
      <c r="H14" s="79">
        <f>[24]historico_intensidad_tecnologic!H68/1000000</f>
        <v>6.7311969999999999</v>
      </c>
      <c r="I14" s="77">
        <f t="shared" si="0"/>
        <v>-39.560681598359935</v>
      </c>
      <c r="J14" s="77">
        <f t="shared" si="1"/>
        <v>60.439318401640065</v>
      </c>
      <c r="K14" s="77">
        <f t="shared" si="2"/>
        <v>21.567022660656043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[24]historico_intensidad_tecnologic!C69/1000000</f>
        <v>11.002912</v>
      </c>
      <c r="D15" s="77">
        <f>[24]historico_intensidad_tecnologic!D69/1000000</f>
        <v>11.556247000000001</v>
      </c>
      <c r="E15" s="77">
        <f>[24]historico_intensidad_tecnologic!E69/1000000</f>
        <v>11.285099000000001</v>
      </c>
      <c r="F15" s="77">
        <f>[24]historico_intensidad_tecnologic!F69/1000000</f>
        <v>10.505879999999999</v>
      </c>
      <c r="G15" s="77">
        <f>[24]historico_intensidad_tecnologic!G69/1000000</f>
        <v>11.971196000000001</v>
      </c>
      <c r="H15" s="79">
        <f>[24]historico_intensidad_tecnologic!H69/1000000</f>
        <v>12.808085999999999</v>
      </c>
      <c r="I15" s="77">
        <f t="shared" si="0"/>
        <v>6.9908637365890369</v>
      </c>
      <c r="J15" s="77">
        <f>IF(OR(OR(H15=0,G15=0),H15=""),"",H15/G15*100)</f>
        <v>106.99086373658903</v>
      </c>
      <c r="K15" s="77">
        <f t="shared" si="2"/>
        <v>13.94757983148487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[24]historico_intensidad_tecnologic!C70/1000000</f>
        <v>11.043326</v>
      </c>
      <c r="D16" s="77">
        <f>[24]historico_intensidad_tecnologic!D70/1000000</f>
        <v>13.803583</v>
      </c>
      <c r="E16" s="77">
        <f>[24]historico_intensidad_tecnologic!E70/1000000</f>
        <v>9.8180870000000002</v>
      </c>
      <c r="F16" s="77">
        <f>[24]historico_intensidad_tecnologic!F70/1000000</f>
        <v>9.7058780000000002</v>
      </c>
      <c r="G16" s="77">
        <f>[24]historico_intensidad_tecnologic!G70/1000000</f>
        <v>9.1299270000000003</v>
      </c>
      <c r="H16" s="79">
        <f>[24]historico_intensidad_tecnologic!H70/1000000</f>
        <v>9.4458479999999998</v>
      </c>
      <c r="I16" s="77">
        <f t="shared" si="0"/>
        <v>3.460279583834569</v>
      </c>
      <c r="J16" s="77">
        <f t="shared" si="1"/>
        <v>103.46027958383456</v>
      </c>
      <c r="K16" s="77">
        <f t="shared" si="2"/>
        <v>-5.9340432673891002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[24]historico_intensidad_tecnologic!C71/1000000</f>
        <v>9.4576560000000001</v>
      </c>
      <c r="D17" s="77">
        <f>[24]historico_intensidad_tecnologic!D71/1000000</f>
        <v>12.876897</v>
      </c>
      <c r="E17" s="77">
        <f>[24]historico_intensidad_tecnologic!E71/1000000</f>
        <v>10.596409</v>
      </c>
      <c r="F17" s="77">
        <f>[24]historico_intensidad_tecnologic!F71/1000000</f>
        <v>9.5563070000000003</v>
      </c>
      <c r="G17" s="77">
        <f>[24]historico_intensidad_tecnologic!G71/1000000</f>
        <v>9.9082050000000006</v>
      </c>
      <c r="H17" s="79">
        <f>[24]historico_intensidad_tecnologic!H71/1000000</f>
        <v>11.272168000000001</v>
      </c>
      <c r="I17" s="77">
        <f t="shared" si="0"/>
        <v>13.765994950649496</v>
      </c>
      <c r="J17" s="77">
        <f t="shared" si="1"/>
        <v>113.7659949506495</v>
      </c>
      <c r="K17" s="77">
        <f t="shared" si="2"/>
        <v>3.6823639089870186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[24]historico_intensidad_tecnologic!C72/1000000</f>
        <v>10.706355</v>
      </c>
      <c r="D18" s="77">
        <f>[24]historico_intensidad_tecnologic!D72/1000000</f>
        <v>14.035857</v>
      </c>
      <c r="E18" s="77">
        <f>[24]historico_intensidad_tecnologic!E72/1000000</f>
        <v>12.980848999999999</v>
      </c>
      <c r="F18" s="77">
        <f>[24]historico_intensidad_tecnologic!F72/1000000</f>
        <v>9.0728679999999997</v>
      </c>
      <c r="G18" s="77">
        <f>[24]historico_intensidad_tecnologic!G72/1000000</f>
        <v>11.214309999999999</v>
      </c>
      <c r="H18" s="79">
        <f>[24]historico_intensidad_tecnologic!H72/1000000</f>
        <v>8.1115960000000005</v>
      </c>
      <c r="I18" s="77">
        <f t="shared" si="0"/>
        <v>-27.667453459017977</v>
      </c>
      <c r="J18" s="77">
        <f t="shared" si="1"/>
        <v>72.332546540982023</v>
      </c>
      <c r="K18" s="77">
        <f t="shared" si="2"/>
        <v>23.602702034240998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[24]historico_intensidad_tecnologic!C73/1000000</f>
        <v>8.8317440000000005</v>
      </c>
      <c r="D19" s="77">
        <f>[24]historico_intensidad_tecnologic!D73/1000000</f>
        <v>13.497218</v>
      </c>
      <c r="E19" s="77">
        <f>[24]historico_intensidad_tecnologic!E73/1000000</f>
        <v>11.087567999999999</v>
      </c>
      <c r="F19" s="77">
        <f>[24]historico_intensidad_tecnologic!F73/1000000</f>
        <v>10.867279999999999</v>
      </c>
      <c r="G19" s="77">
        <f>[24]historico_intensidad_tecnologic!G73/1000000</f>
        <v>9.7509490000000003</v>
      </c>
      <c r="H19" s="79">
        <f>[24]historico_intensidad_tecnologic!H73/1000000</f>
        <v>10.255699</v>
      </c>
      <c r="I19" s="77">
        <f>IF(OR(OR(H19=0,G19=0),H19=""),"",(H19/G19-1)*100)</f>
        <v>5.1764192387838248</v>
      </c>
      <c r="J19" s="77">
        <f t="shared" si="1"/>
        <v>105.17641923878382</v>
      </c>
      <c r="K19" s="77">
        <f t="shared" si="2"/>
        <v>-10.272404870399942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[24]historico_intensidad_tecnologic!C74/1000000</f>
        <v>11.014563000000001</v>
      </c>
      <c r="D20" s="77">
        <f>[24]historico_intensidad_tecnologic!D74/1000000</f>
        <v>14.40061</v>
      </c>
      <c r="E20" s="77">
        <f>[24]historico_intensidad_tecnologic!E74/1000000</f>
        <v>14.468370999999999</v>
      </c>
      <c r="F20" s="77">
        <f>[24]historico_intensidad_tecnologic!F74/1000000</f>
        <v>8.8795339999999996</v>
      </c>
      <c r="G20" s="77">
        <f>[24]historico_intensidad_tecnologic!G74/1000000</f>
        <v>7.9651779999999999</v>
      </c>
      <c r="H20" s="79">
        <f>[24]historico_intensidad_tecnologic!H74/1000000</f>
        <v>7.1912779999999996</v>
      </c>
      <c r="I20" s="77">
        <f t="shared" si="0"/>
        <v>-9.7160414996375515</v>
      </c>
      <c r="J20" s="77">
        <f t="shared" si="1"/>
        <v>90.283958500362445</v>
      </c>
      <c r="K20" s="77">
        <f t="shared" si="2"/>
        <v>-10.297342180344149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[24]historico_intensidad_tecnologic!C75/1000000</f>
        <v>12.310399</v>
      </c>
      <c r="D21" s="77">
        <f>[24]historico_intensidad_tecnologic!D75/1000000</f>
        <v>12.764854</v>
      </c>
      <c r="E21" s="77">
        <f>[24]historico_intensidad_tecnologic!E75/1000000</f>
        <v>17.735147999999999</v>
      </c>
      <c r="F21" s="77">
        <f>[24]historico_intensidad_tecnologic!F75/1000000</f>
        <v>7.1951729999999996</v>
      </c>
      <c r="G21" s="77">
        <f>[24]historico_intensidad_tecnologic!G75/1000000</f>
        <v>12.16403</v>
      </c>
      <c r="H21" s="79">
        <f>[24]historico_intensidad_tecnologic!H75/1000000</f>
        <v>9.1359460000000006</v>
      </c>
      <c r="I21" s="77">
        <f t="shared" ref="I21" si="4">IF(OR(OR(H21=0,G21=0),H21=""),"",(H21/G21-1)*100)</f>
        <v>-24.893756427762838</v>
      </c>
      <c r="J21" s="77">
        <f t="shared" ref="J21" si="5">IF(OR(OR(H21=0,G21=0),H21=""),"",H21/G21*100)</f>
        <v>75.106243572237162</v>
      </c>
      <c r="K21" s="77">
        <f t="shared" ref="K21" si="6">IF(OR(OR(H21=0,G21=0),H21=""),"",(G21/F21-1)*100)</f>
        <v>69.058200546394104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[24]historico_intensidad_tecnologic!C76/1000000</f>
        <v>10.036724</v>
      </c>
      <c r="D22" s="77">
        <f>[24]historico_intensidad_tecnologic!D76/1000000</f>
        <v>10.976696</v>
      </c>
      <c r="E22" s="77">
        <f>[24]historico_intensidad_tecnologic!E76/1000000</f>
        <v>16.242695999999999</v>
      </c>
      <c r="F22" s="77">
        <f>[24]historico_intensidad_tecnologic!F76/1000000</f>
        <v>15.491882</v>
      </c>
      <c r="G22" s="77">
        <f>[24]historico_intensidad_tecnologic!G76/1000000</f>
        <v>8.7868200000000005</v>
      </c>
      <c r="H22" s="79">
        <f>[24]historico_intensidad_tecnologic!H76/1000000</f>
        <v>8.0431919999999995</v>
      </c>
      <c r="I22" s="77">
        <f t="shared" ref="I22" si="7">IF(OR(OR(H22=0,G22=0),H22=""),"",(H22/G22-1)*100)</f>
        <v>-8.4629934378990477</v>
      </c>
      <c r="J22" s="77">
        <f t="shared" ref="J22" si="8">IF(OR(OR(H22=0,G22=0),H22=""),"",H22/G22*100)</f>
        <v>91.537006562100956</v>
      </c>
      <c r="K22" s="77">
        <f t="shared" ref="K22" si="9">IF(OR(OR(H22=0,G22=0),H22=""),"",(G22/F22-1)*100)</f>
        <v>-43.281132660318477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[24]historico_intensidad_tecnologic!C77/1000000</f>
        <v>13.535099000000001</v>
      </c>
      <c r="D23" s="77">
        <f>[24]historico_intensidad_tecnologic!D77/1000000</f>
        <v>13.867157000000001</v>
      </c>
      <c r="E23" s="77">
        <f>[24]historico_intensidad_tecnologic!E77/1000000</f>
        <v>15.713896</v>
      </c>
      <c r="F23" s="77">
        <f>[24]historico_intensidad_tecnologic!F77/1000000</f>
        <v>12.696107</v>
      </c>
      <c r="G23" s="77">
        <f>[24]historico_intensidad_tecnologic!G77/1000000</f>
        <v>7.0112500000000004</v>
      </c>
      <c r="H23" s="79">
        <f>[24]historico_intensidad_tecnologic!H77/1000000</f>
        <v>8.4328520000000005</v>
      </c>
      <c r="I23" s="77">
        <f t="shared" ref="I23:I24" si="10">IF(OR(OR(H23=0,G23=0),H23=""),"",(H23/G23-1)*100)</f>
        <v>20.27601354965234</v>
      </c>
      <c r="J23" s="77">
        <f t="shared" ref="J23:J24" si="11">IF(OR(OR(H23=0,G23=0),H23=""),"",H23/G23*100)</f>
        <v>120.27601354965233</v>
      </c>
      <c r="K23" s="77">
        <f t="shared" ref="K23:K24" si="12">IF(OR(OR(H23=0,G23=0),H23=""),"",(G23/F23-1)*100)</f>
        <v>-44.776379090062804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[24]historico_intensidad_tecnologic!C78/1000000</f>
        <v>13.06743</v>
      </c>
      <c r="D24" s="77">
        <f>[24]historico_intensidad_tecnologic!D78/1000000</f>
        <v>9.6940720000000002</v>
      </c>
      <c r="E24" s="77">
        <f>[24]historico_intensidad_tecnologic!E78/1000000</f>
        <v>11.633302</v>
      </c>
      <c r="F24" s="77">
        <f>[24]historico_intensidad_tecnologic!F78/1000000</f>
        <v>13.57724</v>
      </c>
      <c r="G24" s="77">
        <f>[24]historico_intensidad_tecnologic!G78/1000000</f>
        <v>9.1088199999999997</v>
      </c>
      <c r="H24" s="31">
        <f>[24]historico_intensidad_tecnologic!H78/1000000</f>
        <v>6.7280410000000002</v>
      </c>
      <c r="I24" s="25">
        <f t="shared" si="10"/>
        <v>-26.137073737322723</v>
      </c>
      <c r="J24" s="25">
        <f t="shared" si="11"/>
        <v>73.862926262677277</v>
      </c>
      <c r="K24" s="25">
        <f t="shared" si="12"/>
        <v>-32.911107117499583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125.04930200000001</v>
      </c>
      <c r="D25" s="79">
        <f t="shared" si="13"/>
        <v>149.11708900000002</v>
      </c>
      <c r="E25" s="79">
        <f t="shared" si="13"/>
        <v>151.51439199999999</v>
      </c>
      <c r="F25" s="79">
        <f t="shared" si="13"/>
        <v>128.48960899999997</v>
      </c>
      <c r="G25" s="79">
        <f>SUM(G13:G24)</f>
        <v>121.81920400000001</v>
      </c>
      <c r="H25" s="107">
        <f>SUM(H13:H24)</f>
        <v>104.02190600000002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19.246638417861782</v>
      </c>
      <c r="E26" s="79">
        <f>(E25/D25-1)*100</f>
        <v>1.6076648331030396</v>
      </c>
      <c r="F26" s="79">
        <f>(F25/E25-1)*100</f>
        <v>-15.196432956679139</v>
      </c>
      <c r="G26" s="79">
        <f>(G25/F25-1)*100</f>
        <v>-5.1913964498093819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125.04930200000001</v>
      </c>
      <c r="D28" s="76">
        <f t="shared" ref="D28:E28" si="14">SUMPRODUCT(D13:D24,$N$13:$N$24)</f>
        <v>149.11708900000002</v>
      </c>
      <c r="E28" s="76">
        <f t="shared" si="14"/>
        <v>151.51439199999999</v>
      </c>
      <c r="F28" s="76">
        <f>SUMPRODUCT(F13:F24,$N$13:$N$24)</f>
        <v>128.48960899999997</v>
      </c>
      <c r="G28" s="76">
        <f>SUMPRODUCT(G13:G24,$N$13:$N$24)</f>
        <v>121.81920400000001</v>
      </c>
      <c r="H28" s="72">
        <f>SUMPRODUCT(H13:H24,$N$13:$N$24)</f>
        <v>104.02190600000002</v>
      </c>
      <c r="I28" s="73">
        <f>IF(OR(OR(H28=0,G28=0),H28=""),"",(H28/G28-1)*100)</f>
        <v>-14.609599649001147</v>
      </c>
      <c r="J28" s="31">
        <f>IF(OR(OR(H28=0,G28=0),H28=""),"",H28/G28*100)</f>
        <v>85.390400350998846</v>
      </c>
      <c r="K28" s="31">
        <f>IF(OR(OR(H28=0,G28=0),G28=""),"",(G28/F28-1)*100)</f>
        <v>-5.1913964498093819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19.246638417861782</v>
      </c>
      <c r="E29" s="79">
        <f t="shared" ref="E29:H29" si="15">(E28/D28-1)*100</f>
        <v>1.6076648331030396</v>
      </c>
      <c r="F29" s="79">
        <f t="shared" si="15"/>
        <v>-15.196432956679139</v>
      </c>
      <c r="G29" s="79">
        <f t="shared" si="15"/>
        <v>-5.1913964498093819</v>
      </c>
      <c r="H29" s="31">
        <f t="shared" si="15"/>
        <v>-14.609599649001147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 t="s">
        <v>149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63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[25]princ_paises_tek_P1!C7/1000000</f>
        <v>17.402204000000001</v>
      </c>
      <c r="D13" s="77">
        <f>[25]princ_paises_tek_P1!D7/1000000</f>
        <v>14.330311999999999</v>
      </c>
      <c r="E13" s="77">
        <f>[25]princ_paises_tek_P1!E7/1000000</f>
        <v>31.232427000000001</v>
      </c>
      <c r="F13" s="77">
        <f>[25]princ_paises_tek_P1!F7/1000000</f>
        <v>29.577714</v>
      </c>
      <c r="G13" s="77">
        <f>[25]princ_paises_tek_P1!G7/1000000</f>
        <v>34.077455</v>
      </c>
      <c r="H13" s="79">
        <f>[25]princ_paises_tek_P1!H7/1000000</f>
        <v>36.334681000000003</v>
      </c>
      <c r="I13" s="77">
        <f t="shared" ref="I13:I20" si="0">IF(OR(OR(H13=0,G13=0),H13=""),"",(H13/G13-1)*100)</f>
        <v>6.6238103755107414</v>
      </c>
      <c r="J13" s="77">
        <f t="shared" ref="J13:J20" si="1">IF(OR(OR(H13=0,G13=0),H13=""),"",H13/G13*100)</f>
        <v>106.62381037551074</v>
      </c>
      <c r="K13" s="77">
        <f t="shared" ref="K13:K20" si="2">IF(OR(OR(H13=0,G13=0),H13=""),"",(G13/F13-1)*100)</f>
        <v>15.213281864852712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[25]princ_paises_tek_P1!C8/1000000</f>
        <v>23.139778</v>
      </c>
      <c r="D14" s="77">
        <f>[25]princ_paises_tek_P1!D8/1000000</f>
        <v>41.714852999999998</v>
      </c>
      <c r="E14" s="77">
        <f>[25]princ_paises_tek_P1!E8/1000000</f>
        <v>25.836099999999998</v>
      </c>
      <c r="F14" s="77">
        <f>[25]princ_paises_tek_P1!F8/1000000</f>
        <v>38.156098</v>
      </c>
      <c r="G14" s="77">
        <f>[25]princ_paises_tek_P1!G8/1000000</f>
        <v>32.708424000000001</v>
      </c>
      <c r="H14" s="79">
        <f>[25]princ_paises_tek_P1!H8/1000000</f>
        <v>33.739196999999997</v>
      </c>
      <c r="I14" s="77">
        <f t="shared" si="0"/>
        <v>3.1513991624909643</v>
      </c>
      <c r="J14" s="77">
        <f t="shared" si="1"/>
        <v>103.15139916249096</v>
      </c>
      <c r="K14" s="77">
        <f t="shared" si="2"/>
        <v>-14.277335171955997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[25]princ_paises_tek_P1!C9/1000000</f>
        <v>19.676853000000001</v>
      </c>
      <c r="D15" s="77">
        <f>[25]princ_paises_tek_P1!D9/1000000</f>
        <v>41.558374999999998</v>
      </c>
      <c r="E15" s="77">
        <f>[25]princ_paises_tek_P1!E9/1000000</f>
        <v>40.438068999999999</v>
      </c>
      <c r="F15" s="77">
        <f>[25]princ_paises_tek_P1!F9/1000000</f>
        <v>46.308016000000002</v>
      </c>
      <c r="G15" s="77">
        <f>[25]princ_paises_tek_P1!G9/1000000</f>
        <v>46.975644000000003</v>
      </c>
      <c r="H15" s="79">
        <f>[25]princ_paises_tek_P1!H9/1000000</f>
        <v>79.390640000000005</v>
      </c>
      <c r="I15" s="77">
        <f t="shared" si="0"/>
        <v>69.00383526407856</v>
      </c>
      <c r="J15" s="77">
        <f>IF(OR(OR(H15=0,G15=0),H15=""),"",H15/G15*100)</f>
        <v>169.00383526407856</v>
      </c>
      <c r="K15" s="77">
        <f t="shared" si="2"/>
        <v>1.4417115170729744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[25]princ_paises_tek_P1!C10/1000000</f>
        <v>33.535753</v>
      </c>
      <c r="D16" s="77">
        <f>[25]princ_paises_tek_P1!D10/1000000</f>
        <v>34.338752999999997</v>
      </c>
      <c r="E16" s="77">
        <f>[25]princ_paises_tek_P1!E10/1000000</f>
        <v>36.170046999999997</v>
      </c>
      <c r="F16" s="77">
        <f>[25]princ_paises_tek_P1!F10/1000000</f>
        <v>53.817841999999999</v>
      </c>
      <c r="G16" s="77">
        <f>[25]princ_paises_tek_P1!G10/1000000</f>
        <v>38.498739999999998</v>
      </c>
      <c r="H16" s="79">
        <f>[25]princ_paises_tek_P1!H10/1000000</f>
        <v>41.696727000000003</v>
      </c>
      <c r="I16" s="77">
        <f t="shared" si="0"/>
        <v>8.3067315969302058</v>
      </c>
      <c r="J16" s="77">
        <f t="shared" si="1"/>
        <v>108.30673159693021</v>
      </c>
      <c r="K16" s="77">
        <f t="shared" si="2"/>
        <v>-28.464727366808951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[25]princ_paises_tek_P1!C11/1000000</f>
        <v>36.504984999999998</v>
      </c>
      <c r="D17" s="77">
        <f>[25]princ_paises_tek_P1!D11/1000000</f>
        <v>33.551354000000003</v>
      </c>
      <c r="E17" s="77">
        <f>[25]princ_paises_tek_P1!E11/1000000</f>
        <v>59.449888000000001</v>
      </c>
      <c r="F17" s="77">
        <f>[25]princ_paises_tek_P1!F11/1000000</f>
        <v>45.467731999999998</v>
      </c>
      <c r="G17" s="77">
        <f>[25]princ_paises_tek_P1!G11/1000000</f>
        <v>49.752789</v>
      </c>
      <c r="H17" s="79">
        <f>[25]princ_paises_tek_P1!H11/1000000</f>
        <v>99.364813999999996</v>
      </c>
      <c r="I17" s="77">
        <f t="shared" si="0"/>
        <v>99.717073147396817</v>
      </c>
      <c r="J17" s="77">
        <f t="shared" si="1"/>
        <v>199.71707314739683</v>
      </c>
      <c r="K17" s="77">
        <f t="shared" si="2"/>
        <v>9.4243913463728504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[25]princ_paises_tek_P1!C12/1000000</f>
        <v>29.568232999999999</v>
      </c>
      <c r="D18" s="77">
        <f>[25]princ_paises_tek_P1!D12/1000000</f>
        <v>45.858322999999999</v>
      </c>
      <c r="E18" s="77">
        <f>[25]princ_paises_tek_P1!E12/1000000</f>
        <v>39.390357000000002</v>
      </c>
      <c r="F18" s="77">
        <f>[25]princ_paises_tek_P1!F12/1000000</f>
        <v>55.608924999999999</v>
      </c>
      <c r="G18" s="77">
        <f>[25]princ_paises_tek_P1!G12/1000000</f>
        <v>40.154916</v>
      </c>
      <c r="H18" s="79">
        <f>[25]princ_paises_tek_P1!H12/1000000</f>
        <v>45.749231999999999</v>
      </c>
      <c r="I18" s="77">
        <f t="shared" si="0"/>
        <v>13.931833402415773</v>
      </c>
      <c r="J18" s="77">
        <f t="shared" si="1"/>
        <v>113.93183340241578</v>
      </c>
      <c r="K18" s="77">
        <f t="shared" si="2"/>
        <v>-27.790519237694312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[25]princ_paises_tek_P1!C13/1000000</f>
        <v>32.084437000000001</v>
      </c>
      <c r="D19" s="77">
        <f>[25]princ_paises_tek_P1!D13/1000000</f>
        <v>44.733652999999997</v>
      </c>
      <c r="E19" s="77">
        <f>[25]princ_paises_tek_P1!E13/1000000</f>
        <v>37.234344999999998</v>
      </c>
      <c r="F19" s="77">
        <f>[25]princ_paises_tek_P1!F13/1000000</f>
        <v>64.232972000000004</v>
      </c>
      <c r="G19" s="77">
        <f>[25]princ_paises_tek_P1!G13/1000000</f>
        <v>49.545779000000003</v>
      </c>
      <c r="H19" s="79">
        <f>[25]princ_paises_tek_P1!H13/1000000</f>
        <v>43.396684999999998</v>
      </c>
      <c r="I19" s="77">
        <f>IF(OR(OR(H19=0,G19=0),H19=""),"",(H19/G19-1)*100)</f>
        <v>-12.410934138304707</v>
      </c>
      <c r="J19" s="77">
        <f t="shared" si="1"/>
        <v>87.589065861695289</v>
      </c>
      <c r="K19" s="77">
        <f t="shared" si="2"/>
        <v>-22.865504339422436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[25]princ_paises_tek_P1!C14/1000000</f>
        <v>25.182144999999998</v>
      </c>
      <c r="D20" s="77">
        <f>[25]princ_paises_tek_P1!D14/1000000</f>
        <v>34.936483000000003</v>
      </c>
      <c r="E20" s="77">
        <f>[25]princ_paises_tek_P1!E14/1000000</f>
        <v>32.760192000000004</v>
      </c>
      <c r="F20" s="77">
        <f>[25]princ_paises_tek_P1!F14/1000000</f>
        <v>57.451256000000001</v>
      </c>
      <c r="G20" s="77">
        <f>[25]princ_paises_tek_P1!G14/1000000</f>
        <v>34.432616000000003</v>
      </c>
      <c r="H20" s="79">
        <f>[25]princ_paises_tek_P1!H14/1000000</f>
        <v>65.041202999999996</v>
      </c>
      <c r="I20" s="77">
        <f t="shared" si="0"/>
        <v>88.894166507708832</v>
      </c>
      <c r="J20" s="77">
        <f t="shared" si="1"/>
        <v>188.89416650770883</v>
      </c>
      <c r="K20" s="77">
        <f t="shared" si="2"/>
        <v>-40.066382534787401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[25]princ_paises_tek_P1!C15/1000000</f>
        <v>23.120768000000002</v>
      </c>
      <c r="D21" s="77">
        <f>[25]princ_paises_tek_P1!D15/1000000</f>
        <v>46.115181</v>
      </c>
      <c r="E21" s="77">
        <f>[25]princ_paises_tek_P1!E15/1000000</f>
        <v>70.873686000000006</v>
      </c>
      <c r="F21" s="77">
        <f>[25]princ_paises_tek_P1!F15/1000000</f>
        <v>57.273555999999999</v>
      </c>
      <c r="G21" s="77">
        <f>[25]princ_paises_tek_P1!G15/1000000</f>
        <v>37.867396999999997</v>
      </c>
      <c r="H21" s="79">
        <f>[25]princ_paises_tek_P1!H15/1000000</f>
        <v>52.586646000000002</v>
      </c>
      <c r="I21" s="77">
        <f t="shared" ref="I21" si="4">IF(OR(OR(H21=0,G21=0),H21=""),"",(H21/G21-1)*100)</f>
        <v>38.870506467608543</v>
      </c>
      <c r="J21" s="77">
        <f t="shared" ref="J21" si="5">IF(OR(OR(H21=0,G21=0),H21=""),"",H21/G21*100)</f>
        <v>138.87050646760855</v>
      </c>
      <c r="K21" s="77">
        <f t="shared" ref="K21" si="6">IF(OR(OR(H21=0,G21=0),H21=""),"",(G21/F21-1)*100)</f>
        <v>-33.88327939686512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[25]princ_paises_tek_P1!C16/1000000</f>
        <v>25.662333</v>
      </c>
      <c r="D22" s="77">
        <f>[25]princ_paises_tek_P1!D16/1000000</f>
        <v>41.576894000000003</v>
      </c>
      <c r="E22" s="77">
        <f>[25]princ_paises_tek_P1!E16/1000000</f>
        <v>42.882519000000002</v>
      </c>
      <c r="F22" s="77">
        <f>[25]princ_paises_tek_P1!F16/1000000</f>
        <v>58.268954000000001</v>
      </c>
      <c r="G22" s="77">
        <f>[25]princ_paises_tek_P1!G16/1000000</f>
        <v>37.332481999999999</v>
      </c>
      <c r="H22" s="79">
        <f>[25]princ_paises_tek_P1!H16/1000000</f>
        <v>45.276226000000001</v>
      </c>
      <c r="I22" s="77">
        <f t="shared" ref="I22" si="7">IF(OR(OR(H22=0,G22=0),H22=""),"",(H22/G22-1)*100)</f>
        <v>21.278370937137268</v>
      </c>
      <c r="J22" s="77">
        <f t="shared" ref="J22" si="8">IF(OR(OR(H22=0,G22=0),H22=""),"",H22/G22*100)</f>
        <v>121.27837093713727</v>
      </c>
      <c r="K22" s="77">
        <f t="shared" ref="K22" si="9">IF(OR(OR(H22=0,G22=0),H22=""),"",(G22/F22-1)*100)</f>
        <v>-35.930749675032779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[25]princ_paises_tek_P1!C17/1000000</f>
        <v>27.680743</v>
      </c>
      <c r="D23" s="77">
        <f>[25]princ_paises_tek_P1!D17/1000000</f>
        <v>38.617761999999999</v>
      </c>
      <c r="E23" s="77">
        <f>[25]princ_paises_tek_P1!E17/1000000</f>
        <v>52.274510999999997</v>
      </c>
      <c r="F23" s="77">
        <f>[25]princ_paises_tek_P1!F17/1000000</f>
        <v>32.685625999999999</v>
      </c>
      <c r="G23" s="77">
        <f>[25]princ_paises_tek_P1!G17/1000000</f>
        <v>37.323721999999997</v>
      </c>
      <c r="H23" s="79">
        <f>[25]princ_paises_tek_P1!H17/1000000</f>
        <v>73.955914000000007</v>
      </c>
      <c r="I23" s="77">
        <f t="shared" ref="I23:I24" si="10">IF(OR(OR(H23=0,G23=0),H23=""),"",(H23/G23-1)*100)</f>
        <v>98.147210505961908</v>
      </c>
      <c r="J23" s="77">
        <f t="shared" ref="J23:J24" si="11">IF(OR(OR(H23=0,G23=0),H23=""),"",H23/G23*100)</f>
        <v>198.14721050596191</v>
      </c>
      <c r="K23" s="77">
        <f t="shared" ref="K23:K24" si="12">IF(OR(OR(H23=0,G23=0),H23=""),"",(G23/F23-1)*100)</f>
        <v>14.1900173489105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[25]princ_paises_tek_P1!C18/1000000</f>
        <v>21.340571000000001</v>
      </c>
      <c r="D24" s="77">
        <f>[25]princ_paises_tek_P1!D18/1000000</f>
        <v>23.624081</v>
      </c>
      <c r="E24" s="77">
        <f>[25]princ_paises_tek_P1!E18/1000000</f>
        <v>40.007123</v>
      </c>
      <c r="F24" s="77">
        <f>[25]princ_paises_tek_P1!F18/1000000</f>
        <v>60.519283000000001</v>
      </c>
      <c r="G24" s="77">
        <f>[25]princ_paises_tek_P1!G18/1000000</f>
        <v>46.674695999999997</v>
      </c>
      <c r="H24" s="31">
        <f>[25]princ_paises_tek_P1!H18/1000000</f>
        <v>96.752866999999995</v>
      </c>
      <c r="I24" s="25">
        <f t="shared" si="10"/>
        <v>107.29190608975792</v>
      </c>
      <c r="J24" s="25">
        <f t="shared" si="11"/>
        <v>207.2919060897579</v>
      </c>
      <c r="K24" s="25">
        <f t="shared" si="12"/>
        <v>-22.876323567812275</v>
      </c>
      <c r="L24" s="65"/>
      <c r="N24" s="43">
        <f t="shared" si="3"/>
        <v>1</v>
      </c>
    </row>
    <row r="25" spans="1:15">
      <c r="A25" s="63"/>
      <c r="B25" s="78" t="s">
        <v>42</v>
      </c>
      <c r="C25" s="76">
        <f t="shared" ref="C25:F25" si="13">SUM(C13:C24)</f>
        <v>314.89880300000004</v>
      </c>
      <c r="D25" s="76">
        <f t="shared" si="13"/>
        <v>440.95602400000001</v>
      </c>
      <c r="E25" s="76">
        <f t="shared" si="13"/>
        <v>508.54926400000005</v>
      </c>
      <c r="F25" s="76">
        <f t="shared" si="13"/>
        <v>599.367974</v>
      </c>
      <c r="G25" s="76">
        <f>SUM(G13:G24)</f>
        <v>485.34465999999992</v>
      </c>
      <c r="H25" s="71">
        <f>SUM(H13:H24)</f>
        <v>713.28483200000005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40.031025776874721</v>
      </c>
      <c r="E26" s="79">
        <f>(E25/D25-1)*100</f>
        <v>15.328793875372938</v>
      </c>
      <c r="F26" s="79">
        <f>(F25/E25-1)*100</f>
        <v>17.85838982160044</v>
      </c>
      <c r="G26" s="79">
        <f>(G25/F25-1)*100</f>
        <v>-19.023925025396849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314.89880300000004</v>
      </c>
      <c r="D28" s="76">
        <f t="shared" ref="D28:E28" si="14">SUMPRODUCT(D13:D24,$N$13:$N$24)</f>
        <v>440.95602400000001</v>
      </c>
      <c r="E28" s="76">
        <f t="shared" si="14"/>
        <v>508.54926400000005</v>
      </c>
      <c r="F28" s="76">
        <f>SUMPRODUCT(F13:F24,$N$13:$N$24)</f>
        <v>599.367974</v>
      </c>
      <c r="G28" s="76">
        <f>SUMPRODUCT(G13:G24,$N$13:$N$24)</f>
        <v>485.34465999999992</v>
      </c>
      <c r="H28" s="72">
        <f>SUMPRODUCT(H13:H24,$N$13:$N$24)</f>
        <v>713.28483200000005</v>
      </c>
      <c r="I28" s="73">
        <f>IF(OR(OR(H28=0,G28=0),H28=""),"",(H28/G28-1)*100)</f>
        <v>46.964598724543528</v>
      </c>
      <c r="J28" s="31">
        <f>IF(OR(OR(H28=0,G28=0),H28=""),"",H28/G28*100)</f>
        <v>146.96459872454352</v>
      </c>
      <c r="K28" s="31">
        <f>IF(OR(OR(H28=0,G28=0),G28=""),"",(G28/F28-1)*100)</f>
        <v>-19.023925025396849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40.031025776874721</v>
      </c>
      <c r="E29" s="79">
        <f t="shared" ref="E29:H29" si="15">(E28/D28-1)*100</f>
        <v>15.328793875372938</v>
      </c>
      <c r="F29" s="79">
        <f t="shared" si="15"/>
        <v>17.85838982160044</v>
      </c>
      <c r="G29" s="79">
        <f t="shared" si="15"/>
        <v>-19.023925025396849</v>
      </c>
      <c r="H29" s="31">
        <f t="shared" si="15"/>
        <v>46.964598724543528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66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[25]princ_paises_tek_P1!C32/1000000</f>
        <v>4.5750019999999996</v>
      </c>
      <c r="D13" s="77">
        <f>[25]princ_paises_tek_P1!D32/1000000</f>
        <v>3.6222910000000001</v>
      </c>
      <c r="E13" s="77">
        <f>[25]princ_paises_tek_P1!E32/1000000</f>
        <v>5.8850660000000001</v>
      </c>
      <c r="F13" s="77">
        <f>[25]princ_paises_tek_P1!F32/1000000</f>
        <v>3.3638590000000002</v>
      </c>
      <c r="G13" s="77">
        <f>[25]princ_paises_tek_P1!G32/1000000</f>
        <v>14.791959</v>
      </c>
      <c r="H13" s="79">
        <f>[25]princ_paises_tek_P1!H32/1000000</f>
        <v>11.965198000000001</v>
      </c>
      <c r="I13" s="77">
        <f t="shared" ref="I13:I20" si="0">IF(OR(OR(H13=0,G13=0),H13=""),"",(H13/G13-1)*100)</f>
        <v>-19.110119220855061</v>
      </c>
      <c r="J13" s="77">
        <f t="shared" ref="J13:J20" si="1">IF(OR(OR(H13=0,G13=0),H13=""),"",H13/G13*100)</f>
        <v>80.889880779144946</v>
      </c>
      <c r="K13" s="77">
        <f t="shared" ref="K13:K20" si="2">IF(OR(OR(H13=0,G13=0),H13=""),"",(G13/F13-1)*100)</f>
        <v>339.73183774944192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[25]princ_paises_tek_P1!C33/1000000</f>
        <v>2.8339729999999999</v>
      </c>
      <c r="D14" s="77">
        <f>[25]princ_paises_tek_P1!D33/1000000</f>
        <v>9.3397869999999994</v>
      </c>
      <c r="E14" s="77">
        <f>[25]princ_paises_tek_P1!E33/1000000</f>
        <v>6.1820820000000003</v>
      </c>
      <c r="F14" s="77">
        <f>[25]princ_paises_tek_P1!F33/1000000</f>
        <v>9.1168999999999993</v>
      </c>
      <c r="G14" s="77">
        <f>[25]princ_paises_tek_P1!G33/1000000</f>
        <v>11.804714000000001</v>
      </c>
      <c r="H14" s="79">
        <f>[25]princ_paises_tek_P1!H33/1000000</f>
        <v>18.156313999999998</v>
      </c>
      <c r="I14" s="77">
        <f t="shared" si="0"/>
        <v>53.805623753358176</v>
      </c>
      <c r="J14" s="77">
        <f t="shared" si="1"/>
        <v>153.80562375335819</v>
      </c>
      <c r="K14" s="77">
        <f t="shared" si="2"/>
        <v>29.481665917142898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[25]princ_paises_tek_P1!C34/1000000</f>
        <v>3.7935020000000002</v>
      </c>
      <c r="D15" s="77">
        <f>[25]princ_paises_tek_P1!D34/1000000</f>
        <v>8.8912750000000003</v>
      </c>
      <c r="E15" s="77">
        <f>[25]princ_paises_tek_P1!E34/1000000</f>
        <v>14.243134</v>
      </c>
      <c r="F15" s="77">
        <f>[25]princ_paises_tek_P1!F34/1000000</f>
        <v>9.7300269999999998</v>
      </c>
      <c r="G15" s="77">
        <f>[25]princ_paises_tek_P1!G34/1000000</f>
        <v>15.133212</v>
      </c>
      <c r="H15" s="79">
        <f>[25]princ_paises_tek_P1!H34/1000000</f>
        <v>29.691217000000002</v>
      </c>
      <c r="I15" s="77">
        <f t="shared" si="0"/>
        <v>96.199042212585155</v>
      </c>
      <c r="J15" s="77">
        <f>IF(OR(OR(H15=0,G15=0),H15=""),"",H15/G15*100)</f>
        <v>196.19904221258514</v>
      </c>
      <c r="K15" s="77">
        <f t="shared" si="2"/>
        <v>55.531038094755544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[25]princ_paises_tek_P1!C35/1000000</f>
        <v>12.910345</v>
      </c>
      <c r="D16" s="77">
        <f>[25]princ_paises_tek_P1!D35/1000000</f>
        <v>3.9410470000000002</v>
      </c>
      <c r="E16" s="77">
        <f>[25]princ_paises_tek_P1!E35/1000000</f>
        <v>10.18524</v>
      </c>
      <c r="F16" s="77">
        <f>[25]princ_paises_tek_P1!F35/1000000</f>
        <v>6.3096909999999999</v>
      </c>
      <c r="G16" s="77">
        <f>[25]princ_paises_tek_P1!G35/1000000</f>
        <v>11.393772999999999</v>
      </c>
      <c r="H16" s="79">
        <f>[25]princ_paises_tek_P1!H35/1000000</f>
        <v>16.276236999999998</v>
      </c>
      <c r="I16" s="77">
        <f t="shared" si="0"/>
        <v>42.852038565275954</v>
      </c>
      <c r="J16" s="77">
        <f t="shared" si="1"/>
        <v>142.85203856527596</v>
      </c>
      <c r="K16" s="77">
        <f t="shared" si="2"/>
        <v>80.575768290396454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[25]princ_paises_tek_P1!C36/1000000</f>
        <v>17.380901000000001</v>
      </c>
      <c r="D17" s="77">
        <f>[25]princ_paises_tek_P1!D36/1000000</f>
        <v>4.0865859999999996</v>
      </c>
      <c r="E17" s="77">
        <f>[25]princ_paises_tek_P1!E36/1000000</f>
        <v>4.0639859999999999</v>
      </c>
      <c r="F17" s="77">
        <f>[25]princ_paises_tek_P1!F36/1000000</f>
        <v>3.855775</v>
      </c>
      <c r="G17" s="77">
        <f>[25]princ_paises_tek_P1!G36/1000000</f>
        <v>14.298849000000001</v>
      </c>
      <c r="H17" s="79">
        <f>[25]princ_paises_tek_P1!H36/1000000</f>
        <v>64.321439999999996</v>
      </c>
      <c r="I17" s="77">
        <f t="shared" si="0"/>
        <v>349.83648683890561</v>
      </c>
      <c r="J17" s="77">
        <f t="shared" si="1"/>
        <v>449.83648683890561</v>
      </c>
      <c r="K17" s="77">
        <f t="shared" si="2"/>
        <v>270.84241170711471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[25]princ_paises_tek_P1!C37/1000000</f>
        <v>10.129080999999999</v>
      </c>
      <c r="D18" s="77">
        <f>[25]princ_paises_tek_P1!D37/1000000</f>
        <v>12.270814</v>
      </c>
      <c r="E18" s="77">
        <f>[25]princ_paises_tek_P1!E37/1000000</f>
        <v>8.6657539999999997</v>
      </c>
      <c r="F18" s="77">
        <f>[25]princ_paises_tek_P1!F37/1000000</f>
        <v>3.7369240000000001</v>
      </c>
      <c r="G18" s="77">
        <f>[25]princ_paises_tek_P1!G37/1000000</f>
        <v>12.488568000000001</v>
      </c>
      <c r="H18" s="79">
        <f>[25]princ_paises_tek_P1!H37/1000000</f>
        <v>22.12689</v>
      </c>
      <c r="I18" s="77">
        <f t="shared" si="0"/>
        <v>77.177159142665502</v>
      </c>
      <c r="J18" s="77">
        <f t="shared" si="1"/>
        <v>177.17715914266549</v>
      </c>
      <c r="K18" s="77">
        <f t="shared" si="2"/>
        <v>234.19379147127427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[25]princ_paises_tek_P1!C38/1000000</f>
        <v>8.7359240000000007</v>
      </c>
      <c r="D19" s="77">
        <f>[25]princ_paises_tek_P1!D38/1000000</f>
        <v>12.419328</v>
      </c>
      <c r="E19" s="77">
        <f>[25]princ_paises_tek_P1!E38/1000000</f>
        <v>9.040305</v>
      </c>
      <c r="F19" s="77">
        <f>[25]princ_paises_tek_P1!F38/1000000</f>
        <v>6.8210750000000004</v>
      </c>
      <c r="G19" s="77">
        <f>[25]princ_paises_tek_P1!G38/1000000</f>
        <v>15.493717999999999</v>
      </c>
      <c r="H19" s="79">
        <f>[25]princ_paises_tek_P1!H38/1000000</f>
        <v>13.573408000000001</v>
      </c>
      <c r="I19" s="77">
        <f>IF(OR(OR(H19=0,G19=0),H19=""),"",(H19/G19-1)*100)</f>
        <v>-12.39411999108283</v>
      </c>
      <c r="J19" s="77">
        <f t="shared" si="1"/>
        <v>87.605880008917168</v>
      </c>
      <c r="K19" s="77">
        <f t="shared" si="2"/>
        <v>127.14481221801547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[25]princ_paises_tek_P1!C39/1000000</f>
        <v>5.7934219999999996</v>
      </c>
      <c r="D20" s="77">
        <f>[25]princ_paises_tek_P1!D39/1000000</f>
        <v>5.5165559999999996</v>
      </c>
      <c r="E20" s="77">
        <f>[25]princ_paises_tek_P1!E39/1000000</f>
        <v>4.8587990000000003</v>
      </c>
      <c r="F20" s="77">
        <f>[25]princ_paises_tek_P1!F39/1000000</f>
        <v>4.6016300000000001</v>
      </c>
      <c r="G20" s="77">
        <f>[25]princ_paises_tek_P1!G39/1000000</f>
        <v>11.296402</v>
      </c>
      <c r="H20" s="79">
        <f>[25]princ_paises_tek_P1!H39/1000000</f>
        <v>33.918126000000001</v>
      </c>
      <c r="I20" s="77">
        <f t="shared" si="0"/>
        <v>200.25601071916529</v>
      </c>
      <c r="J20" s="77">
        <f t="shared" si="1"/>
        <v>300.25601071916526</v>
      </c>
      <c r="K20" s="77">
        <f t="shared" si="2"/>
        <v>145.48696874803059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[25]princ_paises_tek_P1!C40/1000000</f>
        <v>5.3074469999999998</v>
      </c>
      <c r="D21" s="77">
        <f>[25]princ_paises_tek_P1!D40/1000000</f>
        <v>6.3701689999999997</v>
      </c>
      <c r="E21" s="77">
        <f>[25]princ_paises_tek_P1!E40/1000000</f>
        <v>5.7389029999999996</v>
      </c>
      <c r="F21" s="77">
        <f>[25]princ_paises_tek_P1!F40/1000000</f>
        <v>4.0538740000000004</v>
      </c>
      <c r="G21" s="77">
        <f>[25]princ_paises_tek_P1!G40/1000000</f>
        <v>14.085979</v>
      </c>
      <c r="H21" s="79">
        <f>[25]princ_paises_tek_P1!H40/1000000</f>
        <v>27.003792000000001</v>
      </c>
      <c r="I21" s="77">
        <f t="shared" ref="I21" si="4">IF(OR(OR(H21=0,G21=0),H21=""),"",(H21/G21-1)*100)</f>
        <v>91.706888104831052</v>
      </c>
      <c r="J21" s="77">
        <f t="shared" ref="J21" si="5">IF(OR(OR(H21=0,G21=0),H21=""),"",H21/G21*100)</f>
        <v>191.70688810483105</v>
      </c>
      <c r="K21" s="77">
        <f t="shared" ref="K21" si="6">IF(OR(OR(H21=0,G21=0),H21=""),"",(G21/F21-1)*100)</f>
        <v>247.46958094898849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[25]princ_paises_tek_P1!C41/1000000</f>
        <v>8.7697299999999991</v>
      </c>
      <c r="D22" s="77">
        <f>[25]princ_paises_tek_P1!D41/1000000</f>
        <v>11.663522</v>
      </c>
      <c r="E22" s="77">
        <f>[25]princ_paises_tek_P1!E41/1000000</f>
        <v>4.5731599999999997</v>
      </c>
      <c r="F22" s="77">
        <f>[25]princ_paises_tek_P1!F41/1000000</f>
        <v>2.5287639999999998</v>
      </c>
      <c r="G22" s="77">
        <f>[25]princ_paises_tek_P1!G41/1000000</f>
        <v>15.188186999999999</v>
      </c>
      <c r="H22" s="79">
        <f>[25]princ_paises_tek_P1!H41/1000000</f>
        <v>20.424544999999998</v>
      </c>
      <c r="I22" s="77">
        <f t="shared" ref="I22" si="7">IF(OR(OR(H22=0,G22=0),H22=""),"",(H22/G22-1)*100)</f>
        <v>34.476517835868094</v>
      </c>
      <c r="J22" s="77">
        <f t="shared" ref="J22" si="8">IF(OR(OR(H22=0,G22=0),H22=""),"",H22/G22*100)</f>
        <v>134.47651783586809</v>
      </c>
      <c r="K22" s="77">
        <f t="shared" ref="K22" si="9">IF(OR(OR(H22=0,G22=0),H22=""),"",(G22/F22-1)*100)</f>
        <v>500.61702080542119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[25]princ_paises_tek_P1!C42/1000000</f>
        <v>8.9846730000000008</v>
      </c>
      <c r="D23" s="77">
        <f>[25]princ_paises_tek_P1!D42/1000000</f>
        <v>3.512289</v>
      </c>
      <c r="E23" s="77">
        <f>[25]princ_paises_tek_P1!E42/1000000</f>
        <v>6.552899</v>
      </c>
      <c r="F23" s="77">
        <f>[25]princ_paises_tek_P1!F42/1000000</f>
        <v>6.1854570000000004</v>
      </c>
      <c r="G23" s="77">
        <f>[25]princ_paises_tek_P1!G42/1000000</f>
        <v>20.814015999999999</v>
      </c>
      <c r="H23" s="79">
        <f>[25]princ_paises_tek_P1!H42/1000000</f>
        <v>48.601337000000001</v>
      </c>
      <c r="I23" s="77">
        <f t="shared" ref="I23:I24" si="10">IF(OR(OR(H23=0,G23=0),H23=""),"",(H23/G23-1)*100)</f>
        <v>133.50292898785128</v>
      </c>
      <c r="J23" s="77">
        <f t="shared" ref="J23:J24" si="11">IF(OR(OR(H23=0,G23=0),H23=""),"",H23/G23*100)</f>
        <v>233.50292898785128</v>
      </c>
      <c r="K23" s="77">
        <f t="shared" ref="K23:K24" si="12">IF(OR(OR(H23=0,G23=0),H23=""),"",(G23/F23-1)*100)</f>
        <v>236.4992433057088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[25]princ_paises_tek_P1!C43/1000000</f>
        <v>4.0523300000000004</v>
      </c>
      <c r="D24" s="77">
        <f>[25]princ_paises_tek_P1!D43/1000000</f>
        <v>1.8715329999999999</v>
      </c>
      <c r="E24" s="77">
        <f>[25]princ_paises_tek_P1!E43/1000000</f>
        <v>3.2078989999999998</v>
      </c>
      <c r="F24" s="77">
        <f>[25]princ_paises_tek_P1!F43/1000000</f>
        <v>11.803823</v>
      </c>
      <c r="G24" s="77">
        <f>[25]princ_paises_tek_P1!G43/1000000</f>
        <v>21.185669999999998</v>
      </c>
      <c r="H24" s="31">
        <f>[25]princ_paises_tek_P1!H43/1000000</f>
        <v>76.310953999999995</v>
      </c>
      <c r="I24" s="25">
        <f t="shared" si="10"/>
        <v>260.20080554450249</v>
      </c>
      <c r="J24" s="25">
        <f t="shared" si="11"/>
        <v>360.20080554450249</v>
      </c>
      <c r="K24" s="25">
        <f t="shared" si="12"/>
        <v>79.481427330789359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93.266329999999996</v>
      </c>
      <c r="D25" s="79">
        <f t="shared" si="13"/>
        <v>83.505196999999995</v>
      </c>
      <c r="E25" s="79">
        <f t="shared" si="13"/>
        <v>83.197226999999998</v>
      </c>
      <c r="F25" s="79">
        <f t="shared" si="13"/>
        <v>72.107799</v>
      </c>
      <c r="G25" s="79">
        <f>SUM(G13:G24)</f>
        <v>177.97504700000002</v>
      </c>
      <c r="H25" s="107">
        <f>SUM(H13:H24)</f>
        <v>382.36945800000001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-10.465870159145318</v>
      </c>
      <c r="E26" s="79">
        <f>(E25/D25-1)*100</f>
        <v>-0.36880339315886745</v>
      </c>
      <c r="F26" s="79">
        <f>(F25/E25-1)*100</f>
        <v>-13.329083672464225</v>
      </c>
      <c r="G26" s="79">
        <f>(G25/F25-1)*100</f>
        <v>146.81802727053145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93.266329999999996</v>
      </c>
      <c r="D28" s="76">
        <f t="shared" ref="D28:E28" si="14">SUMPRODUCT(D13:D24,$N$13:$N$24)</f>
        <v>83.505196999999995</v>
      </c>
      <c r="E28" s="76">
        <f t="shared" si="14"/>
        <v>83.197226999999998</v>
      </c>
      <c r="F28" s="76">
        <f>SUMPRODUCT(F13:F24,$N$13:$N$24)</f>
        <v>72.107799</v>
      </c>
      <c r="G28" s="76">
        <f>SUMPRODUCT(G13:G24,$N$13:$N$24)</f>
        <v>177.97504700000002</v>
      </c>
      <c r="H28" s="72">
        <f>SUMPRODUCT(H13:H24,$N$13:$N$24)</f>
        <v>382.36945800000001</v>
      </c>
      <c r="I28" s="73">
        <f>IF(OR(OR(H28=0,G28=0),H28=""),"",(H28/G28-1)*100)</f>
        <v>114.84442029673967</v>
      </c>
      <c r="J28" s="31">
        <f>IF(OR(OR(H28=0,G28=0),H28=""),"",H28/G28*100)</f>
        <v>214.84442029673966</v>
      </c>
      <c r="K28" s="31">
        <f>IF(OR(OR(H28=0,G28=0),G28=""),"",(G28/F28-1)*100)</f>
        <v>146.81802727053145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-10.465870159145318</v>
      </c>
      <c r="E29" s="79">
        <f t="shared" ref="E29:H29" si="15">(E28/D28-1)*100</f>
        <v>-0.36880339315886745</v>
      </c>
      <c r="F29" s="79">
        <f t="shared" si="15"/>
        <v>-13.329083672464225</v>
      </c>
      <c r="G29" s="79">
        <f t="shared" si="15"/>
        <v>146.81802727053145</v>
      </c>
      <c r="H29" s="31">
        <f t="shared" si="15"/>
        <v>114.84442029673967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1:15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1:15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1:15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1:15">
      <c r="A52" s="120"/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1:15">
      <c r="A53" s="120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1:15">
      <c r="A54" s="120"/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1:15">
      <c r="A55" s="120"/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1:15">
      <c r="A56" s="120"/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1:15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1:15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1:15">
      <c r="A59" s="120"/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67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[25]princ_paises_tek_P1!C57/1000000</f>
        <v>0.674705</v>
      </c>
      <c r="D13" s="77">
        <f>[25]princ_paises_tek_P1!D57/1000000</f>
        <v>1.2242649999999999</v>
      </c>
      <c r="E13" s="77">
        <f>[25]princ_paises_tek_P1!E57/1000000</f>
        <v>3.9617680000000002</v>
      </c>
      <c r="F13" s="77">
        <f>[25]princ_paises_tek_P1!F57/1000000</f>
        <v>1.4234260000000001</v>
      </c>
      <c r="G13" s="77">
        <f>[25]princ_paises_tek_P1!G57/1000000</f>
        <v>3.445049</v>
      </c>
      <c r="H13" s="79">
        <f>[25]princ_paises_tek_P1!H57/1000000</f>
        <v>3.558824</v>
      </c>
      <c r="I13" s="77">
        <f t="shared" ref="I13:I20" si="0">IF(OR(OR(H13=0,G13=0),H13=""),"",(H13/G13-1)*100)</f>
        <v>3.3025655077765226</v>
      </c>
      <c r="J13" s="77">
        <f t="shared" ref="J13:J20" si="1">IF(OR(OR(H13=0,G13=0),H13=""),"",H13/G13*100)</f>
        <v>103.30256550777652</v>
      </c>
      <c r="K13" s="77">
        <f t="shared" ref="K13:K20" si="2">IF(OR(OR(H13=0,G13=0),H13=""),"",(G13/F13-1)*100)</f>
        <v>142.02515620762864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[25]princ_paises_tek_P1!C58/1000000</f>
        <v>0.67501</v>
      </c>
      <c r="D14" s="77">
        <f>[25]princ_paises_tek_P1!D58/1000000</f>
        <v>0.83016699999999999</v>
      </c>
      <c r="E14" s="77">
        <f>[25]princ_paises_tek_P1!E58/1000000</f>
        <v>4.0041869999999999</v>
      </c>
      <c r="F14" s="77">
        <f>[25]princ_paises_tek_P1!F58/1000000</f>
        <v>2.5252330000000001</v>
      </c>
      <c r="G14" s="77">
        <f>[25]princ_paises_tek_P1!G58/1000000</f>
        <v>3.2164419999999998</v>
      </c>
      <c r="H14" s="79">
        <f>[25]princ_paises_tek_P1!H58/1000000</f>
        <v>4.7230189999999999</v>
      </c>
      <c r="I14" s="77">
        <f t="shared" si="0"/>
        <v>46.839862183120353</v>
      </c>
      <c r="J14" s="77">
        <f t="shared" si="1"/>
        <v>146.83986218312035</v>
      </c>
      <c r="K14" s="77">
        <f t="shared" si="2"/>
        <v>27.372088040984721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[25]princ_paises_tek_P1!C59/1000000</f>
        <v>1.5201169999999999</v>
      </c>
      <c r="D15" s="77">
        <f>[25]princ_paises_tek_P1!D59/1000000</f>
        <v>1.3837440000000001</v>
      </c>
      <c r="E15" s="77">
        <f>[25]princ_paises_tek_P1!E59/1000000</f>
        <v>6.0764820000000004</v>
      </c>
      <c r="F15" s="77">
        <f>[25]princ_paises_tek_P1!F59/1000000</f>
        <v>4.7916270000000001</v>
      </c>
      <c r="G15" s="77">
        <f>[25]princ_paises_tek_P1!G59/1000000</f>
        <v>4.1869129999999997</v>
      </c>
      <c r="H15" s="79">
        <f>[25]princ_paises_tek_P1!H59/1000000</f>
        <v>5.28728</v>
      </c>
      <c r="I15" s="77">
        <f t="shared" si="0"/>
        <v>26.28110495728</v>
      </c>
      <c r="J15" s="77">
        <f>IF(OR(OR(H15=0,G15=0),H15=""),"",H15/G15*100)</f>
        <v>126.28110495727999</v>
      </c>
      <c r="K15" s="77">
        <f t="shared" si="2"/>
        <v>-12.620222734365605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[25]princ_paises_tek_P1!C60/1000000</f>
        <v>1.313569</v>
      </c>
      <c r="D16" s="77">
        <f>[25]princ_paises_tek_P1!D60/1000000</f>
        <v>1.269479</v>
      </c>
      <c r="E16" s="77">
        <f>[25]princ_paises_tek_P1!E60/1000000</f>
        <v>3.5782319999999999</v>
      </c>
      <c r="F16" s="77">
        <f>[25]princ_paises_tek_P1!F60/1000000</f>
        <v>7.9184169999999998</v>
      </c>
      <c r="G16" s="77">
        <f>[25]princ_paises_tek_P1!G60/1000000</f>
        <v>2.7165089999999998</v>
      </c>
      <c r="H16" s="79">
        <f>[25]princ_paises_tek_P1!H60/1000000</f>
        <v>4.7265410000000001</v>
      </c>
      <c r="I16" s="77">
        <f t="shared" si="0"/>
        <v>73.993202304869982</v>
      </c>
      <c r="J16" s="77">
        <f t="shared" si="1"/>
        <v>173.99320230486998</v>
      </c>
      <c r="K16" s="77">
        <f t="shared" si="2"/>
        <v>-65.693787028392165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[25]princ_paises_tek_P1!C61/1000000</f>
        <v>0.98064600000000002</v>
      </c>
      <c r="D17" s="77">
        <f>[25]princ_paises_tek_P1!D61/1000000</f>
        <v>1.34497</v>
      </c>
      <c r="E17" s="77">
        <f>[25]princ_paises_tek_P1!E61/1000000</f>
        <v>2.6642709999999998</v>
      </c>
      <c r="F17" s="77">
        <f>[25]princ_paises_tek_P1!F61/1000000</f>
        <v>6.4588049999999999</v>
      </c>
      <c r="G17" s="77">
        <f>[25]princ_paises_tek_P1!G61/1000000</f>
        <v>3.210931</v>
      </c>
      <c r="H17" s="79">
        <f>[25]princ_paises_tek_P1!H61/1000000</f>
        <v>5.4323889999999997</v>
      </c>
      <c r="I17" s="77">
        <f t="shared" si="0"/>
        <v>69.184233482438586</v>
      </c>
      <c r="J17" s="77">
        <f t="shared" si="1"/>
        <v>169.18423348243857</v>
      </c>
      <c r="K17" s="77">
        <f t="shared" si="2"/>
        <v>-50.285989436126343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[25]princ_paises_tek_P1!C62/1000000</f>
        <v>0.95650000000000002</v>
      </c>
      <c r="D18" s="77">
        <f>[25]princ_paises_tek_P1!D62/1000000</f>
        <v>1.389213</v>
      </c>
      <c r="E18" s="77">
        <f>[25]princ_paises_tek_P1!E62/1000000</f>
        <v>3.2340620000000002</v>
      </c>
      <c r="F18" s="77">
        <f>[25]princ_paises_tek_P1!F62/1000000</f>
        <v>17.784158000000001</v>
      </c>
      <c r="G18" s="77">
        <f>[25]princ_paises_tek_P1!G62/1000000</f>
        <v>2.338336</v>
      </c>
      <c r="H18" s="79">
        <f>[25]princ_paises_tek_P1!H62/1000000</f>
        <v>4.8305090000000002</v>
      </c>
      <c r="I18" s="77">
        <f t="shared" si="0"/>
        <v>106.57890910459406</v>
      </c>
      <c r="J18" s="77">
        <f t="shared" si="1"/>
        <v>206.57890910459406</v>
      </c>
      <c r="K18" s="77">
        <f t="shared" si="2"/>
        <v>-86.851578804011979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[25]princ_paises_tek_P1!C63/1000000</f>
        <v>1.5820160000000001</v>
      </c>
      <c r="D19" s="77">
        <f>[25]princ_paises_tek_P1!D63/1000000</f>
        <v>2.0043289999999998</v>
      </c>
      <c r="E19" s="77">
        <f>[25]princ_paises_tek_P1!E63/1000000</f>
        <v>4.3862399999999999</v>
      </c>
      <c r="F19" s="77">
        <f>[25]princ_paises_tek_P1!F63/1000000</f>
        <v>7.5157389999999999</v>
      </c>
      <c r="G19" s="77">
        <f>[25]princ_paises_tek_P1!G63/1000000</f>
        <v>3.054154</v>
      </c>
      <c r="H19" s="79">
        <f>[25]princ_paises_tek_P1!H63/1000000</f>
        <v>6.0137200000000002</v>
      </c>
      <c r="I19" s="77">
        <f>IF(OR(OR(H19=0,G19=0),H19=""),"",(H19/G19-1)*100)</f>
        <v>96.90297214875217</v>
      </c>
      <c r="J19" s="77">
        <f t="shared" si="1"/>
        <v>196.90297214875216</v>
      </c>
      <c r="K19" s="77">
        <f t="shared" si="2"/>
        <v>-59.363224295042706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[25]princ_paises_tek_P1!C64/1000000</f>
        <v>1.2909170000000001</v>
      </c>
      <c r="D20" s="77">
        <f>[25]princ_paises_tek_P1!D64/1000000</f>
        <v>1.259809</v>
      </c>
      <c r="E20" s="77">
        <f>[25]princ_paises_tek_P1!E64/1000000</f>
        <v>1.645788</v>
      </c>
      <c r="F20" s="77">
        <f>[25]princ_paises_tek_P1!F64/1000000</f>
        <v>9.4891710000000007</v>
      </c>
      <c r="G20" s="77">
        <f>[25]princ_paises_tek_P1!G64/1000000</f>
        <v>2.9295789999999999</v>
      </c>
      <c r="H20" s="79">
        <f>[25]princ_paises_tek_P1!H64/1000000</f>
        <v>3.8718219999999999</v>
      </c>
      <c r="I20" s="77">
        <f t="shared" si="0"/>
        <v>32.163085549152285</v>
      </c>
      <c r="J20" s="77">
        <f t="shared" si="1"/>
        <v>132.16308554915227</v>
      </c>
      <c r="K20" s="77">
        <f t="shared" si="2"/>
        <v>-69.12713449889354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[25]princ_paises_tek_P1!C65/1000000</f>
        <v>1.3049120000000001</v>
      </c>
      <c r="D21" s="77">
        <f>[25]princ_paises_tek_P1!D65/1000000</f>
        <v>1.319224</v>
      </c>
      <c r="E21" s="77">
        <f>[25]princ_paises_tek_P1!E65/1000000</f>
        <v>2.432788</v>
      </c>
      <c r="F21" s="77">
        <f>[25]princ_paises_tek_P1!F65/1000000</f>
        <v>10.697786000000001</v>
      </c>
      <c r="G21" s="77">
        <f>[25]princ_paises_tek_P1!G65/1000000</f>
        <v>4.745857</v>
      </c>
      <c r="H21" s="79">
        <f>[25]princ_paises_tek_P1!H65/1000000</f>
        <v>5.2140339999999998</v>
      </c>
      <c r="I21" s="77">
        <f t="shared" ref="I21" si="4">IF(OR(OR(H21=0,G21=0),H21=""),"",(H21/G21-1)*100)</f>
        <v>9.8649622186256281</v>
      </c>
      <c r="J21" s="77">
        <f t="shared" ref="J21" si="5">IF(OR(OR(H21=0,G21=0),H21=""),"",H21/G21*100)</f>
        <v>109.86496221862564</v>
      </c>
      <c r="K21" s="77">
        <f t="shared" ref="K21" si="6">IF(OR(OR(H21=0,G21=0),H21=""),"",(G21/F21-1)*100)</f>
        <v>-55.637016855637235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[25]princ_paises_tek_P1!C66/1000000</f>
        <v>1.175076</v>
      </c>
      <c r="D22" s="77">
        <f>[25]princ_paises_tek_P1!D66/1000000</f>
        <v>2.856608</v>
      </c>
      <c r="E22" s="77">
        <f>[25]princ_paises_tek_P1!E66/1000000</f>
        <v>5.0901610000000002</v>
      </c>
      <c r="F22" s="77">
        <f>[25]princ_paises_tek_P1!F66/1000000</f>
        <v>5.5170430000000001</v>
      </c>
      <c r="G22" s="77">
        <f>[25]princ_paises_tek_P1!G66/1000000</f>
        <v>3.0097719999999999</v>
      </c>
      <c r="H22" s="79">
        <f>[25]princ_paises_tek_P1!H66/1000000</f>
        <v>5.592365</v>
      </c>
      <c r="I22" s="77">
        <f t="shared" ref="I22" si="7">IF(OR(OR(H22=0,G22=0),H22=""),"",(H22/G22-1)*100)</f>
        <v>85.806931554948363</v>
      </c>
      <c r="J22" s="77">
        <f t="shared" ref="J22" si="8">IF(OR(OR(H22=0,G22=0),H22=""),"",H22/G22*100)</f>
        <v>185.80693155494836</v>
      </c>
      <c r="K22" s="77">
        <f t="shared" ref="K22" si="9">IF(OR(OR(H22=0,G22=0),H22=""),"",(G22/F22-1)*100)</f>
        <v>-45.445920939894805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[25]princ_paises_tek_P1!C67/1000000</f>
        <v>1.188612</v>
      </c>
      <c r="D23" s="77">
        <f>[25]princ_paises_tek_P1!D67/1000000</f>
        <v>1.576095</v>
      </c>
      <c r="E23" s="77">
        <f>[25]princ_paises_tek_P1!E67/1000000</f>
        <v>5.6514009999999999</v>
      </c>
      <c r="F23" s="77">
        <f>[25]princ_paises_tek_P1!F67/1000000</f>
        <v>5.9096130000000002</v>
      </c>
      <c r="G23" s="77">
        <f>[25]princ_paises_tek_P1!G67/1000000</f>
        <v>3.7237849999999999</v>
      </c>
      <c r="H23" s="79">
        <f>[25]princ_paises_tek_P1!H67/1000000</f>
        <v>5.3547919999999998</v>
      </c>
      <c r="I23" s="77">
        <f t="shared" ref="I23:I24" si="10">IF(OR(OR(H23=0,G23=0),H23=""),"",(H23/G23-1)*100)</f>
        <v>43.799709166882629</v>
      </c>
      <c r="J23" s="77">
        <f t="shared" ref="J23:J24" si="11">IF(OR(OR(H23=0,G23=0),H23=""),"",H23/G23*100)</f>
        <v>143.79970916688262</v>
      </c>
      <c r="K23" s="77">
        <f t="shared" ref="K23:K24" si="12">IF(OR(OR(H23=0,G23=0),H23=""),"",(G23/F23-1)*100)</f>
        <v>-36.987667381941932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[25]princ_paises_tek_P1!C68/1000000</f>
        <v>1.437594</v>
      </c>
      <c r="D24" s="77">
        <f>[25]princ_paises_tek_P1!D68/1000000</f>
        <v>1.5316719999999999</v>
      </c>
      <c r="E24" s="77">
        <f>[25]princ_paises_tek_P1!E68/1000000</f>
        <v>3.1759430000000002</v>
      </c>
      <c r="F24" s="77">
        <f>[25]princ_paises_tek_P1!F68/1000000</f>
        <v>6.351953</v>
      </c>
      <c r="G24" s="77">
        <f>[25]princ_paises_tek_P1!G68/1000000</f>
        <v>4.5672579999999998</v>
      </c>
      <c r="H24" s="31">
        <f>[25]princ_paises_tek_P1!H68/1000000</f>
        <v>5.16031</v>
      </c>
      <c r="I24" s="25">
        <f t="shared" si="10"/>
        <v>12.984858748947392</v>
      </c>
      <c r="J24" s="25">
        <f t="shared" si="11"/>
        <v>112.98485874894739</v>
      </c>
      <c r="K24" s="25">
        <f t="shared" si="12"/>
        <v>-28.096791648174978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14.099674</v>
      </c>
      <c r="D25" s="79">
        <f t="shared" si="13"/>
        <v>17.989574999999999</v>
      </c>
      <c r="E25" s="79">
        <f t="shared" si="13"/>
        <v>45.901323000000005</v>
      </c>
      <c r="F25" s="79">
        <f t="shared" si="13"/>
        <v>86.382971000000012</v>
      </c>
      <c r="G25" s="79">
        <f>SUM(G13:G24)</f>
        <v>41.144584999999999</v>
      </c>
      <c r="H25" s="107">
        <f>SUM(H13:H24)</f>
        <v>59.765605000000001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27.588588218422629</v>
      </c>
      <c r="E26" s="79">
        <f>(E25/D25-1)*100</f>
        <v>155.15512734458713</v>
      </c>
      <c r="F26" s="79">
        <f>(F25/E25-1)*100</f>
        <v>88.192769519954808</v>
      </c>
      <c r="G26" s="79">
        <f>(G25/F25-1)*100</f>
        <v>-52.369564830086723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14.099674</v>
      </c>
      <c r="D28" s="76">
        <f t="shared" ref="D28:E28" si="14">SUMPRODUCT(D13:D24,$N$13:$N$24)</f>
        <v>17.989574999999999</v>
      </c>
      <c r="E28" s="76">
        <f t="shared" si="14"/>
        <v>45.901323000000005</v>
      </c>
      <c r="F28" s="76">
        <f>SUMPRODUCT(F13:F24,$N$13:$N$24)</f>
        <v>86.382971000000012</v>
      </c>
      <c r="G28" s="76">
        <f>SUMPRODUCT(G13:G24,$N$13:$N$24)</f>
        <v>41.144584999999999</v>
      </c>
      <c r="H28" s="72">
        <f>SUMPRODUCT(H13:H24,$N$13:$N$24)</f>
        <v>59.765605000000001</v>
      </c>
      <c r="I28" s="73">
        <f>IF(OR(OR(H28=0,G28=0),H28=""),"",(H28/G28-1)*100)</f>
        <v>45.257522952291311</v>
      </c>
      <c r="J28" s="31">
        <f>IF(OR(OR(H28=0,G28=0),H28=""),"",H28/G28*100)</f>
        <v>145.25752295229131</v>
      </c>
      <c r="K28" s="31">
        <f>IF(OR(OR(H28=0,G28=0),G28=""),"",(G28/F28-1)*100)</f>
        <v>-52.369564830086723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27.588588218422629</v>
      </c>
      <c r="E29" s="79">
        <f t="shared" ref="E29:H29" si="15">(E28/D28-1)*100</f>
        <v>155.15512734458713</v>
      </c>
      <c r="F29" s="79">
        <f t="shared" si="15"/>
        <v>88.192769519954808</v>
      </c>
      <c r="G29" s="79">
        <f t="shared" si="15"/>
        <v>-52.369564830086723</v>
      </c>
      <c r="H29" s="31">
        <f t="shared" si="15"/>
        <v>45.257522952291311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s="120" customFormat="1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[25]princ_paises_tek_P1!C82/1000000</f>
        <v>3.8200029999999998</v>
      </c>
      <c r="D13" s="77">
        <f>[25]princ_paises_tek_P1!D82/1000000</f>
        <v>3.6379809999999999</v>
      </c>
      <c r="E13" s="77">
        <f>[25]princ_paises_tek_P1!E82/1000000</f>
        <v>16.352599000000001</v>
      </c>
      <c r="F13" s="77">
        <f>[25]princ_paises_tek_P1!F82/1000000</f>
        <v>10.356163</v>
      </c>
      <c r="G13" s="77">
        <f>[25]princ_paises_tek_P1!G82/1000000</f>
        <v>7.0338849999999997</v>
      </c>
      <c r="H13" s="79">
        <f>[25]princ_paises_tek_P1!H82/1000000</f>
        <v>5.0557280000000002</v>
      </c>
      <c r="I13" s="77">
        <f t="shared" ref="I13:I20" si="0">IF(OR(OR(H13=0,G13=0),H13=""),"",(H13/G13-1)*100)</f>
        <v>-28.123249100603708</v>
      </c>
      <c r="J13" s="77">
        <f t="shared" ref="J13:J20" si="1">IF(OR(OR(H13=0,G13=0),H13=""),"",H13/G13*100)</f>
        <v>71.876750899396285</v>
      </c>
      <c r="K13" s="77">
        <f t="shared" ref="K13:K20" si="2">IF(OR(OR(H13=0,G13=0),H13=""),"",(G13/F13-1)*100)</f>
        <v>-32.0802019048947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[25]princ_paises_tek_P1!C83/1000000</f>
        <v>5.3752019999999998</v>
      </c>
      <c r="D14" s="77">
        <f>[25]princ_paises_tek_P1!D83/1000000</f>
        <v>22.910449</v>
      </c>
      <c r="E14" s="77">
        <f>[25]princ_paises_tek_P1!E83/1000000</f>
        <v>10.917586999999999</v>
      </c>
      <c r="F14" s="77">
        <f>[25]princ_paises_tek_P1!F83/1000000</f>
        <v>8.7018070000000005</v>
      </c>
      <c r="G14" s="77">
        <f>[25]princ_paises_tek_P1!G83/1000000</f>
        <v>6.2147420000000002</v>
      </c>
      <c r="H14" s="79">
        <f>[25]princ_paises_tek_P1!H83/1000000</f>
        <v>4.5064520000000003</v>
      </c>
      <c r="I14" s="77">
        <f t="shared" si="0"/>
        <v>-27.487705845230582</v>
      </c>
      <c r="J14" s="77">
        <f t="shared" si="1"/>
        <v>72.512294154769421</v>
      </c>
      <c r="K14" s="77">
        <f t="shared" si="2"/>
        <v>-28.581017712757827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[25]princ_paises_tek_P1!C84/1000000</f>
        <v>6.0149379999999999</v>
      </c>
      <c r="D15" s="77">
        <f>[25]princ_paises_tek_P1!D84/1000000</f>
        <v>19.574031999999999</v>
      </c>
      <c r="E15" s="77">
        <f>[25]princ_paises_tek_P1!E84/1000000</f>
        <v>13.880112</v>
      </c>
      <c r="F15" s="77">
        <f>[25]princ_paises_tek_P1!F84/1000000</f>
        <v>15.340227000000001</v>
      </c>
      <c r="G15" s="77">
        <f>[25]princ_paises_tek_P1!G84/1000000</f>
        <v>7.1201350000000003</v>
      </c>
      <c r="H15" s="79">
        <f>[25]princ_paises_tek_P1!H84/1000000</f>
        <v>7.6992370000000001</v>
      </c>
      <c r="I15" s="77">
        <f t="shared" si="0"/>
        <v>8.1333008433126519</v>
      </c>
      <c r="J15" s="77">
        <f>IF(OR(OR(H15=0,G15=0),H15=""),"",H15/G15*100)</f>
        <v>108.13330084331265</v>
      </c>
      <c r="K15" s="77">
        <f t="shared" si="2"/>
        <v>-53.585204443193703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[25]princ_paises_tek_P1!C85/1000000</f>
        <v>8.0070859999999993</v>
      </c>
      <c r="D16" s="77">
        <f>[25]princ_paises_tek_P1!D85/1000000</f>
        <v>15.35713</v>
      </c>
      <c r="E16" s="77">
        <f>[25]princ_paises_tek_P1!E85/1000000</f>
        <v>13.549514</v>
      </c>
      <c r="F16" s="77">
        <f>[25]princ_paises_tek_P1!F85/1000000</f>
        <v>13.650054000000001</v>
      </c>
      <c r="G16" s="77">
        <f>[25]princ_paises_tek_P1!G85/1000000</f>
        <v>6.9543340000000002</v>
      </c>
      <c r="H16" s="79">
        <f>[25]princ_paises_tek_P1!H85/1000000</f>
        <v>8.1156159999999993</v>
      </c>
      <c r="I16" s="77">
        <f t="shared" si="0"/>
        <v>16.698680276213352</v>
      </c>
      <c r="J16" s="77">
        <f t="shared" si="1"/>
        <v>116.69868027621335</v>
      </c>
      <c r="K16" s="77">
        <f t="shared" si="2"/>
        <v>-49.052699718257529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[25]princ_paises_tek_P1!C86/1000000</f>
        <v>5.5190979999999996</v>
      </c>
      <c r="D17" s="77">
        <f>[25]princ_paises_tek_P1!D86/1000000</f>
        <v>11.078096</v>
      </c>
      <c r="E17" s="77">
        <f>[25]princ_paises_tek_P1!E86/1000000</f>
        <v>20.930021</v>
      </c>
      <c r="F17" s="77">
        <f>[25]princ_paises_tek_P1!F86/1000000</f>
        <v>15.145621</v>
      </c>
      <c r="G17" s="77">
        <f>[25]princ_paises_tek_P1!G86/1000000</f>
        <v>6.9813960000000002</v>
      </c>
      <c r="H17" s="79">
        <f>[25]princ_paises_tek_P1!H86/1000000</f>
        <v>8.8473980000000001</v>
      </c>
      <c r="I17" s="77">
        <f t="shared" si="0"/>
        <v>26.728207367122558</v>
      </c>
      <c r="J17" s="77">
        <f t="shared" si="1"/>
        <v>126.72820736712256</v>
      </c>
      <c r="K17" s="77">
        <f t="shared" si="2"/>
        <v>-53.904854743163057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[25]princ_paises_tek_P1!C87/1000000</f>
        <v>6.0012429999999997</v>
      </c>
      <c r="D18" s="77">
        <f>[25]princ_paises_tek_P1!D87/1000000</f>
        <v>19.469919000000001</v>
      </c>
      <c r="E18" s="77">
        <f>[25]princ_paises_tek_P1!E87/1000000</f>
        <v>7.3073839999999999</v>
      </c>
      <c r="F18" s="77">
        <f>[25]princ_paises_tek_P1!F87/1000000</f>
        <v>14.902238000000001</v>
      </c>
      <c r="G18" s="77">
        <f>[25]princ_paises_tek_P1!G87/1000000</f>
        <v>8.3864870000000007</v>
      </c>
      <c r="H18" s="79">
        <f>[25]princ_paises_tek_P1!H87/1000000</f>
        <v>8.8162029999999998</v>
      </c>
      <c r="I18" s="77">
        <f t="shared" si="0"/>
        <v>5.1239094510013405</v>
      </c>
      <c r="J18" s="77">
        <f t="shared" si="1"/>
        <v>105.12390945100134</v>
      </c>
      <c r="K18" s="77">
        <f t="shared" si="2"/>
        <v>-43.723305184093817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[25]princ_paises_tek_P1!C88/1000000</f>
        <v>6.1558419999999998</v>
      </c>
      <c r="D19" s="77">
        <f>[25]princ_paises_tek_P1!D88/1000000</f>
        <v>16.848777999999999</v>
      </c>
      <c r="E19" s="77">
        <f>[25]princ_paises_tek_P1!E88/1000000</f>
        <v>11.608216000000001</v>
      </c>
      <c r="F19" s="77">
        <f>[25]princ_paises_tek_P1!F88/1000000</f>
        <v>21.215924999999999</v>
      </c>
      <c r="G19" s="77">
        <f>[25]princ_paises_tek_P1!G88/1000000</f>
        <v>7.7590620000000001</v>
      </c>
      <c r="H19" s="79">
        <f>[25]princ_paises_tek_P1!H88/1000000</f>
        <v>8.5504809999999996</v>
      </c>
      <c r="I19" s="77">
        <f>IF(OR(OR(H19=0,G19=0),H19=""),"",(H19/G19-1)*100)</f>
        <v>10.199931383458448</v>
      </c>
      <c r="J19" s="77">
        <f t="shared" si="1"/>
        <v>110.19993138345845</v>
      </c>
      <c r="K19" s="77">
        <f t="shared" si="2"/>
        <v>-63.42812297837591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[25]princ_paises_tek_P1!C89/1000000</f>
        <v>5.5742019999999997</v>
      </c>
      <c r="D20" s="77">
        <f>[25]princ_paises_tek_P1!D89/1000000</f>
        <v>7.8838109999999997</v>
      </c>
      <c r="E20" s="77">
        <f>[25]princ_paises_tek_P1!E89/1000000</f>
        <v>6.699058</v>
      </c>
      <c r="F20" s="77">
        <f>[25]princ_paises_tek_P1!F89/1000000</f>
        <v>23.799163</v>
      </c>
      <c r="G20" s="77">
        <f>[25]princ_paises_tek_P1!G89/1000000</f>
        <v>5.7623030000000002</v>
      </c>
      <c r="H20" s="79">
        <f>[25]princ_paises_tek_P1!H89/1000000</f>
        <v>9.0358940000000008</v>
      </c>
      <c r="I20" s="77">
        <f t="shared" si="0"/>
        <v>56.810462761156444</v>
      </c>
      <c r="J20" s="77">
        <f t="shared" si="1"/>
        <v>156.81046276115643</v>
      </c>
      <c r="K20" s="77">
        <f t="shared" si="2"/>
        <v>-75.787791360561712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[25]princ_paises_tek_P1!C90/1000000</f>
        <v>5.7725660000000003</v>
      </c>
      <c r="D21" s="77">
        <f>[25]princ_paises_tek_P1!D90/1000000</f>
        <v>22.111401999999998</v>
      </c>
      <c r="E21" s="77">
        <f>[25]princ_paises_tek_P1!E90/1000000</f>
        <v>19.4617</v>
      </c>
      <c r="F21" s="77">
        <f>[25]princ_paises_tek_P1!F90/1000000</f>
        <v>21.270394</v>
      </c>
      <c r="G21" s="77">
        <f>[25]princ_paises_tek_P1!G90/1000000</f>
        <v>8.3488589999999991</v>
      </c>
      <c r="H21" s="79">
        <f>[25]princ_paises_tek_P1!H90/1000000</f>
        <v>8.4915819999999993</v>
      </c>
      <c r="I21" s="77">
        <f t="shared" ref="I21" si="4">IF(OR(OR(H21=0,G21=0),H21=""),"",(H21/G21-1)*100)</f>
        <v>1.7094910813561404</v>
      </c>
      <c r="J21" s="77">
        <f t="shared" ref="J21" si="5">IF(OR(OR(H21=0,G21=0),H21=""),"",H21/G21*100)</f>
        <v>101.70949108135613</v>
      </c>
      <c r="K21" s="77">
        <f t="shared" ref="K21" si="6">IF(OR(OR(H21=0,G21=0),H21=""),"",(G21/F21-1)*100)</f>
        <v>-60.748921717199977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[25]princ_paises_tek_P1!C91/1000000</f>
        <v>6.8157230000000002</v>
      </c>
      <c r="D22" s="77">
        <f>[25]princ_paises_tek_P1!D91/1000000</f>
        <v>10.200449000000001</v>
      </c>
      <c r="E22" s="77">
        <f>[25]princ_paises_tek_P1!E91/1000000</f>
        <v>12.757139</v>
      </c>
      <c r="F22" s="77">
        <f>[25]princ_paises_tek_P1!F91/1000000</f>
        <v>17.548632000000001</v>
      </c>
      <c r="G22" s="77">
        <f>[25]princ_paises_tek_P1!G91/1000000</f>
        <v>5.6768869999999998</v>
      </c>
      <c r="H22" s="79">
        <f>[25]princ_paises_tek_P1!H91/1000000</f>
        <v>9.5910119999999992</v>
      </c>
      <c r="I22" s="77">
        <f t="shared" ref="I22" si="7">IF(OR(OR(H22=0,G22=0),H22=""),"",(H22/G22-1)*100)</f>
        <v>68.948439523280982</v>
      </c>
      <c r="J22" s="77">
        <f t="shared" ref="J22" si="8">IF(OR(OR(H22=0,G22=0),H22=""),"",H22/G22*100)</f>
        <v>168.94843952328097</v>
      </c>
      <c r="K22" s="77">
        <f t="shared" ref="K22" si="9">IF(OR(OR(H22=0,G22=0),H22=""),"",(G22/F22-1)*100)</f>
        <v>-67.65054392843841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[25]princ_paises_tek_P1!C92/1000000</f>
        <v>7.2568250000000001</v>
      </c>
      <c r="D23" s="77">
        <f>[25]princ_paises_tek_P1!D92/1000000</f>
        <v>16.812313</v>
      </c>
      <c r="E23" s="77">
        <f>[25]princ_paises_tek_P1!E92/1000000</f>
        <v>17.02552</v>
      </c>
      <c r="F23" s="77">
        <f>[25]princ_paises_tek_P1!F92/1000000</f>
        <v>10.816036</v>
      </c>
      <c r="G23" s="77">
        <f>[25]princ_paises_tek_P1!G92/1000000</f>
        <v>5.1660050000000002</v>
      </c>
      <c r="H23" s="79">
        <f>[25]princ_paises_tek_P1!H92/1000000</f>
        <v>8.3175989999999995</v>
      </c>
      <c r="I23" s="77">
        <f t="shared" ref="I23:I24" si="10">IF(OR(OR(H23=0,G23=0),H23=""),"",(H23/G23-1)*100)</f>
        <v>61.006406304291218</v>
      </c>
      <c r="J23" s="77">
        <f t="shared" ref="J23:J24" si="11">IF(OR(OR(H23=0,G23=0),H23=""),"",H23/G23*100)</f>
        <v>161.0064063042912</v>
      </c>
      <c r="K23" s="77">
        <f t="shared" ref="K23:K24" si="12">IF(OR(OR(H23=0,G23=0),H23=""),"",(G23/F23-1)*100)</f>
        <v>-52.237538780381279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[25]princ_paises_tek_P1!C93/1000000</f>
        <v>6.3125460000000002</v>
      </c>
      <c r="D24" s="77">
        <f>[25]princ_paises_tek_P1!D93/1000000</f>
        <v>15.196317000000001</v>
      </c>
      <c r="E24" s="77">
        <f>[25]princ_paises_tek_P1!E93/1000000</f>
        <v>13.539928</v>
      </c>
      <c r="F24" s="77">
        <f>[25]princ_paises_tek_P1!F93/1000000</f>
        <v>26.941254000000001</v>
      </c>
      <c r="G24" s="77">
        <f>[25]princ_paises_tek_P1!G93/1000000</f>
        <v>8.5637819999999998</v>
      </c>
      <c r="H24" s="31">
        <f>[25]princ_paises_tek_P1!H93/1000000</f>
        <v>9.1206960000000006</v>
      </c>
      <c r="I24" s="25">
        <f t="shared" si="10"/>
        <v>6.5031314435608056</v>
      </c>
      <c r="J24" s="25">
        <f t="shared" si="11"/>
        <v>106.5031314435608</v>
      </c>
      <c r="K24" s="25">
        <f t="shared" si="12"/>
        <v>-68.213127718553864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72.62527399999999</v>
      </c>
      <c r="D25" s="79">
        <f t="shared" si="13"/>
        <v>181.08067699999998</v>
      </c>
      <c r="E25" s="79">
        <f t="shared" si="13"/>
        <v>164.02877799999999</v>
      </c>
      <c r="F25" s="79">
        <f t="shared" si="13"/>
        <v>199.68751400000002</v>
      </c>
      <c r="G25" s="79">
        <f>SUM(G13:G24)</f>
        <v>83.967877000000001</v>
      </c>
      <c r="H25" s="107">
        <f>SUM(H13:H24)</f>
        <v>96.147897999999984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149.33561971828152</v>
      </c>
      <c r="E26" s="79">
        <f>(E25/D25-1)*100</f>
        <v>-9.4167413566716434</v>
      </c>
      <c r="F26" s="79">
        <f>(F25/E25-1)*100</f>
        <v>21.739316987413048</v>
      </c>
      <c r="G26" s="79">
        <f>(G25/F25-1)*100</f>
        <v>-57.950361883918291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72.62527399999999</v>
      </c>
      <c r="D28" s="76">
        <f t="shared" ref="D28:E28" si="14">SUMPRODUCT(D13:D24,$N$13:$N$24)</f>
        <v>181.08067699999998</v>
      </c>
      <c r="E28" s="76">
        <f t="shared" si="14"/>
        <v>164.02877799999999</v>
      </c>
      <c r="F28" s="76">
        <f>SUMPRODUCT(F13:F24,$N$13:$N$24)</f>
        <v>199.68751400000002</v>
      </c>
      <c r="G28" s="76">
        <f>SUMPRODUCT(G13:G24,$N$13:$N$24)</f>
        <v>83.967877000000001</v>
      </c>
      <c r="H28" s="72">
        <f>SUMPRODUCT(H13:H24,$N$13:$N$24)</f>
        <v>96.147897999999984</v>
      </c>
      <c r="I28" s="73">
        <f>IF(OR(OR(H28=0,G28=0),H28=""),"",(H28/G28-1)*100)</f>
        <v>14.505572172558301</v>
      </c>
      <c r="J28" s="31">
        <f>IF(OR(OR(H28=0,G28=0),H28=""),"",H28/G28*100)</f>
        <v>114.5055721725583</v>
      </c>
      <c r="K28" s="31">
        <f>IF(OR(OR(H28=0,G28=0),G28=""),"",(G28/F28-1)*100)</f>
        <v>-57.950361883918291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149.33561971828152</v>
      </c>
      <c r="E29" s="79">
        <f t="shared" ref="E29:H29" si="15">(E28/D28-1)*100</f>
        <v>-9.4167413566716434</v>
      </c>
      <c r="F29" s="79">
        <f t="shared" si="15"/>
        <v>21.739316987413048</v>
      </c>
      <c r="G29" s="79">
        <f t="shared" si="15"/>
        <v>-57.950361883918291</v>
      </c>
      <c r="H29" s="31">
        <f t="shared" si="15"/>
        <v>14.505572172558301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69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[25]princ_paises_tek_P1!C107/1000000</f>
        <v>4.4143020000000002</v>
      </c>
      <c r="D13" s="77">
        <f>[25]princ_paises_tek_P1!D107/1000000</f>
        <v>2.5294919999999999</v>
      </c>
      <c r="E13" s="77">
        <f>[25]princ_paises_tek_P1!E107/1000000</f>
        <v>1.66736</v>
      </c>
      <c r="F13" s="77">
        <f>[25]princ_paises_tek_P1!F107/1000000</f>
        <v>4.806775</v>
      </c>
      <c r="G13" s="77">
        <f>[25]princ_paises_tek_P1!G107/1000000</f>
        <v>3.4968340000000002</v>
      </c>
      <c r="H13" s="79">
        <f>[25]princ_paises_tek_P1!H107/1000000</f>
        <v>4.0126739999999996</v>
      </c>
      <c r="I13" s="77">
        <f t="shared" ref="I13:I20" si="0">IF(OR(OR(H13=0,G13=0),H13=""),"",(H13/G13-1)*100)</f>
        <v>14.75162961696206</v>
      </c>
      <c r="J13" s="77">
        <f t="shared" ref="J13:J20" si="1">IF(OR(OR(H13=0,G13=0),H13=""),"",H13/G13*100)</f>
        <v>114.75162961696206</v>
      </c>
      <c r="K13" s="77">
        <f t="shared" ref="K13:K20" si="2">IF(OR(OR(H13=0,G13=0),H13=""),"",(G13/F13-1)*100)</f>
        <v>-27.251972476348485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[25]princ_paises_tek_P1!C108/1000000</f>
        <v>7.2950400000000002</v>
      </c>
      <c r="D14" s="77">
        <f>[25]princ_paises_tek_P1!D108/1000000</f>
        <v>4.7215699999999998</v>
      </c>
      <c r="E14" s="77">
        <f>[25]princ_paises_tek_P1!E108/1000000</f>
        <v>2.19041</v>
      </c>
      <c r="F14" s="77">
        <f>[25]princ_paises_tek_P1!F108/1000000</f>
        <v>3.7214140000000002</v>
      </c>
      <c r="G14" s="77">
        <f>[25]princ_paises_tek_P1!G108/1000000</f>
        <v>2.253428</v>
      </c>
      <c r="H14" s="79">
        <f>[25]princ_paises_tek_P1!H108/1000000</f>
        <v>2.5965259999999999</v>
      </c>
      <c r="I14" s="77">
        <f t="shared" si="0"/>
        <v>15.225602948041828</v>
      </c>
      <c r="J14" s="77">
        <f t="shared" si="1"/>
        <v>115.22560294804182</v>
      </c>
      <c r="K14" s="77">
        <f t="shared" si="2"/>
        <v>-39.446995147543383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[25]princ_paises_tek_P1!C109/1000000</f>
        <v>3.5940639999999999</v>
      </c>
      <c r="D15" s="77">
        <f>[25]princ_paises_tek_P1!D109/1000000</f>
        <v>4.5586219999999997</v>
      </c>
      <c r="E15" s="77">
        <f>[25]princ_paises_tek_P1!E109/1000000</f>
        <v>3.2158549999999999</v>
      </c>
      <c r="F15" s="77">
        <f>[25]princ_paises_tek_P1!F109/1000000</f>
        <v>5.7433699999999996</v>
      </c>
      <c r="G15" s="77">
        <f>[25]princ_paises_tek_P1!G109/1000000</f>
        <v>4.1802919999999997</v>
      </c>
      <c r="H15" s="79">
        <f>[25]princ_paises_tek_P1!H109/1000000</f>
        <v>4.1766120000000004</v>
      </c>
      <c r="I15" s="77">
        <f t="shared" si="0"/>
        <v>-8.8032127899184687E-2</v>
      </c>
      <c r="J15" s="77">
        <f>IF(OR(OR(H15=0,G15=0),H15=""),"",H15/G15*100)</f>
        <v>99.911967872100817</v>
      </c>
      <c r="K15" s="77">
        <f t="shared" si="2"/>
        <v>-27.215345694252679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[25]princ_paises_tek_P1!C110/1000000</f>
        <v>7.1161479999999999</v>
      </c>
      <c r="D16" s="77">
        <f>[25]princ_paises_tek_P1!D110/1000000</f>
        <v>7.097003</v>
      </c>
      <c r="E16" s="77">
        <f>[25]princ_paises_tek_P1!E110/1000000</f>
        <v>3.3223150000000001</v>
      </c>
      <c r="F16" s="77">
        <f>[25]princ_paises_tek_P1!F110/1000000</f>
        <v>9.7634150000000002</v>
      </c>
      <c r="G16" s="77">
        <f>[25]princ_paises_tek_P1!G110/1000000</f>
        <v>1.809976</v>
      </c>
      <c r="H16" s="79">
        <f>[25]princ_paises_tek_P1!H110/1000000</f>
        <v>3.893348</v>
      </c>
      <c r="I16" s="77">
        <f t="shared" si="0"/>
        <v>115.10495166786741</v>
      </c>
      <c r="J16" s="77">
        <f t="shared" si="1"/>
        <v>215.1049516678674</v>
      </c>
      <c r="K16" s="77">
        <f t="shared" si="2"/>
        <v>-81.461650457345101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[25]princ_paises_tek_P1!C111/1000000</f>
        <v>6.1955629999999999</v>
      </c>
      <c r="D17" s="77">
        <f>[25]princ_paises_tek_P1!D111/1000000</f>
        <v>7.7906880000000003</v>
      </c>
      <c r="E17" s="77">
        <f>[25]princ_paises_tek_P1!E111/1000000</f>
        <v>6.2932750000000004</v>
      </c>
      <c r="F17" s="77">
        <f>[25]princ_paises_tek_P1!F111/1000000</f>
        <v>4.3244980000000002</v>
      </c>
      <c r="G17" s="77">
        <f>[25]princ_paises_tek_P1!G111/1000000</f>
        <v>3.493303</v>
      </c>
      <c r="H17" s="79">
        <f>[25]princ_paises_tek_P1!H111/1000000</f>
        <v>4.639475</v>
      </c>
      <c r="I17" s="77">
        <f t="shared" si="0"/>
        <v>32.810552076358675</v>
      </c>
      <c r="J17" s="77">
        <f t="shared" si="1"/>
        <v>132.81055207635868</v>
      </c>
      <c r="K17" s="77">
        <f t="shared" si="2"/>
        <v>-19.220612427153394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[25]princ_paises_tek_P1!C112/1000000</f>
        <v>5.2615809999999996</v>
      </c>
      <c r="D18" s="77">
        <f>[25]princ_paises_tek_P1!D112/1000000</f>
        <v>5.0271590000000002</v>
      </c>
      <c r="E18" s="77">
        <f>[25]princ_paises_tek_P1!E112/1000000</f>
        <v>4.8873899999999999</v>
      </c>
      <c r="F18" s="77">
        <f>[25]princ_paises_tek_P1!F112/1000000</f>
        <v>5.0072919999999996</v>
      </c>
      <c r="G18" s="77">
        <f>[25]princ_paises_tek_P1!G112/1000000</f>
        <v>2.8673670000000002</v>
      </c>
      <c r="H18" s="79">
        <f>[25]princ_paises_tek_P1!H112/1000000</f>
        <v>4.8113469999999996</v>
      </c>
      <c r="I18" s="77">
        <f t="shared" si="0"/>
        <v>67.79669292420536</v>
      </c>
      <c r="J18" s="77">
        <f t="shared" si="1"/>
        <v>167.79669292420536</v>
      </c>
      <c r="K18" s="77">
        <f t="shared" si="2"/>
        <v>-42.736173564473567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[25]princ_paises_tek_P1!C113/1000000</f>
        <v>6.5645189999999998</v>
      </c>
      <c r="D19" s="77">
        <f>[25]princ_paises_tek_P1!D113/1000000</f>
        <v>6.9217110000000002</v>
      </c>
      <c r="E19" s="77">
        <f>[25]princ_paises_tek_P1!E113/1000000</f>
        <v>4.8308879999999998</v>
      </c>
      <c r="F19" s="77">
        <f>[25]princ_paises_tek_P1!F113/1000000</f>
        <v>5.6582710000000001</v>
      </c>
      <c r="G19" s="77">
        <f>[25]princ_paises_tek_P1!G113/1000000</f>
        <v>4.876468</v>
      </c>
      <c r="H19" s="79">
        <f>[25]princ_paises_tek_P1!H113/1000000</f>
        <v>2.8650310000000001</v>
      </c>
      <c r="I19" s="77">
        <f>IF(OR(OR(H19=0,G19=0),H19=""),"",(H19/G19-1)*100)</f>
        <v>-41.247825270257074</v>
      </c>
      <c r="J19" s="77">
        <f t="shared" si="1"/>
        <v>58.752174729742926</v>
      </c>
      <c r="K19" s="77">
        <f t="shared" si="2"/>
        <v>-13.816994626096912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[25]princ_paises_tek_P1!C114/1000000</f>
        <v>5.7775730000000003</v>
      </c>
      <c r="D20" s="77">
        <f>[25]princ_paises_tek_P1!D114/1000000</f>
        <v>11.038417000000001</v>
      </c>
      <c r="E20" s="77">
        <f>[25]princ_paises_tek_P1!E114/1000000</f>
        <v>6.0642100000000001</v>
      </c>
      <c r="F20" s="77">
        <f>[25]princ_paises_tek_P1!F114/1000000</f>
        <v>4.6460140000000001</v>
      </c>
      <c r="G20" s="77">
        <f>[25]princ_paises_tek_P1!G114/1000000</f>
        <v>3.7622460000000002</v>
      </c>
      <c r="H20" s="79">
        <f>[25]princ_paises_tek_P1!H114/1000000</f>
        <v>7.2175390000000004</v>
      </c>
      <c r="I20" s="77">
        <f t="shared" si="0"/>
        <v>91.841229946154513</v>
      </c>
      <c r="J20" s="77">
        <f t="shared" si="1"/>
        <v>191.8412299461545</v>
      </c>
      <c r="K20" s="77">
        <f t="shared" si="2"/>
        <v>-19.022069240428465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[25]princ_paises_tek_P1!C115/1000000</f>
        <v>5.8036789999999998</v>
      </c>
      <c r="D21" s="77">
        <f>[25]princ_paises_tek_P1!D115/1000000</f>
        <v>5.5330329999999996</v>
      </c>
      <c r="E21" s="77">
        <f>[25]princ_paises_tek_P1!E115/1000000</f>
        <v>5.0612570000000003</v>
      </c>
      <c r="F21" s="77">
        <f>[25]princ_paises_tek_P1!F115/1000000</f>
        <v>3.9549889999999999</v>
      </c>
      <c r="G21" s="77">
        <f>[25]princ_paises_tek_P1!G115/1000000</f>
        <v>2.1656650000000002</v>
      </c>
      <c r="H21" s="79">
        <f>[25]princ_paises_tek_P1!H115/1000000</f>
        <v>3.6779440000000001</v>
      </c>
      <c r="I21" s="77">
        <f t="shared" ref="I21" si="4">IF(OR(OR(H21=0,G21=0),H21=""),"",(H21/G21-1)*100)</f>
        <v>69.829775149896207</v>
      </c>
      <c r="J21" s="77">
        <f t="shared" ref="J21" si="5">IF(OR(OR(H21=0,G21=0),H21=""),"",H21/G21*100)</f>
        <v>169.82977514989622</v>
      </c>
      <c r="K21" s="77">
        <f t="shared" ref="K21" si="6">IF(OR(OR(H21=0,G21=0),H21=""),"",(G21/F21-1)*100)</f>
        <v>-45.242199156558961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[25]princ_paises_tek_P1!C116/1000000</f>
        <v>3.1679200000000001</v>
      </c>
      <c r="D22" s="77">
        <f>[25]princ_paises_tek_P1!D116/1000000</f>
        <v>5.443346</v>
      </c>
      <c r="E22" s="77">
        <f>[25]princ_paises_tek_P1!E116/1000000</f>
        <v>6.8509039999999999</v>
      </c>
      <c r="F22" s="77">
        <f>[25]princ_paises_tek_P1!F116/1000000</f>
        <v>3.8800699999999999</v>
      </c>
      <c r="G22" s="77">
        <f>[25]princ_paises_tek_P1!G116/1000000</f>
        <v>3.965897</v>
      </c>
      <c r="H22" s="79">
        <f>[25]princ_paises_tek_P1!H116/1000000</f>
        <v>6.0732020000000002</v>
      </c>
      <c r="I22" s="77">
        <f t="shared" ref="I22" si="7">IF(OR(OR(H22=0,G22=0),H22=""),"",(H22/G22-1)*100)</f>
        <v>53.135646235895685</v>
      </c>
      <c r="J22" s="77">
        <f t="shared" ref="J22" si="8">IF(OR(OR(H22=0,G22=0),H22=""),"",H22/G22*100)</f>
        <v>153.13564623589568</v>
      </c>
      <c r="K22" s="77">
        <f t="shared" ref="K22" si="9">IF(OR(OR(H22=0,G22=0),H22=""),"",(G22/F22-1)*100)</f>
        <v>2.211996175326747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[25]princ_paises_tek_P1!C117/1000000</f>
        <v>5.0811380000000002</v>
      </c>
      <c r="D23" s="77">
        <f>[25]princ_paises_tek_P1!D117/1000000</f>
        <v>6.4712120000000004</v>
      </c>
      <c r="E23" s="77">
        <f>[25]princ_paises_tek_P1!E117/1000000</f>
        <v>10.076952</v>
      </c>
      <c r="F23" s="77">
        <f>[25]princ_paises_tek_P1!F117/1000000</f>
        <v>4.4751539999999999</v>
      </c>
      <c r="G23" s="77">
        <f>[25]princ_paises_tek_P1!G117/1000000</f>
        <v>2.1641240000000002</v>
      </c>
      <c r="H23" s="79">
        <f>[25]princ_paises_tek_P1!H117/1000000</f>
        <v>5.2183270000000004</v>
      </c>
      <c r="I23" s="77">
        <f t="shared" ref="I23:I24" si="10">IF(OR(OR(H23=0,G23=0),H23=""),"",(H23/G23-1)*100)</f>
        <v>141.12883550110809</v>
      </c>
      <c r="J23" s="77">
        <f t="shared" ref="J23:J24" si="11">IF(OR(OR(H23=0,G23=0),H23=""),"",H23/G23*100)</f>
        <v>241.12883550110809</v>
      </c>
      <c r="K23" s="77">
        <f t="shared" ref="K23:K24" si="12">IF(OR(OR(H23=0,G23=0),H23=""),"",(G23/F23-1)*100)</f>
        <v>-51.641351336736122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[25]princ_paises_tek_P1!C118/1000000</f>
        <v>4.056959</v>
      </c>
      <c r="D24" s="77">
        <f>[25]princ_paises_tek_P1!D118/1000000</f>
        <v>4.031695</v>
      </c>
      <c r="E24" s="77">
        <f>[25]princ_paises_tek_P1!E118/1000000</f>
        <v>4.8284500000000001</v>
      </c>
      <c r="F24" s="77">
        <f>[25]princ_paises_tek_P1!F118/1000000</f>
        <v>3.0180769999999999</v>
      </c>
      <c r="G24" s="77">
        <f>[25]princ_paises_tek_P1!G118/1000000</f>
        <v>4.9226140000000003</v>
      </c>
      <c r="H24" s="31">
        <f>[25]princ_paises_tek_P1!H118/1000000</f>
        <v>2.0184839999999999</v>
      </c>
      <c r="I24" s="25">
        <f t="shared" si="10"/>
        <v>-58.995688063293208</v>
      </c>
      <c r="J24" s="25">
        <f t="shared" si="11"/>
        <v>41.004311936706792</v>
      </c>
      <c r="K24" s="25">
        <f t="shared" si="12"/>
        <v>63.104321062716437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64.328486000000012</v>
      </c>
      <c r="D25" s="79">
        <f t="shared" si="13"/>
        <v>71.163948000000005</v>
      </c>
      <c r="E25" s="79">
        <f t="shared" si="13"/>
        <v>59.289265999999998</v>
      </c>
      <c r="F25" s="79">
        <f t="shared" si="13"/>
        <v>58.999338999999999</v>
      </c>
      <c r="G25" s="79">
        <f>SUM(G13:G24)</f>
        <v>39.958214000000005</v>
      </c>
      <c r="H25" s="107">
        <f>SUM(H13:H24)</f>
        <v>51.200509000000004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10.625871095427296</v>
      </c>
      <c r="E26" s="79">
        <f>(E25/D25-1)*100</f>
        <v>-16.686373274287714</v>
      </c>
      <c r="F26" s="79">
        <f>(F25/E25-1)*100</f>
        <v>-0.48900419850027577</v>
      </c>
      <c r="G26" s="79">
        <f>(G25/F25-1)*100</f>
        <v>-32.273454792434187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64.328486000000012</v>
      </c>
      <c r="D28" s="76">
        <f t="shared" ref="D28:E28" si="14">SUMPRODUCT(D13:D24,$N$13:$N$24)</f>
        <v>71.163948000000005</v>
      </c>
      <c r="E28" s="76">
        <f t="shared" si="14"/>
        <v>59.289265999999998</v>
      </c>
      <c r="F28" s="76">
        <f>SUMPRODUCT(F13:F24,$N$13:$N$24)</f>
        <v>58.999338999999999</v>
      </c>
      <c r="G28" s="76">
        <f>SUMPRODUCT(G13:G24,$N$13:$N$24)</f>
        <v>39.958214000000005</v>
      </c>
      <c r="H28" s="72">
        <f>SUMPRODUCT(H13:H24,$N$13:$N$24)</f>
        <v>51.200509000000004</v>
      </c>
      <c r="I28" s="73">
        <f>IF(OR(OR(H28=0,G28=0),H28=""),"",(H28/G28-1)*100)</f>
        <v>28.135128862366066</v>
      </c>
      <c r="J28" s="31">
        <f>IF(OR(OR(H28=0,G28=0),H28=""),"",H28/G28*100)</f>
        <v>128.13512886236606</v>
      </c>
      <c r="K28" s="31">
        <f>IF(OR(OR(H28=0,G28=0),G28=""),"",(G28/F28-1)*100)</f>
        <v>-32.273454792434187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10.625871095427296</v>
      </c>
      <c r="E29" s="79">
        <f t="shared" ref="E29:H29" si="15">(E28/D28-1)*100</f>
        <v>-16.686373274287714</v>
      </c>
      <c r="F29" s="79">
        <f t="shared" si="15"/>
        <v>-0.48900419850027577</v>
      </c>
      <c r="G29" s="79">
        <f t="shared" si="15"/>
        <v>-32.273454792434187</v>
      </c>
      <c r="H29" s="31">
        <f t="shared" si="15"/>
        <v>28.135128862366066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70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[25]princ_paises_tek_P1!C132/1000000</f>
        <v>2.0287470000000001</v>
      </c>
      <c r="D13" s="77">
        <f>[25]princ_paises_tek_P1!D132/1000000</f>
        <v>2.317812</v>
      </c>
      <c r="E13" s="77">
        <f>[25]princ_paises_tek_P1!E132/1000000</f>
        <v>2.4651619999999999</v>
      </c>
      <c r="F13" s="77">
        <f>[25]princ_paises_tek_P1!F132/1000000</f>
        <v>8.3721250000000005</v>
      </c>
      <c r="G13" s="77">
        <f>[25]princ_paises_tek_P1!G132/1000000</f>
        <v>2.9790450000000002</v>
      </c>
      <c r="H13" s="79">
        <f>[25]princ_paises_tek_P1!H132/1000000</f>
        <v>10.071550999999999</v>
      </c>
      <c r="I13" s="77">
        <f t="shared" ref="I13:I20" si="0">IF(OR(OR(H13=0,G13=0),H13=""),"",(H13/G13-1)*100)</f>
        <v>238.07985444999989</v>
      </c>
      <c r="J13" s="77">
        <f t="shared" ref="J13:J20" si="1">IF(OR(OR(H13=0,G13=0),H13=""),"",H13/G13*100)</f>
        <v>338.07985444999986</v>
      </c>
      <c r="K13" s="77">
        <f t="shared" ref="K13:K20" si="2">IF(OR(OR(H13=0,G13=0),H13=""),"",(G13/F13-1)*100)</f>
        <v>-64.417098406915812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[25]princ_paises_tek_P1!C133/1000000</f>
        <v>5.5679879999999997</v>
      </c>
      <c r="D14" s="77">
        <f>[25]princ_paises_tek_P1!D133/1000000</f>
        <v>3.0245890000000002</v>
      </c>
      <c r="E14" s="77">
        <f>[25]princ_paises_tek_P1!E133/1000000</f>
        <v>1.265695</v>
      </c>
      <c r="F14" s="77">
        <f>[25]princ_paises_tek_P1!F133/1000000</f>
        <v>12.522149000000001</v>
      </c>
      <c r="G14" s="77">
        <f>[25]princ_paises_tek_P1!G133/1000000</f>
        <v>7.7987190000000002</v>
      </c>
      <c r="H14" s="79">
        <f>[25]princ_paises_tek_P1!H133/1000000</f>
        <v>2.9150179999999999</v>
      </c>
      <c r="I14" s="77">
        <f t="shared" si="0"/>
        <v>-62.621835714301291</v>
      </c>
      <c r="J14" s="77">
        <f t="shared" si="1"/>
        <v>37.378164285698709</v>
      </c>
      <c r="K14" s="77">
        <f t="shared" si="2"/>
        <v>-37.720602110708001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[25]princ_paises_tek_P1!C134/1000000</f>
        <v>3.8361990000000001</v>
      </c>
      <c r="D15" s="77">
        <f>[25]princ_paises_tek_P1!D134/1000000</f>
        <v>6.3106390000000001</v>
      </c>
      <c r="E15" s="77">
        <f>[25]princ_paises_tek_P1!E134/1000000</f>
        <v>1.3038719999999999</v>
      </c>
      <c r="F15" s="77">
        <f>[25]princ_paises_tek_P1!F134/1000000</f>
        <v>9.7846910000000005</v>
      </c>
      <c r="G15" s="77">
        <f>[25]princ_paises_tek_P1!G134/1000000</f>
        <v>13.710991999999999</v>
      </c>
      <c r="H15" s="79">
        <f>[25]princ_paises_tek_P1!H134/1000000</f>
        <v>29.616291</v>
      </c>
      <c r="I15" s="77">
        <f t="shared" si="0"/>
        <v>116.00399883538697</v>
      </c>
      <c r="J15" s="77">
        <f>IF(OR(OR(H15=0,G15=0),H15=""),"",H15/G15*100)</f>
        <v>216.00399883538697</v>
      </c>
      <c r="K15" s="77">
        <f t="shared" si="2"/>
        <v>40.126979993542953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[25]princ_paises_tek_P1!C135/1000000</f>
        <v>3.3968630000000002</v>
      </c>
      <c r="D16" s="77">
        <f>[25]princ_paises_tek_P1!D135/1000000</f>
        <v>5.5050819999999998</v>
      </c>
      <c r="E16" s="77">
        <f>[25]princ_paises_tek_P1!E135/1000000</f>
        <v>4.4557789999999997</v>
      </c>
      <c r="F16" s="77">
        <f>[25]princ_paises_tek_P1!F135/1000000</f>
        <v>15.111276999999999</v>
      </c>
      <c r="G16" s="77">
        <f>[25]princ_paises_tek_P1!G135/1000000</f>
        <v>14.317762</v>
      </c>
      <c r="H16" s="79">
        <f>[25]princ_paises_tek_P1!H135/1000000</f>
        <v>7.0495450000000002</v>
      </c>
      <c r="I16" s="77">
        <f t="shared" si="0"/>
        <v>-50.763638898313857</v>
      </c>
      <c r="J16" s="77">
        <f t="shared" si="1"/>
        <v>49.236361101686143</v>
      </c>
      <c r="K16" s="77">
        <f t="shared" si="2"/>
        <v>-5.2511445591262635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[25]princ_paises_tek_P1!C136/1000000</f>
        <v>5.3502789999999996</v>
      </c>
      <c r="D17" s="77">
        <f>[25]princ_paises_tek_P1!D136/1000000</f>
        <v>7.9203999999999999</v>
      </c>
      <c r="E17" s="77">
        <f>[25]princ_paises_tek_P1!E136/1000000</f>
        <v>23.867545</v>
      </c>
      <c r="F17" s="77">
        <f>[25]princ_paises_tek_P1!F136/1000000</f>
        <v>14.01867</v>
      </c>
      <c r="G17" s="77">
        <f>[25]princ_paises_tek_P1!G136/1000000</f>
        <v>19.251729000000001</v>
      </c>
      <c r="H17" s="79">
        <f>[25]princ_paises_tek_P1!H136/1000000</f>
        <v>14.155046</v>
      </c>
      <c r="I17" s="77">
        <f t="shared" si="0"/>
        <v>-26.473897487337371</v>
      </c>
      <c r="J17" s="77">
        <f t="shared" si="1"/>
        <v>73.526102512662632</v>
      </c>
      <c r="K17" s="77">
        <f t="shared" si="2"/>
        <v>37.329211686986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[25]princ_paises_tek_P1!C137/1000000</f>
        <v>6.2398170000000004</v>
      </c>
      <c r="D18" s="77">
        <f>[25]princ_paises_tek_P1!D137/1000000</f>
        <v>6.6298130000000004</v>
      </c>
      <c r="E18" s="77">
        <f>[25]princ_paises_tek_P1!E137/1000000</f>
        <v>13.160657</v>
      </c>
      <c r="F18" s="77">
        <f>[25]princ_paises_tek_P1!F137/1000000</f>
        <v>12.866031</v>
      </c>
      <c r="G18" s="77">
        <f>[25]princ_paises_tek_P1!G137/1000000</f>
        <v>11.376956</v>
      </c>
      <c r="H18" s="79">
        <f>[25]princ_paises_tek_P1!H137/1000000</f>
        <v>3.7623169999999999</v>
      </c>
      <c r="I18" s="77">
        <f t="shared" si="0"/>
        <v>-66.930372236650996</v>
      </c>
      <c r="J18" s="77">
        <f t="shared" si="1"/>
        <v>33.069627763349004</v>
      </c>
      <c r="K18" s="77">
        <f t="shared" si="2"/>
        <v>-11.573693550093267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[25]princ_paises_tek_P1!C138/1000000</f>
        <v>8.3163169999999997</v>
      </c>
      <c r="D19" s="77">
        <f>[25]princ_paises_tek_P1!D138/1000000</f>
        <v>5.4335310000000003</v>
      </c>
      <c r="E19" s="77">
        <f>[25]princ_paises_tek_P1!E138/1000000</f>
        <v>5.6485950000000003</v>
      </c>
      <c r="F19" s="77">
        <f>[25]princ_paises_tek_P1!F138/1000000</f>
        <v>21.757625999999998</v>
      </c>
      <c r="G19" s="77">
        <f>[25]princ_paises_tek_P1!G138/1000000</f>
        <v>16.020765999999998</v>
      </c>
      <c r="H19" s="79">
        <f>[25]princ_paises_tek_P1!H138/1000000</f>
        <v>9.7712640000000004</v>
      </c>
      <c r="I19" s="77">
        <f>IF(OR(OR(H19=0,G19=0),H19=""),"",(H19/G19-1)*100)</f>
        <v>-39.008759006903901</v>
      </c>
      <c r="J19" s="77">
        <f t="shared" si="1"/>
        <v>60.991240993096099</v>
      </c>
      <c r="K19" s="77">
        <f t="shared" si="2"/>
        <v>-26.367122957256463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[25]princ_paises_tek_P1!C139/1000000</f>
        <v>5.9471230000000004</v>
      </c>
      <c r="D20" s="77">
        <f>[25]princ_paises_tek_P1!D139/1000000</f>
        <v>8.2590249999999994</v>
      </c>
      <c r="E20" s="77">
        <f>[25]princ_paises_tek_P1!E139/1000000</f>
        <v>11.259478</v>
      </c>
      <c r="F20" s="77">
        <f>[25]princ_paises_tek_P1!F139/1000000</f>
        <v>13.655066</v>
      </c>
      <c r="G20" s="77">
        <f>[25]princ_paises_tek_P1!G139/1000000</f>
        <v>8.6181280000000005</v>
      </c>
      <c r="H20" s="79">
        <f>[25]princ_paises_tek_P1!H139/1000000</f>
        <v>9.1010120000000008</v>
      </c>
      <c r="I20" s="77">
        <f t="shared" si="0"/>
        <v>5.6031193781294508</v>
      </c>
      <c r="J20" s="77">
        <f t="shared" si="1"/>
        <v>105.60311937812945</v>
      </c>
      <c r="K20" s="77">
        <f t="shared" si="2"/>
        <v>-36.88695462914643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[25]princ_paises_tek_P1!C140/1000000</f>
        <v>4.185346</v>
      </c>
      <c r="D21" s="77">
        <f>[25]princ_paises_tek_P1!D140/1000000</f>
        <v>9.9895870000000002</v>
      </c>
      <c r="E21" s="77">
        <f>[25]princ_paises_tek_P1!E140/1000000</f>
        <v>34.337657</v>
      </c>
      <c r="F21" s="77">
        <f>[25]princ_paises_tek_P1!F140/1000000</f>
        <v>16.190481999999999</v>
      </c>
      <c r="G21" s="77">
        <f>[25]princ_paises_tek_P1!G140/1000000</f>
        <v>6.4769360000000002</v>
      </c>
      <c r="H21" s="79">
        <f>[25]princ_paises_tek_P1!H140/1000000</f>
        <v>5.1910639999999999</v>
      </c>
      <c r="I21" s="77">
        <f t="shared" ref="I21" si="4">IF(OR(OR(H21=0,G21=0),H21=""),"",(H21/G21-1)*100)</f>
        <v>-19.853091029462089</v>
      </c>
      <c r="J21" s="77">
        <f t="shared" ref="J21" si="5">IF(OR(OR(H21=0,G21=0),H21=""),"",H21/G21*100)</f>
        <v>80.146908970537908</v>
      </c>
      <c r="K21" s="77">
        <f t="shared" ref="K21" si="6">IF(OR(OR(H21=0,G21=0),H21=""),"",(G21/F21-1)*100)</f>
        <v>-59.995409648705945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[25]princ_paises_tek_P1!C141/1000000</f>
        <v>4.6939229999999998</v>
      </c>
      <c r="D22" s="77">
        <f>[25]princ_paises_tek_P1!D141/1000000</f>
        <v>10.596883</v>
      </c>
      <c r="E22" s="77">
        <f>[25]princ_paises_tek_P1!E141/1000000</f>
        <v>10.190833</v>
      </c>
      <c r="F22" s="77">
        <f>[25]princ_paises_tek_P1!F141/1000000</f>
        <v>26.605111999999998</v>
      </c>
      <c r="G22" s="77">
        <f>[25]princ_paises_tek_P1!G141/1000000</f>
        <v>7.8416670000000002</v>
      </c>
      <c r="H22" s="79">
        <f>[25]princ_paises_tek_P1!H141/1000000</f>
        <v>1.640584</v>
      </c>
      <c r="I22" s="77">
        <f t="shared" ref="I22" si="7">IF(OR(OR(H22=0,G22=0),H22=""),"",(H22/G22-1)*100)</f>
        <v>-79.078632132683012</v>
      </c>
      <c r="J22" s="77">
        <f t="shared" ref="J22" si="8">IF(OR(OR(H22=0,G22=0),H22=""),"",H22/G22*100)</f>
        <v>20.921367867316988</v>
      </c>
      <c r="K22" s="77">
        <f t="shared" ref="K22" si="9">IF(OR(OR(H22=0,G22=0),H22=""),"",(G22/F22-1)*100)</f>
        <v>-70.525713253903973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[25]princ_paises_tek_P1!C142/1000000</f>
        <v>3.9134199999999999</v>
      </c>
      <c r="D23" s="77">
        <f>[25]princ_paises_tek_P1!D142/1000000</f>
        <v>9.3127220000000008</v>
      </c>
      <c r="E23" s="77">
        <f>[25]princ_paises_tek_P1!E142/1000000</f>
        <v>9.1650449999999992</v>
      </c>
      <c r="F23" s="77">
        <f>[25]princ_paises_tek_P1!F142/1000000</f>
        <v>4.1630269999999996</v>
      </c>
      <c r="G23" s="77">
        <f>[25]princ_paises_tek_P1!G142/1000000</f>
        <v>3.9898479999999998</v>
      </c>
      <c r="H23" s="79">
        <f>[25]princ_paises_tek_P1!H142/1000000</f>
        <v>4.2125820000000003</v>
      </c>
      <c r="I23" s="77">
        <f t="shared" ref="I23:I24" si="10">IF(OR(OR(H23=0,G23=0),H23=""),"",(H23/G23-1)*100)</f>
        <v>5.5825184317798593</v>
      </c>
      <c r="J23" s="77">
        <f t="shared" ref="J23:J24" si="11">IF(OR(OR(H23=0,G23=0),H23=""),"",H23/G23*100)</f>
        <v>105.58251843177986</v>
      </c>
      <c r="K23" s="77">
        <f t="shared" ref="K23:K24" si="12">IF(OR(OR(H23=0,G23=0),H23=""),"",(G23/F23-1)*100)</f>
        <v>-4.1599297818630472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[25]princ_paises_tek_P1!C143/1000000</f>
        <v>4.0869840000000002</v>
      </c>
      <c r="D24" s="77">
        <f>[25]princ_paises_tek_P1!D143/1000000</f>
        <v>0.302315</v>
      </c>
      <c r="E24" s="77">
        <f>[25]princ_paises_tek_P1!E143/1000000</f>
        <v>13.499096</v>
      </c>
      <c r="F24" s="77">
        <f>[25]princ_paises_tek_P1!F143/1000000</f>
        <v>9.8983059999999998</v>
      </c>
      <c r="G24" s="77">
        <f>[25]princ_paises_tek_P1!G143/1000000</f>
        <v>5.3791570000000002</v>
      </c>
      <c r="H24" s="31">
        <f>[25]princ_paises_tek_P1!H143/1000000</f>
        <v>2.4895999999999998</v>
      </c>
      <c r="I24" s="25">
        <f t="shared" si="10"/>
        <v>-53.717655015460608</v>
      </c>
      <c r="J24" s="25">
        <f t="shared" si="11"/>
        <v>46.282344984539392</v>
      </c>
      <c r="K24" s="25">
        <f t="shared" si="12"/>
        <v>-45.655781908540717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57.563006000000001</v>
      </c>
      <c r="D25" s="79">
        <f t="shared" si="13"/>
        <v>75.602397999999994</v>
      </c>
      <c r="E25" s="79">
        <f t="shared" si="13"/>
        <v>130.61941400000001</v>
      </c>
      <c r="F25" s="79">
        <f t="shared" si="13"/>
        <v>164.94456200000002</v>
      </c>
      <c r="G25" s="79">
        <f>SUM(G13:G24)</f>
        <v>117.76170499999999</v>
      </c>
      <c r="H25" s="107">
        <f>SUM(H13:H24)</f>
        <v>99.97587399999999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31.338516268590965</v>
      </c>
      <c r="E26" s="79">
        <f>(E25/D25-1)*100</f>
        <v>72.771522405942761</v>
      </c>
      <c r="F26" s="79">
        <f>(F25/E25-1)*100</f>
        <v>26.27874903802585</v>
      </c>
      <c r="G26" s="79">
        <f>(G25/F25-1)*100</f>
        <v>-28.6052819370911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57.563006000000001</v>
      </c>
      <c r="D28" s="76">
        <f t="shared" ref="D28:E28" si="14">SUMPRODUCT(D13:D24,$N$13:$N$24)</f>
        <v>75.602397999999994</v>
      </c>
      <c r="E28" s="76">
        <f t="shared" si="14"/>
        <v>130.61941400000001</v>
      </c>
      <c r="F28" s="76">
        <f>SUMPRODUCT(F13:F24,$N$13:$N$24)</f>
        <v>164.94456200000002</v>
      </c>
      <c r="G28" s="76">
        <f>SUMPRODUCT(G13:G24,$N$13:$N$24)</f>
        <v>117.76170499999999</v>
      </c>
      <c r="H28" s="72">
        <f>SUMPRODUCT(H13:H24,$N$13:$N$24)</f>
        <v>99.97587399999999</v>
      </c>
      <c r="I28" s="73">
        <f>IF(OR(OR(H28=0,G28=0),H28=""),"",(H28/G28-1)*100)</f>
        <v>-15.103238357494908</v>
      </c>
      <c r="J28" s="31">
        <f>IF(OR(OR(H28=0,G28=0),H28=""),"",H28/G28*100)</f>
        <v>84.896761642505098</v>
      </c>
      <c r="K28" s="31">
        <f>IF(OR(OR(H28=0,G28=0),G28=""),"",(G28/F28-1)*100)</f>
        <v>-28.6052819370911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31.338516268590965</v>
      </c>
      <c r="E29" s="79">
        <f t="shared" ref="E29:H29" si="15">(E28/D28-1)*100</f>
        <v>72.771522405942761</v>
      </c>
      <c r="F29" s="79">
        <f t="shared" si="15"/>
        <v>26.27874903802585</v>
      </c>
      <c r="G29" s="79">
        <f t="shared" si="15"/>
        <v>-28.6052819370911</v>
      </c>
      <c r="H29" s="31">
        <f t="shared" si="15"/>
        <v>-15.103238357494908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62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[26]principales_paises_p2!C7/1000000</f>
        <v>15.317088999999999</v>
      </c>
      <c r="D13" s="77">
        <f>[26]principales_paises_p2!D7/1000000</f>
        <v>19.939444999999999</v>
      </c>
      <c r="E13" s="77">
        <f>[26]principales_paises_p2!E7/1000000</f>
        <v>20.542933999999999</v>
      </c>
      <c r="F13" s="77">
        <f>[26]principales_paises_p2!F7/1000000</f>
        <v>21.336793</v>
      </c>
      <c r="G13" s="77">
        <f>[26]principales_paises_p2!G7/1000000</f>
        <v>31.076635</v>
      </c>
      <c r="H13" s="79">
        <f>[26]principales_paises_p2!H7/1000000</f>
        <v>19.253278999999999</v>
      </c>
      <c r="I13" s="77">
        <f t="shared" ref="I13:I20" si="0">IF(OR(OR(H13=0,G13=0),H13=""),"",(H13/G13-1)*100)</f>
        <v>-38.045805152327461</v>
      </c>
      <c r="J13" s="77">
        <f t="shared" ref="J13:J20" si="1">IF(OR(OR(H13=0,G13=0),H13=""),"",H13/G13*100)</f>
        <v>61.954194847672539</v>
      </c>
      <c r="K13" s="77">
        <f t="shared" ref="K13:K20" si="2">IF(OR(OR(H13=0,G13=0),H13=""),"",(G13/F13-1)*100)</f>
        <v>45.648106535972865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[26]principales_paises_p2!C8/1000000</f>
        <v>20.704948000000002</v>
      </c>
      <c r="D14" s="77">
        <f>[26]principales_paises_p2!D8/1000000</f>
        <v>22.980226999999999</v>
      </c>
      <c r="E14" s="77">
        <f>[26]principales_paises_p2!E8/1000000</f>
        <v>27.276871</v>
      </c>
      <c r="F14" s="77">
        <f>[26]principales_paises_p2!F8/1000000</f>
        <v>20.302807000000001</v>
      </c>
      <c r="G14" s="77">
        <f>[26]principales_paises_p2!G8/1000000</f>
        <v>26.102098000000002</v>
      </c>
      <c r="H14" s="79">
        <f>[26]principales_paises_p2!H8/1000000</f>
        <v>31.779671</v>
      </c>
      <c r="I14" s="77">
        <f t="shared" si="0"/>
        <v>21.75140481044857</v>
      </c>
      <c r="J14" s="77">
        <f t="shared" si="1"/>
        <v>121.75140481044858</v>
      </c>
      <c r="K14" s="77">
        <f t="shared" si="2"/>
        <v>28.563986250768192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[26]principales_paises_p2!C9/1000000</f>
        <v>20.863758000000001</v>
      </c>
      <c r="D15" s="77">
        <f>[26]principales_paises_p2!D9/1000000</f>
        <v>28.747463</v>
      </c>
      <c r="E15" s="77">
        <f>[26]principales_paises_p2!E9/1000000</f>
        <v>25.727661000000001</v>
      </c>
      <c r="F15" s="77">
        <f>[26]principales_paises_p2!F9/1000000</f>
        <v>34.709926000000003</v>
      </c>
      <c r="G15" s="77">
        <f>[26]principales_paises_p2!G9/1000000</f>
        <v>29.061143000000001</v>
      </c>
      <c r="H15" s="79">
        <f>[26]principales_paises_p2!H9/1000000</f>
        <v>39.865209</v>
      </c>
      <c r="I15" s="77">
        <f t="shared" si="0"/>
        <v>37.177016747070127</v>
      </c>
      <c r="J15" s="77">
        <f>IF(OR(OR(H15=0,G15=0),H15=""),"",H15/G15*100)</f>
        <v>137.17701674707013</v>
      </c>
      <c r="K15" s="77">
        <f t="shared" si="2"/>
        <v>-16.274258262607656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[26]principales_paises_p2!C10/1000000</f>
        <v>21.783839</v>
      </c>
      <c r="D16" s="77">
        <f>[26]principales_paises_p2!D10/1000000</f>
        <v>23.195641999999999</v>
      </c>
      <c r="E16" s="77">
        <f>[26]principales_paises_p2!E10/1000000</f>
        <v>28.981442999999999</v>
      </c>
      <c r="F16" s="77">
        <f>[26]principales_paises_p2!F10/1000000</f>
        <v>32.254680999999998</v>
      </c>
      <c r="G16" s="77">
        <f>[26]principales_paises_p2!G10/1000000</f>
        <v>28.993326</v>
      </c>
      <c r="H16" s="79">
        <f>[26]principales_paises_p2!H10/1000000</f>
        <v>39.509805</v>
      </c>
      <c r="I16" s="77">
        <f t="shared" si="0"/>
        <v>36.272068268400815</v>
      </c>
      <c r="J16" s="77">
        <f t="shared" si="1"/>
        <v>136.2720682684008</v>
      </c>
      <c r="K16" s="77">
        <f t="shared" si="2"/>
        <v>-10.111261060061327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[26]principales_paises_p2!C11/1000000</f>
        <v>19.412503000000001</v>
      </c>
      <c r="D17" s="77">
        <f>[26]principales_paises_p2!D11/1000000</f>
        <v>27.724883999999999</v>
      </c>
      <c r="E17" s="77">
        <f>[26]principales_paises_p2!E11/1000000</f>
        <v>24.475068</v>
      </c>
      <c r="F17" s="77">
        <f>[26]principales_paises_p2!F11/1000000</f>
        <v>28.008064000000001</v>
      </c>
      <c r="G17" s="77">
        <f>[26]principales_paises_p2!G11/1000000</f>
        <v>28.56813</v>
      </c>
      <c r="H17" s="79">
        <f>[26]principales_paises_p2!H11/1000000</f>
        <v>37.921467999999997</v>
      </c>
      <c r="I17" s="77">
        <f t="shared" si="0"/>
        <v>32.740462886440234</v>
      </c>
      <c r="J17" s="77">
        <f t="shared" si="1"/>
        <v>132.74046288644024</v>
      </c>
      <c r="K17" s="77">
        <f t="shared" si="2"/>
        <v>1.9996598122597797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[26]principales_paises_p2!C12/1000000</f>
        <v>22.597743999999999</v>
      </c>
      <c r="D18" s="77">
        <f>[26]principales_paises_p2!D12/1000000</f>
        <v>29.511161000000001</v>
      </c>
      <c r="E18" s="77">
        <f>[26]principales_paises_p2!E12/1000000</f>
        <v>24.044968999999998</v>
      </c>
      <c r="F18" s="77">
        <f>[26]principales_paises_p2!F12/1000000</f>
        <v>39.348723</v>
      </c>
      <c r="G18" s="77">
        <f>[26]principales_paises_p2!G12/1000000</f>
        <v>29.806539999999998</v>
      </c>
      <c r="H18" s="79">
        <f>[26]principales_paises_p2!H12/1000000</f>
        <v>36.452156000000002</v>
      </c>
      <c r="I18" s="77">
        <f t="shared" si="0"/>
        <v>22.295831720152705</v>
      </c>
      <c r="J18" s="77">
        <f t="shared" si="1"/>
        <v>122.29583172015271</v>
      </c>
      <c r="K18" s="77">
        <f t="shared" si="2"/>
        <v>-24.25029905036563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[26]principales_paises_p2!C13/1000000</f>
        <v>24.391812000000002</v>
      </c>
      <c r="D19" s="77">
        <f>[26]principales_paises_p2!D13/1000000</f>
        <v>27.807634</v>
      </c>
      <c r="E19" s="77">
        <f>[26]principales_paises_p2!E13/1000000</f>
        <v>25.885103000000001</v>
      </c>
      <c r="F19" s="77">
        <f>[26]principales_paises_p2!F13/1000000</f>
        <v>41.953769999999999</v>
      </c>
      <c r="G19" s="77">
        <f>[26]principales_paises_p2!G13/1000000</f>
        <v>27.879864999999999</v>
      </c>
      <c r="H19" s="79">
        <f>[26]principales_paises_p2!H13/1000000</f>
        <v>33.313402000000004</v>
      </c>
      <c r="I19" s="77">
        <f>IF(OR(OR(H19=0,G19=0),H19=""),"",(H19/G19-1)*100)</f>
        <v>19.489107999626263</v>
      </c>
      <c r="J19" s="77">
        <f t="shared" si="1"/>
        <v>119.48910799962627</v>
      </c>
      <c r="K19" s="77">
        <f t="shared" si="2"/>
        <v>-33.546222425302894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[26]principales_paises_p2!C14/1000000</f>
        <v>25.379840999999999</v>
      </c>
      <c r="D20" s="77">
        <f>[26]principales_paises_p2!D14/1000000</f>
        <v>30.804991999999999</v>
      </c>
      <c r="E20" s="77">
        <f>[26]principales_paises_p2!E14/1000000</f>
        <v>27.994316999999999</v>
      </c>
      <c r="F20" s="77">
        <f>[26]principales_paises_p2!F14/1000000</f>
        <v>38.390971</v>
      </c>
      <c r="G20" s="77">
        <f>[26]principales_paises_p2!G14/1000000</f>
        <v>24.017786999999998</v>
      </c>
      <c r="H20" s="79">
        <f>[26]principales_paises_p2!H14/1000000</f>
        <v>35.108282000000003</v>
      </c>
      <c r="I20" s="77">
        <f t="shared" si="0"/>
        <v>46.176173516735751</v>
      </c>
      <c r="J20" s="77">
        <f t="shared" si="1"/>
        <v>146.17617351673576</v>
      </c>
      <c r="K20" s="77">
        <f t="shared" si="2"/>
        <v>-37.438969699411885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[26]principales_paises_p2!C15/1000000</f>
        <v>25.896861000000001</v>
      </c>
      <c r="D21" s="77">
        <f>[26]principales_paises_p2!D15/1000000</f>
        <v>27.028759000000001</v>
      </c>
      <c r="E21" s="77">
        <f>[26]principales_paises_p2!E15/1000000</f>
        <v>25.225287000000002</v>
      </c>
      <c r="F21" s="77">
        <f>[26]principales_paises_p2!F15/1000000</f>
        <v>33.883862999999998</v>
      </c>
      <c r="G21" s="77">
        <f>[26]principales_paises_p2!G15/1000000</f>
        <v>29.52974</v>
      </c>
      <c r="H21" s="79">
        <f>[26]principales_paises_p2!H15/1000000</f>
        <v>51.125793999999999</v>
      </c>
      <c r="I21" s="77">
        <f t="shared" ref="I21" si="4">IF(OR(OR(H21=0,G21=0),H21=""),"",(H21/G21-1)*100)</f>
        <v>73.133234495122551</v>
      </c>
      <c r="J21" s="77">
        <f t="shared" ref="J21" si="5">IF(OR(OR(H21=0,G21=0),H21=""),"",H21/G21*100)</f>
        <v>173.13323449512254</v>
      </c>
      <c r="K21" s="77">
        <f t="shared" ref="K21" si="6">IF(OR(OR(H21=0,G21=0),H21=""),"",(G21/F21-1)*100)</f>
        <v>-12.85013754187354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[26]principales_paises_p2!C16/1000000</f>
        <v>22.801317000000001</v>
      </c>
      <c r="D22" s="77">
        <f>[26]principales_paises_p2!D16/1000000</f>
        <v>31.322559999999999</v>
      </c>
      <c r="E22" s="77">
        <f>[26]principales_paises_p2!E16/1000000</f>
        <v>25.683762999999999</v>
      </c>
      <c r="F22" s="77">
        <f>[26]principales_paises_p2!F16/1000000</f>
        <v>47.688431999999999</v>
      </c>
      <c r="G22" s="77">
        <f>[26]principales_paises_p2!G16/1000000</f>
        <v>30.120318000000001</v>
      </c>
      <c r="H22" s="79">
        <f>[26]principales_paises_p2!H16/1000000</f>
        <v>63.215862999999999</v>
      </c>
      <c r="I22" s="77">
        <f t="shared" ref="I22" si="7">IF(OR(OR(H22=0,G22=0),H22=""),"",(H22/G22-1)*100)</f>
        <v>109.87780739897897</v>
      </c>
      <c r="J22" s="77">
        <f t="shared" ref="J22" si="8">IF(OR(OR(H22=0,G22=0),H22=""),"",H22/G22*100)</f>
        <v>209.87780739897897</v>
      </c>
      <c r="K22" s="77">
        <f t="shared" ref="K22" si="9">IF(OR(OR(H22=0,G22=0),H22=""),"",(G22/F22-1)*100)</f>
        <v>-36.839361797427095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[26]principales_paises_p2!C17/1000000</f>
        <v>25.772033</v>
      </c>
      <c r="D23" s="77">
        <f>[26]principales_paises_p2!D17/1000000</f>
        <v>26.912769999999998</v>
      </c>
      <c r="E23" s="77">
        <f>[26]principales_paises_p2!E17/1000000</f>
        <v>26.505005000000001</v>
      </c>
      <c r="F23" s="77">
        <f>[26]principales_paises_p2!F17/1000000</f>
        <v>39.529815999999997</v>
      </c>
      <c r="G23" s="77">
        <f>[26]principales_paises_p2!G17/1000000</f>
        <v>30.383334999999999</v>
      </c>
      <c r="H23" s="79">
        <f>[26]principales_paises_p2!H17/1000000</f>
        <v>31.991367</v>
      </c>
      <c r="I23" s="77">
        <f t="shared" ref="I23:I24" si="10">IF(OR(OR(H23=0,G23=0),H23=""),"",(H23/G23-1)*100)</f>
        <v>5.2924802362874335</v>
      </c>
      <c r="J23" s="77">
        <f t="shared" ref="J23:J24" si="11">IF(OR(OR(H23=0,G23=0),H23=""),"",H23/G23*100)</f>
        <v>105.29248023628743</v>
      </c>
      <c r="K23" s="77">
        <f t="shared" ref="K23:K24" si="12">IF(OR(OR(H23=0,G23=0),H23=""),"",(G23/F23-1)*100)</f>
        <v>-23.138182580966227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[26]principales_paises_p2!C18/1000000</f>
        <v>22.756122000000001</v>
      </c>
      <c r="D24" s="77">
        <f>[26]principales_paises_p2!D18/1000000</f>
        <v>22.860638999999999</v>
      </c>
      <c r="E24" s="77">
        <f>[26]principales_paises_p2!E18/1000000</f>
        <v>27.686091999999999</v>
      </c>
      <c r="F24" s="77">
        <f>[26]principales_paises_p2!F18/1000000</f>
        <v>44.139004999999997</v>
      </c>
      <c r="G24" s="77">
        <f>[26]principales_paises_p2!G18/1000000</f>
        <v>31.940797</v>
      </c>
      <c r="H24" s="31">
        <f>[26]principales_paises_p2!H18/1000000</f>
        <v>38.501288000000002</v>
      </c>
      <c r="I24" s="25">
        <f t="shared" si="10"/>
        <v>20.539534439294059</v>
      </c>
      <c r="J24" s="25">
        <f t="shared" si="11"/>
        <v>120.53953443929406</v>
      </c>
      <c r="K24" s="25">
        <f t="shared" si="12"/>
        <v>-27.635892562598542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267.67786699999999</v>
      </c>
      <c r="D25" s="79">
        <f t="shared" si="13"/>
        <v>318.83617600000002</v>
      </c>
      <c r="E25" s="79">
        <f t="shared" si="13"/>
        <v>310.02851299999998</v>
      </c>
      <c r="F25" s="79">
        <f t="shared" si="13"/>
        <v>421.54685099999995</v>
      </c>
      <c r="G25" s="79">
        <f>SUM(G13:G24)</f>
        <v>347.47971399999994</v>
      </c>
      <c r="H25" s="107">
        <f>SUM(H13:H24)</f>
        <v>458.03758399999998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19.111893550765636</v>
      </c>
      <c r="E26" s="79">
        <f>(E25/D25-1)*100</f>
        <v>-2.7624415492927157</v>
      </c>
      <c r="F26" s="79">
        <f>(F25/E25-1)*100</f>
        <v>35.970348959484255</v>
      </c>
      <c r="G26" s="79">
        <f>(G25/F25-1)*100</f>
        <v>-17.570321501464615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267.67786699999999</v>
      </c>
      <c r="D28" s="76">
        <f t="shared" ref="D28:E28" si="14">SUMPRODUCT(D13:D24,$N$13:$N$24)</f>
        <v>318.83617600000002</v>
      </c>
      <c r="E28" s="76">
        <f t="shared" si="14"/>
        <v>310.02851299999998</v>
      </c>
      <c r="F28" s="76">
        <f>SUMPRODUCT(F13:F24,$N$13:$N$24)</f>
        <v>421.54685099999995</v>
      </c>
      <c r="G28" s="76">
        <f>SUMPRODUCT(G13:G24,$N$13:$N$24)</f>
        <v>347.47971399999994</v>
      </c>
      <c r="H28" s="72">
        <f>SUMPRODUCT(H13:H24,$N$13:$N$24)</f>
        <v>458.03758399999998</v>
      </c>
      <c r="I28" s="73">
        <f>IF(OR(OR(H28=0,G28=0),H28=""),"",(H28/G28-1)*100)</f>
        <v>31.817071773001416</v>
      </c>
      <c r="J28" s="31">
        <f>IF(OR(OR(H28=0,G28=0),H28=""),"",H28/G28*100)</f>
        <v>131.8170717730014</v>
      </c>
      <c r="K28" s="31">
        <f>IF(OR(OR(H28=0,G28=0),G28=""),"",(G28/F28-1)*100)</f>
        <v>-17.570321501464615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19.111893550765636</v>
      </c>
      <c r="E29" s="79">
        <f t="shared" ref="E29:H29" si="15">(E28/D28-1)*100</f>
        <v>-2.7624415492927157</v>
      </c>
      <c r="F29" s="79">
        <f t="shared" si="15"/>
        <v>35.970348959484255</v>
      </c>
      <c r="G29" s="79">
        <f t="shared" si="15"/>
        <v>-17.570321501464615</v>
      </c>
      <c r="H29" s="31">
        <f t="shared" si="15"/>
        <v>31.817071773001416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71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[26]principales_paises_p2!C32/1000000</f>
        <v>8.2851999999999995E-2</v>
      </c>
      <c r="D13" s="77">
        <f>[26]principales_paises_p2!D32/1000000</f>
        <v>0.23682400000000001</v>
      </c>
      <c r="E13" s="77">
        <f>[26]principales_paises_p2!E32/1000000</f>
        <v>0.427097</v>
      </c>
      <c r="F13" s="77">
        <f>[26]principales_paises_p2!F32/1000000</f>
        <v>0.50810599999999995</v>
      </c>
      <c r="G13" s="77">
        <f>[26]principales_paises_p2!G32/1000000</f>
        <v>0.29619600000000001</v>
      </c>
      <c r="H13" s="79">
        <f>[26]principales_paises_p2!H32/1000000</f>
        <v>0.14829700000000001</v>
      </c>
      <c r="I13" s="77">
        <f t="shared" ref="I13:I20" si="0">IF(OR(OR(H13=0,G13=0),H13=""),"",(H13/G13-1)*100)</f>
        <v>-49.932814757795505</v>
      </c>
      <c r="J13" s="77">
        <f t="shared" ref="J13:J20" si="1">IF(OR(OR(H13=0,G13=0),H13=""),"",H13/G13*100)</f>
        <v>50.067185242204495</v>
      </c>
      <c r="K13" s="77">
        <f t="shared" ref="K13:K20" si="2">IF(OR(OR(H13=0,G13=0),H13=""),"",(G13/F13-1)*100)</f>
        <v>-41.705864524331524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[26]principales_paises_p2!C33/1000000</f>
        <v>3.7219000000000002E-2</v>
      </c>
      <c r="D14" s="77">
        <f>[26]principales_paises_p2!D33/1000000</f>
        <v>0.23872499999999999</v>
      </c>
      <c r="E14" s="77">
        <f>[26]principales_paises_p2!E33/1000000</f>
        <v>0.27141599999999999</v>
      </c>
      <c r="F14" s="77">
        <f>[26]principales_paises_p2!F33/1000000</f>
        <v>0.30187700000000001</v>
      </c>
      <c r="G14" s="77">
        <f>[26]principales_paises_p2!G33/1000000</f>
        <v>0.153503</v>
      </c>
      <c r="H14" s="79">
        <f>[26]principales_paises_p2!H33/1000000</f>
        <v>0.498612</v>
      </c>
      <c r="I14" s="77">
        <f t="shared" si="0"/>
        <v>224.82231617623108</v>
      </c>
      <c r="J14" s="77">
        <f t="shared" si="1"/>
        <v>324.82231617623108</v>
      </c>
      <c r="K14" s="77">
        <f t="shared" si="2"/>
        <v>-49.150481818754002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[26]principales_paises_p2!C34/1000000</f>
        <v>9.8002000000000006E-2</v>
      </c>
      <c r="D15" s="77">
        <f>[26]principales_paises_p2!D34/1000000</f>
        <v>0.42382199999999998</v>
      </c>
      <c r="E15" s="77">
        <f>[26]principales_paises_p2!E34/1000000</f>
        <v>0.115288</v>
      </c>
      <c r="F15" s="77">
        <f>[26]principales_paises_p2!F34/1000000</f>
        <v>0.612344</v>
      </c>
      <c r="G15" s="77">
        <f>[26]principales_paises_p2!G34/1000000</f>
        <v>0.204591</v>
      </c>
      <c r="H15" s="79">
        <f>[26]principales_paises_p2!H34/1000000</f>
        <v>0.363209</v>
      </c>
      <c r="I15" s="77">
        <f t="shared" si="0"/>
        <v>77.529314583730468</v>
      </c>
      <c r="J15" s="77">
        <f>IF(OR(OR(H15=0,G15=0),H15=""),"",H15/G15*100)</f>
        <v>177.52931458373047</v>
      </c>
      <c r="K15" s="77">
        <f t="shared" si="2"/>
        <v>-66.58887814692396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[26]principales_paises_p2!C35/1000000</f>
        <v>2.8657999999999999E-2</v>
      </c>
      <c r="D16" s="77">
        <f>[26]principales_paises_p2!D35/1000000</f>
        <v>0.80676599999999998</v>
      </c>
      <c r="E16" s="77">
        <f>[26]principales_paises_p2!E35/1000000</f>
        <v>0.301097</v>
      </c>
      <c r="F16" s="77">
        <f>[26]principales_paises_p2!F35/1000000</f>
        <v>0.49738100000000002</v>
      </c>
      <c r="G16" s="77">
        <f>[26]principales_paises_p2!G35/1000000</f>
        <v>0.17308399999999999</v>
      </c>
      <c r="H16" s="79">
        <f>[26]principales_paises_p2!H35/1000000</f>
        <v>0.17705699999999999</v>
      </c>
      <c r="I16" s="77">
        <f t="shared" si="0"/>
        <v>2.2954172540500695</v>
      </c>
      <c r="J16" s="77">
        <f t="shared" si="1"/>
        <v>102.29541725405007</v>
      </c>
      <c r="K16" s="77">
        <f t="shared" si="2"/>
        <v>-65.200922431697236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[26]principales_paises_p2!C36/1000000</f>
        <v>0.15221000000000001</v>
      </c>
      <c r="D17" s="77">
        <f>[26]principales_paises_p2!D36/1000000</f>
        <v>0.212558</v>
      </c>
      <c r="E17" s="77">
        <f>[26]principales_paises_p2!E36/1000000</f>
        <v>0.15945100000000001</v>
      </c>
      <c r="F17" s="77">
        <f>[26]principales_paises_p2!F36/1000000</f>
        <v>0.33691700000000002</v>
      </c>
      <c r="G17" s="77">
        <f>[26]principales_paises_p2!G36/1000000</f>
        <v>7.2154999999999997E-2</v>
      </c>
      <c r="H17" s="79">
        <f>[26]principales_paises_p2!H36/1000000</f>
        <v>8.3186999999999997E-2</v>
      </c>
      <c r="I17" s="77">
        <f t="shared" si="0"/>
        <v>15.289307740281345</v>
      </c>
      <c r="J17" s="77">
        <f t="shared" si="1"/>
        <v>115.28930774028134</v>
      </c>
      <c r="K17" s="77">
        <f t="shared" si="2"/>
        <v>-78.583746145193032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[26]principales_paises_p2!C37/1000000</f>
        <v>7.8700000000000006E-2</v>
      </c>
      <c r="D18" s="77">
        <f>[26]principales_paises_p2!D37/1000000</f>
        <v>0.14968400000000001</v>
      </c>
      <c r="E18" s="77">
        <f>[26]principales_paises_p2!E37/1000000</f>
        <v>0.49942399999999998</v>
      </c>
      <c r="F18" s="77">
        <f>[26]principales_paises_p2!F37/1000000</f>
        <v>0.51863400000000004</v>
      </c>
      <c r="G18" s="77">
        <f>[26]principales_paises_p2!G37/1000000</f>
        <v>0.13336200000000001</v>
      </c>
      <c r="H18" s="79">
        <f>[26]principales_paises_p2!H37/1000000</f>
        <v>0.22644600000000001</v>
      </c>
      <c r="I18" s="77">
        <f t="shared" si="0"/>
        <v>69.797993431412237</v>
      </c>
      <c r="J18" s="77">
        <f t="shared" si="1"/>
        <v>169.79799343141224</v>
      </c>
      <c r="K18" s="77">
        <f t="shared" si="2"/>
        <v>-74.285912608891806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[26]principales_paises_p2!C38/1000000</f>
        <v>0.120339</v>
      </c>
      <c r="D19" s="77">
        <f>[26]principales_paises_p2!D38/1000000</f>
        <v>0.26553399999999999</v>
      </c>
      <c r="E19" s="77">
        <f>[26]principales_paises_p2!E38/1000000</f>
        <v>0.32339699999999999</v>
      </c>
      <c r="F19" s="77">
        <f>[26]principales_paises_p2!F38/1000000</f>
        <v>0.31494</v>
      </c>
      <c r="G19" s="77">
        <f>[26]principales_paises_p2!G38/1000000</f>
        <v>0.246943</v>
      </c>
      <c r="H19" s="79">
        <f>[26]principales_paises_p2!H38/1000000</f>
        <v>9.3868999999999994E-2</v>
      </c>
      <c r="I19" s="77">
        <f>IF(OR(OR(H19=0,G19=0),H19=""),"",(H19/G19-1)*100)</f>
        <v>-61.987584179345035</v>
      </c>
      <c r="J19" s="77">
        <f t="shared" si="1"/>
        <v>38.012415820654965</v>
      </c>
      <c r="K19" s="77">
        <f t="shared" si="2"/>
        <v>-21.590461675239723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[26]principales_paises_p2!C39/1000000</f>
        <v>0.175928</v>
      </c>
      <c r="D20" s="77">
        <f>[26]principales_paises_p2!D39/1000000</f>
        <v>0.94059700000000002</v>
      </c>
      <c r="E20" s="77">
        <f>[26]principales_paises_p2!E39/1000000</f>
        <v>0.65029199999999998</v>
      </c>
      <c r="F20" s="77">
        <f>[26]principales_paises_p2!F39/1000000</f>
        <v>0.11629100000000001</v>
      </c>
      <c r="G20" s="77">
        <f>[26]principales_paises_p2!G39/1000000</f>
        <v>0.186642</v>
      </c>
      <c r="H20" s="79">
        <f>[26]principales_paises_p2!H39/1000000</f>
        <v>0.77153099999999997</v>
      </c>
      <c r="I20" s="77">
        <f t="shared" si="0"/>
        <v>313.37480309898086</v>
      </c>
      <c r="J20" s="77">
        <f t="shared" si="1"/>
        <v>413.37480309898086</v>
      </c>
      <c r="K20" s="77">
        <f t="shared" si="2"/>
        <v>60.49565314598722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[26]principales_paises_p2!C40/1000000</f>
        <v>0.17422000000000001</v>
      </c>
      <c r="D21" s="77">
        <f>[26]principales_paises_p2!D40/1000000</f>
        <v>0.173735</v>
      </c>
      <c r="E21" s="77">
        <f>[26]principales_paises_p2!E40/1000000</f>
        <v>0.48459799999999997</v>
      </c>
      <c r="F21" s="77">
        <f>[26]principales_paises_p2!F40/1000000</f>
        <v>7.3286000000000004E-2</v>
      </c>
      <c r="G21" s="77">
        <f>[26]principales_paises_p2!G40/1000000</f>
        <v>0.185504</v>
      </c>
      <c r="H21" s="79">
        <f>[26]principales_paises_p2!H40/1000000</f>
        <v>0.71561900000000001</v>
      </c>
      <c r="I21" s="77">
        <f t="shared" ref="I21" si="4">IF(OR(OR(H21=0,G21=0),H21=""),"",(H21/G21-1)*100)</f>
        <v>285.77011816456792</v>
      </c>
      <c r="J21" s="77">
        <f t="shared" ref="J21" si="5">IF(OR(OR(H21=0,G21=0),H21=""),"",H21/G21*100)</f>
        <v>385.77011816456792</v>
      </c>
      <c r="K21" s="77">
        <f t="shared" ref="K21" si="6">IF(OR(OR(H21=0,G21=0),H21=""),"",(G21/F21-1)*100)</f>
        <v>153.12337963594683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[26]principales_paises_p2!C41/1000000</f>
        <v>0.314332</v>
      </c>
      <c r="D22" s="77">
        <f>[26]principales_paises_p2!D41/1000000</f>
        <v>0.15873599999999999</v>
      </c>
      <c r="E22" s="77">
        <f>[26]principales_paises_p2!E41/1000000</f>
        <v>0.52146599999999999</v>
      </c>
      <c r="F22" s="77">
        <f>[26]principales_paises_p2!F41/1000000</f>
        <v>0.35717900000000002</v>
      </c>
      <c r="G22" s="77">
        <f>[26]principales_paises_p2!G41/1000000</f>
        <v>0.207148</v>
      </c>
      <c r="H22" s="79">
        <f>[26]principales_paises_p2!H41/1000000</f>
        <v>0.44267800000000002</v>
      </c>
      <c r="I22" s="77">
        <f t="shared" ref="I22" si="7">IF(OR(OR(H22=0,G22=0),H22=""),"",(H22/G22-1)*100)</f>
        <v>113.70131500183444</v>
      </c>
      <c r="J22" s="77">
        <f t="shared" ref="J22" si="8">IF(OR(OR(H22=0,G22=0),H22=""),"",H22/G22*100)</f>
        <v>213.70131500183444</v>
      </c>
      <c r="K22" s="77">
        <f t="shared" ref="K22" si="9">IF(OR(OR(H22=0,G22=0),H22=""),"",(G22/F22-1)*100)</f>
        <v>-42.004429151769841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[26]principales_paises_p2!C42/1000000</f>
        <v>0.20937700000000001</v>
      </c>
      <c r="D23" s="77">
        <f>[26]principales_paises_p2!D42/1000000</f>
        <v>0.233261</v>
      </c>
      <c r="E23" s="77">
        <f>[26]principales_paises_p2!E42/1000000</f>
        <v>0.376025</v>
      </c>
      <c r="F23" s="77">
        <f>[26]principales_paises_p2!F42/1000000</f>
        <v>0.215757</v>
      </c>
      <c r="G23" s="77">
        <f>[26]principales_paises_p2!G42/1000000</f>
        <v>0.169849</v>
      </c>
      <c r="H23" s="79">
        <f>[26]principales_paises_p2!H42/1000000</f>
        <v>0.26645999999999997</v>
      </c>
      <c r="I23" s="77">
        <f t="shared" ref="I23:I24" si="10">IF(OR(OR(H23=0,G23=0),H23=""),"",(H23/G23-1)*100)</f>
        <v>56.880523288332554</v>
      </c>
      <c r="J23" s="77">
        <f t="shared" ref="J23:J24" si="11">IF(OR(OR(H23=0,G23=0),H23=""),"",H23/G23*100)</f>
        <v>156.88052328833254</v>
      </c>
      <c r="K23" s="77">
        <f t="shared" ref="K23:K24" si="12">IF(OR(OR(H23=0,G23=0),H23=""),"",(G23/F23-1)*100)</f>
        <v>-21.277641049884821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[26]principales_paises_p2!C43/1000000</f>
        <v>0.46332899999999999</v>
      </c>
      <c r="D24" s="77">
        <f>[26]principales_paises_p2!D43/1000000</f>
        <v>0.24899099999999999</v>
      </c>
      <c r="E24" s="77">
        <f>[26]principales_paises_p2!E43/1000000</f>
        <v>0.19967699999999999</v>
      </c>
      <c r="F24" s="77">
        <f>[26]principales_paises_p2!F43/1000000</f>
        <v>9.9280999999999994E-2</v>
      </c>
      <c r="G24" s="77">
        <f>[26]principales_paises_p2!G43/1000000</f>
        <v>0.180422</v>
      </c>
      <c r="H24" s="31">
        <f>[26]principales_paises_p2!H43/1000000</f>
        <v>0.53778400000000004</v>
      </c>
      <c r="I24" s="25">
        <f t="shared" si="10"/>
        <v>198.07008014543683</v>
      </c>
      <c r="J24" s="25">
        <f t="shared" si="11"/>
        <v>298.0700801454368</v>
      </c>
      <c r="K24" s="25">
        <f t="shared" si="12"/>
        <v>81.728628841369471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1.9351659999999997</v>
      </c>
      <c r="D25" s="79">
        <f t="shared" si="13"/>
        <v>4.0892330000000001</v>
      </c>
      <c r="E25" s="79">
        <f t="shared" si="13"/>
        <v>4.3292280000000005</v>
      </c>
      <c r="F25" s="79">
        <f t="shared" si="13"/>
        <v>3.9519929999999999</v>
      </c>
      <c r="G25" s="79">
        <f>SUM(G13:G24)</f>
        <v>2.2093990000000003</v>
      </c>
      <c r="H25" s="107">
        <f>SUM(H13:H24)</f>
        <v>4.3247489999999997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111.31174276522016</v>
      </c>
      <c r="E26" s="79">
        <f>(E25/D25-1)*100</f>
        <v>5.8689490180676929</v>
      </c>
      <c r="F26" s="79">
        <f>(F25/E25-1)*100</f>
        <v>-8.7136782816705569</v>
      </c>
      <c r="G26" s="79">
        <f>(G25/F25-1)*100</f>
        <v>-44.094055834613059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1.9351659999999997</v>
      </c>
      <c r="D28" s="76">
        <f t="shared" ref="D28:E28" si="14">SUMPRODUCT(D13:D24,$N$13:$N$24)</f>
        <v>4.0892330000000001</v>
      </c>
      <c r="E28" s="76">
        <f t="shared" si="14"/>
        <v>4.3292280000000005</v>
      </c>
      <c r="F28" s="76">
        <f>SUMPRODUCT(F13:F24,$N$13:$N$24)</f>
        <v>3.9519929999999999</v>
      </c>
      <c r="G28" s="76">
        <f>SUMPRODUCT(G13:G24,$N$13:$N$24)</f>
        <v>2.2093990000000003</v>
      </c>
      <c r="H28" s="72">
        <f>SUMPRODUCT(H13:H24,$N$13:$N$24)</f>
        <v>4.3247489999999997</v>
      </c>
      <c r="I28" s="73">
        <f>IF(OR(OR(H28=0,G28=0),H28=""),"",(H28/G28-1)*100)</f>
        <v>95.743231530384463</v>
      </c>
      <c r="J28" s="31">
        <f>IF(OR(OR(H28=0,G28=0),H28=""),"",H28/G28*100)</f>
        <v>195.74323153038446</v>
      </c>
      <c r="K28" s="31">
        <f>IF(OR(OR(H28=0,G28=0),G28=""),"",(G28/F28-1)*100)</f>
        <v>-44.094055834613059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111.31174276522016</v>
      </c>
      <c r="E29" s="79">
        <f t="shared" ref="E29:H29" si="15">(E28/D28-1)*100</f>
        <v>5.8689490180676929</v>
      </c>
      <c r="F29" s="79">
        <f t="shared" si="15"/>
        <v>-8.7136782816705569</v>
      </c>
      <c r="G29" s="79">
        <f t="shared" si="15"/>
        <v>-44.094055834613059</v>
      </c>
      <c r="H29" s="31">
        <f t="shared" si="15"/>
        <v>95.743231530384463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72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[26]principales_paises_p2!C57/1000000</f>
        <v>1.0982810000000001</v>
      </c>
      <c r="D13" s="77">
        <f>[26]principales_paises_p2!D57/1000000</f>
        <v>0.932666</v>
      </c>
      <c r="E13" s="77">
        <f>[26]principales_paises_p2!E57/1000000</f>
        <v>1.468124</v>
      </c>
      <c r="F13" s="77">
        <f>[26]principales_paises_p2!F57/1000000</f>
        <v>2.095437</v>
      </c>
      <c r="G13" s="77">
        <f>[26]principales_paises_p2!G57/1000000</f>
        <v>2.9536030000000002</v>
      </c>
      <c r="H13" s="79">
        <f>[26]principales_paises_p2!H57/1000000</f>
        <v>2.3838590000000002</v>
      </c>
      <c r="I13" s="77">
        <f t="shared" ref="I13:I20" si="0">IF(OR(OR(H13=0,G13=0),H13=""),"",(H13/G13-1)*100)</f>
        <v>-19.289796225152799</v>
      </c>
      <c r="J13" s="77">
        <f t="shared" ref="J13:J20" si="1">IF(OR(OR(H13=0,G13=0),H13=""),"",H13/G13*100)</f>
        <v>80.710203774847201</v>
      </c>
      <c r="K13" s="77">
        <f t="shared" ref="K13:K20" si="2">IF(OR(OR(H13=0,G13=0),H13=""),"",(G13/F13-1)*100)</f>
        <v>40.954034886279111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[26]principales_paises_p2!C58/1000000</f>
        <v>1.5044740000000001</v>
      </c>
      <c r="D14" s="77">
        <f>[26]principales_paises_p2!D58/1000000</f>
        <v>1.273787</v>
      </c>
      <c r="E14" s="77">
        <f>[26]principales_paises_p2!E58/1000000</f>
        <v>1.767509</v>
      </c>
      <c r="F14" s="77">
        <f>[26]principales_paises_p2!F58/1000000</f>
        <v>1.9571179999999999</v>
      </c>
      <c r="G14" s="77">
        <f>[26]principales_paises_p2!G58/1000000</f>
        <v>3.042732</v>
      </c>
      <c r="H14" s="79">
        <f>[26]principales_paises_p2!H58/1000000</f>
        <v>2.78931</v>
      </c>
      <c r="I14" s="77">
        <f t="shared" si="0"/>
        <v>-8.3287650703381075</v>
      </c>
      <c r="J14" s="77">
        <f t="shared" si="1"/>
        <v>91.671234929661892</v>
      </c>
      <c r="K14" s="77">
        <f t="shared" si="2"/>
        <v>55.470032977061166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[26]principales_paises_p2!C59/1000000</f>
        <v>1.7734620000000001</v>
      </c>
      <c r="D15" s="77">
        <f>[26]principales_paises_p2!D59/1000000</f>
        <v>1.6471439999999999</v>
      </c>
      <c r="E15" s="77">
        <f>[26]principales_paises_p2!E59/1000000</f>
        <v>2.1363810000000001</v>
      </c>
      <c r="F15" s="77">
        <f>[26]principales_paises_p2!F59/1000000</f>
        <v>3.1165639999999999</v>
      </c>
      <c r="G15" s="77">
        <f>[26]principales_paises_p2!G59/1000000</f>
        <v>3.2897590000000001</v>
      </c>
      <c r="H15" s="79">
        <f>[26]principales_paises_p2!H59/1000000</f>
        <v>4.0395830000000004</v>
      </c>
      <c r="I15" s="77">
        <f t="shared" si="0"/>
        <v>22.792672654744628</v>
      </c>
      <c r="J15" s="77">
        <f>IF(OR(OR(H15=0,G15=0),H15=""),"",H15/G15*100)</f>
        <v>122.79267265474462</v>
      </c>
      <c r="K15" s="77">
        <f t="shared" si="2"/>
        <v>5.5572418856150607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[26]principales_paises_p2!C60/1000000</f>
        <v>1.904682</v>
      </c>
      <c r="D16" s="77">
        <f>[26]principales_paises_p2!D60/1000000</f>
        <v>1.6503429999999999</v>
      </c>
      <c r="E16" s="77">
        <f>[26]principales_paises_p2!E60/1000000</f>
        <v>1.855696</v>
      </c>
      <c r="F16" s="77">
        <f>[26]principales_paises_p2!F60/1000000</f>
        <v>3.939616</v>
      </c>
      <c r="G16" s="77">
        <f>[26]principales_paises_p2!G60/1000000</f>
        <v>2.6213419999999998</v>
      </c>
      <c r="H16" s="79">
        <f>[26]principales_paises_p2!H60/1000000</f>
        <v>3.9847260000000002</v>
      </c>
      <c r="I16" s="77">
        <f t="shared" si="0"/>
        <v>52.010916545799837</v>
      </c>
      <c r="J16" s="77">
        <f t="shared" si="1"/>
        <v>152.01091654579983</v>
      </c>
      <c r="K16" s="77">
        <f t="shared" si="2"/>
        <v>-33.461992234776183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[26]principales_paises_p2!C61/1000000</f>
        <v>1.2604139999999999</v>
      </c>
      <c r="D17" s="77">
        <f>[26]principales_paises_p2!D61/1000000</f>
        <v>2.0341239999999998</v>
      </c>
      <c r="E17" s="77">
        <f>[26]principales_paises_p2!E61/1000000</f>
        <v>2.2405010000000001</v>
      </c>
      <c r="F17" s="77">
        <f>[26]principales_paises_p2!F61/1000000</f>
        <v>4.5018649999999996</v>
      </c>
      <c r="G17" s="77">
        <f>[26]principales_paises_p2!G61/1000000</f>
        <v>3.4459620000000002</v>
      </c>
      <c r="H17" s="79">
        <f>[26]principales_paises_p2!H61/1000000</f>
        <v>3.5429909999999998</v>
      </c>
      <c r="I17" s="77">
        <f t="shared" si="0"/>
        <v>2.8157304114206694</v>
      </c>
      <c r="J17" s="77">
        <f t="shared" si="1"/>
        <v>102.81573041142067</v>
      </c>
      <c r="K17" s="77">
        <f t="shared" si="2"/>
        <v>-23.454790403532744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[26]principales_paises_p2!C62/1000000</f>
        <v>1.4730859999999999</v>
      </c>
      <c r="D18" s="77">
        <f>[26]principales_paises_p2!D62/1000000</f>
        <v>2.351413</v>
      </c>
      <c r="E18" s="77">
        <f>[26]principales_paises_p2!E62/1000000</f>
        <v>1.724564</v>
      </c>
      <c r="F18" s="77">
        <f>[26]principales_paises_p2!F62/1000000</f>
        <v>4.4072069999999997</v>
      </c>
      <c r="G18" s="77">
        <f>[26]principales_paises_p2!G62/1000000</f>
        <v>2.9056549999999999</v>
      </c>
      <c r="H18" s="79">
        <f>[26]principales_paises_p2!H62/1000000</f>
        <v>3.844881</v>
      </c>
      <c r="I18" s="77">
        <f t="shared" si="0"/>
        <v>32.324071508833654</v>
      </c>
      <c r="J18" s="77">
        <f t="shared" si="1"/>
        <v>132.32407150883364</v>
      </c>
      <c r="K18" s="77">
        <f t="shared" si="2"/>
        <v>-34.070376090798547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[26]principales_paises_p2!C63/1000000</f>
        <v>1.7739990000000001</v>
      </c>
      <c r="D19" s="77">
        <f>[26]principales_paises_p2!D63/1000000</f>
        <v>1.674552</v>
      </c>
      <c r="E19" s="77">
        <f>[26]principales_paises_p2!E63/1000000</f>
        <v>2.1895739999999999</v>
      </c>
      <c r="F19" s="77">
        <f>[26]principales_paises_p2!F63/1000000</f>
        <v>4.6608299999999998</v>
      </c>
      <c r="G19" s="77">
        <f>[26]principales_paises_p2!G63/1000000</f>
        <v>3.795941</v>
      </c>
      <c r="H19" s="79">
        <f>[26]principales_paises_p2!H63/1000000</f>
        <v>3.5637880000000002</v>
      </c>
      <c r="I19" s="77">
        <f>IF(OR(OR(H19=0,G19=0),H19=""),"",(H19/G19-1)*100)</f>
        <v>-6.1158221373830539</v>
      </c>
      <c r="J19" s="77">
        <f t="shared" si="1"/>
        <v>93.884177862616951</v>
      </c>
      <c r="K19" s="77">
        <f t="shared" si="2"/>
        <v>-18.556544649772675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[26]principales_paises_p2!C64/1000000</f>
        <v>1.4589650000000001</v>
      </c>
      <c r="D20" s="77">
        <f>[26]principales_paises_p2!D64/1000000</f>
        <v>1.718545</v>
      </c>
      <c r="E20" s="77">
        <f>[26]principales_paises_p2!E64/1000000</f>
        <v>2.5890399999999998</v>
      </c>
      <c r="F20" s="77">
        <f>[26]principales_paises_p2!F64/1000000</f>
        <v>3.3619859999999999</v>
      </c>
      <c r="G20" s="77">
        <f>[26]principales_paises_p2!G64/1000000</f>
        <v>2.8444880000000001</v>
      </c>
      <c r="H20" s="79">
        <f>[26]principales_paises_p2!H64/1000000</f>
        <v>3.511469</v>
      </c>
      <c r="I20" s="77">
        <f t="shared" si="0"/>
        <v>23.448191730814116</v>
      </c>
      <c r="J20" s="77">
        <f t="shared" si="1"/>
        <v>123.44819173081412</v>
      </c>
      <c r="K20" s="77">
        <f t="shared" si="2"/>
        <v>-15.392628047826484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[26]principales_paises_p2!C65/1000000</f>
        <v>1.496694</v>
      </c>
      <c r="D21" s="77">
        <f>[26]principales_paises_p2!D65/1000000</f>
        <v>2.3703159999999999</v>
      </c>
      <c r="E21" s="77">
        <f>[26]principales_paises_p2!E65/1000000</f>
        <v>2.8462939999999999</v>
      </c>
      <c r="F21" s="77">
        <f>[26]principales_paises_p2!F65/1000000</f>
        <v>3.7771720000000002</v>
      </c>
      <c r="G21" s="77">
        <f>[26]principales_paises_p2!G65/1000000</f>
        <v>2.797939</v>
      </c>
      <c r="H21" s="79">
        <f>[26]principales_paises_p2!H65/1000000</f>
        <v>5.0358479999999997</v>
      </c>
      <c r="I21" s="77">
        <f t="shared" ref="I21" si="4">IF(OR(OR(H21=0,G21=0),H21=""),"",(H21/G21-1)*100)</f>
        <v>79.984195509623319</v>
      </c>
      <c r="J21" s="77">
        <f t="shared" ref="J21" si="5">IF(OR(OR(H21=0,G21=0),H21=""),"",H21/G21*100)</f>
        <v>179.98419550962333</v>
      </c>
      <c r="K21" s="77">
        <f t="shared" ref="K21" si="6">IF(OR(OR(H21=0,G21=0),H21=""),"",(G21/F21-1)*100)</f>
        <v>-25.925030684332096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[26]principales_paises_p2!C66/1000000</f>
        <v>1.0702860000000001</v>
      </c>
      <c r="D22" s="77">
        <f>[26]principales_paises_p2!D66/1000000</f>
        <v>2.0803470000000002</v>
      </c>
      <c r="E22" s="77">
        <f>[26]principales_paises_p2!E66/1000000</f>
        <v>3.678909</v>
      </c>
      <c r="F22" s="77">
        <f>[26]principales_paises_p2!F66/1000000</f>
        <v>5.9108419999999997</v>
      </c>
      <c r="G22" s="77">
        <f>[26]principales_paises_p2!G66/1000000</f>
        <v>3.6326209999999999</v>
      </c>
      <c r="H22" s="79">
        <f>[26]principales_paises_p2!H66/1000000</f>
        <v>4.5513139999999996</v>
      </c>
      <c r="I22" s="77">
        <f t="shared" ref="I22" si="7">IF(OR(OR(H22=0,G22=0),H22=""),"",(H22/G22-1)*100)</f>
        <v>25.290086689472968</v>
      </c>
      <c r="J22" s="77">
        <f t="shared" ref="J22" si="8">IF(OR(OR(H22=0,G22=0),H22=""),"",H22/G22*100)</f>
        <v>125.29008668947297</v>
      </c>
      <c r="K22" s="77">
        <f t="shared" ref="K22" si="9">IF(OR(OR(H22=0,G22=0),H22=""),"",(G22/F22-1)*100)</f>
        <v>-38.543087431536826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[26]principales_paises_p2!C67/1000000</f>
        <v>1.4482280000000001</v>
      </c>
      <c r="D23" s="77">
        <f>[26]principales_paises_p2!D67/1000000</f>
        <v>2.052902</v>
      </c>
      <c r="E23" s="77">
        <f>[26]principales_paises_p2!E67/1000000</f>
        <v>3.3295469999999998</v>
      </c>
      <c r="F23" s="77">
        <f>[26]principales_paises_p2!F67/1000000</f>
        <v>3.4490150000000002</v>
      </c>
      <c r="G23" s="77">
        <f>[26]principales_paises_p2!G67/1000000</f>
        <v>3.0324819999999999</v>
      </c>
      <c r="H23" s="79">
        <f>[26]principales_paises_p2!H67/1000000</f>
        <v>3.1351230000000001</v>
      </c>
      <c r="I23" s="77">
        <f t="shared" ref="I23:I24" si="10">IF(OR(OR(H23=0,G23=0),H23=""),"",(H23/G23-1)*100)</f>
        <v>3.3847191838236812</v>
      </c>
      <c r="J23" s="77">
        <f t="shared" ref="J23:J24" si="11">IF(OR(OR(H23=0,G23=0),H23=""),"",H23/G23*100)</f>
        <v>103.38471918382368</v>
      </c>
      <c r="K23" s="77">
        <f t="shared" ref="K23:K24" si="12">IF(OR(OR(H23=0,G23=0),H23=""),"",(G23/F23-1)*100)</f>
        <v>-12.076868323274914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[26]principales_paises_p2!C68/1000000</f>
        <v>1.181012</v>
      </c>
      <c r="D24" s="77">
        <f>[26]principales_paises_p2!D68/1000000</f>
        <v>1.922774</v>
      </c>
      <c r="E24" s="77">
        <f>[26]principales_paises_p2!E68/1000000</f>
        <v>2.5341740000000001</v>
      </c>
      <c r="F24" s="77">
        <f>[26]principales_paises_p2!F68/1000000</f>
        <v>5.3271940000000004</v>
      </c>
      <c r="G24" s="77">
        <f>[26]principales_paises_p2!G68/1000000</f>
        <v>3.0352899999999998</v>
      </c>
      <c r="H24" s="31">
        <f>[26]principales_paises_p2!H68/1000000</f>
        <v>3.6993659999999999</v>
      </c>
      <c r="I24" s="25">
        <f t="shared" si="10"/>
        <v>21.87850254835617</v>
      </c>
      <c r="J24" s="25">
        <f t="shared" si="11"/>
        <v>121.87850254835617</v>
      </c>
      <c r="K24" s="25">
        <f t="shared" si="12"/>
        <v>-43.022724533778955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17.443582999999997</v>
      </c>
      <c r="D25" s="79">
        <f t="shared" si="13"/>
        <v>21.708912999999999</v>
      </c>
      <c r="E25" s="79">
        <f t="shared" si="13"/>
        <v>28.360313000000005</v>
      </c>
      <c r="F25" s="79">
        <f t="shared" si="13"/>
        <v>46.504846000000001</v>
      </c>
      <c r="G25" s="79">
        <f>SUM(G13:G24)</f>
        <v>37.397813999999997</v>
      </c>
      <c r="H25" s="107">
        <f>SUM(H13:H24)</f>
        <v>44.082257999999996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24.452143805547301</v>
      </c>
      <c r="E26" s="79">
        <f>(E25/D25-1)*100</f>
        <v>30.639028310629858</v>
      </c>
      <c r="F26" s="79">
        <f>(F25/E25-1)*100</f>
        <v>63.978606300995324</v>
      </c>
      <c r="G26" s="79">
        <f>(G25/F25-1)*100</f>
        <v>-19.582974213052985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17.443582999999997</v>
      </c>
      <c r="D28" s="76">
        <f t="shared" ref="D28:E28" si="14">SUMPRODUCT(D13:D24,$N$13:$N$24)</f>
        <v>21.708912999999999</v>
      </c>
      <c r="E28" s="76">
        <f t="shared" si="14"/>
        <v>28.360313000000005</v>
      </c>
      <c r="F28" s="76">
        <f>SUMPRODUCT(F13:F24,$N$13:$N$24)</f>
        <v>46.504846000000001</v>
      </c>
      <c r="G28" s="76">
        <f>SUMPRODUCT(G13:G24,$N$13:$N$24)</f>
        <v>37.397813999999997</v>
      </c>
      <c r="H28" s="72">
        <f>SUMPRODUCT(H13:H24,$N$13:$N$24)</f>
        <v>44.082257999999996</v>
      </c>
      <c r="I28" s="73">
        <f>IF(OR(OR(H28=0,G28=0),H28=""),"",(H28/G28-1)*100)</f>
        <v>17.873889634297878</v>
      </c>
      <c r="J28" s="31">
        <f>IF(OR(OR(H28=0,G28=0),H28=""),"",H28/G28*100)</f>
        <v>117.87388963429788</v>
      </c>
      <c r="K28" s="31">
        <f>IF(OR(OR(H28=0,G28=0),G28=""),"",(G28/F28-1)*100)</f>
        <v>-19.582974213052985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24.452143805547301</v>
      </c>
      <c r="E29" s="79">
        <f t="shared" ref="E29:H29" si="15">(E28/D28-1)*100</f>
        <v>30.639028310629858</v>
      </c>
      <c r="F29" s="79">
        <f t="shared" si="15"/>
        <v>63.978606300995324</v>
      </c>
      <c r="G29" s="79">
        <f t="shared" si="15"/>
        <v>-19.582974213052985</v>
      </c>
      <c r="H29" s="31">
        <f t="shared" si="15"/>
        <v>17.873889634297878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73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[26]principales_paises_p2!C82/1000000</f>
        <v>2.7839649999999998</v>
      </c>
      <c r="D13" s="77">
        <f>[26]principales_paises_p2!D82/1000000</f>
        <v>4.2807529999999998</v>
      </c>
      <c r="E13" s="77">
        <f>[26]principales_paises_p2!E82/1000000</f>
        <v>3.4579339999999998</v>
      </c>
      <c r="F13" s="77">
        <f>[26]principales_paises_p2!F82/1000000</f>
        <v>4.6976870000000002</v>
      </c>
      <c r="G13" s="77">
        <f>[26]principales_paises_p2!G82/1000000</f>
        <v>7.3114889999999999</v>
      </c>
      <c r="H13" s="79">
        <f>[26]principales_paises_p2!H82/1000000</f>
        <v>4.8789379999999998</v>
      </c>
      <c r="I13" s="77">
        <f t="shared" ref="I13:I20" si="0">IF(OR(OR(H13=0,G13=0),H13=""),"",(H13/G13-1)*100)</f>
        <v>-33.2702545268139</v>
      </c>
      <c r="J13" s="77">
        <f t="shared" ref="J13:J20" si="1">IF(OR(OR(H13=0,G13=0),H13=""),"",H13/G13*100)</f>
        <v>66.7297454731861</v>
      </c>
      <c r="K13" s="77">
        <f t="shared" ref="K13:K20" si="2">IF(OR(OR(H13=0,G13=0),H13=""),"",(G13/F13-1)*100)</f>
        <v>55.640190587410345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[26]principales_paises_p2!C83/1000000</f>
        <v>4.646757</v>
      </c>
      <c r="D14" s="77">
        <f>[26]principales_paises_p2!D83/1000000</f>
        <v>4.2619379999999998</v>
      </c>
      <c r="E14" s="77">
        <f>[26]principales_paises_p2!E83/1000000</f>
        <v>5.0103799999999996</v>
      </c>
      <c r="F14" s="77">
        <f>[26]principales_paises_p2!F83/1000000</f>
        <v>4.41662</v>
      </c>
      <c r="G14" s="77">
        <f>[26]principales_paises_p2!G83/1000000</f>
        <v>7.2437740000000002</v>
      </c>
      <c r="H14" s="79">
        <f>[26]principales_paises_p2!H83/1000000</f>
        <v>8.7569169999999996</v>
      </c>
      <c r="I14" s="77">
        <f t="shared" si="0"/>
        <v>20.888876433748482</v>
      </c>
      <c r="J14" s="77">
        <f t="shared" si="1"/>
        <v>120.88887643374848</v>
      </c>
      <c r="K14" s="77">
        <f t="shared" si="2"/>
        <v>64.011710312410841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[26]principales_paises_p2!C84/1000000</f>
        <v>5.788551</v>
      </c>
      <c r="D15" s="77">
        <f>[26]principales_paises_p2!D84/1000000</f>
        <v>5.5920129999999997</v>
      </c>
      <c r="E15" s="77">
        <f>[26]principales_paises_p2!E84/1000000</f>
        <v>4.354654</v>
      </c>
      <c r="F15" s="77">
        <f>[26]principales_paises_p2!F84/1000000</f>
        <v>5.9127150000000004</v>
      </c>
      <c r="G15" s="77">
        <f>[26]principales_paises_p2!G84/1000000</f>
        <v>8.0382169999999995</v>
      </c>
      <c r="H15" s="79">
        <f>[26]principales_paises_p2!H84/1000000</f>
        <v>12.13134</v>
      </c>
      <c r="I15" s="77">
        <f t="shared" si="0"/>
        <v>50.920782556629177</v>
      </c>
      <c r="J15" s="77">
        <f>IF(OR(OR(H15=0,G15=0),H15=""),"",H15/G15*100)</f>
        <v>150.92078255662918</v>
      </c>
      <c r="K15" s="77">
        <f t="shared" si="2"/>
        <v>35.947986669406504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[26]principales_paises_p2!C85/1000000</f>
        <v>5.8134129999999997</v>
      </c>
      <c r="D16" s="77">
        <f>[26]principales_paises_p2!D85/1000000</f>
        <v>4.6946500000000002</v>
      </c>
      <c r="E16" s="77">
        <f>[26]principales_paises_p2!E85/1000000</f>
        <v>4.4427079999999997</v>
      </c>
      <c r="F16" s="77">
        <f>[26]principales_paises_p2!F85/1000000</f>
        <v>7.3133850000000002</v>
      </c>
      <c r="G16" s="77">
        <f>[26]principales_paises_p2!G85/1000000</f>
        <v>6.4701329999999997</v>
      </c>
      <c r="H16" s="79">
        <f>[26]principales_paises_p2!H85/1000000</f>
        <v>10.810203</v>
      </c>
      <c r="I16" s="77">
        <f t="shared" si="0"/>
        <v>67.078528370282342</v>
      </c>
      <c r="J16" s="77">
        <f t="shared" si="1"/>
        <v>167.07852837028236</v>
      </c>
      <c r="K16" s="77">
        <f t="shared" si="2"/>
        <v>-11.530255825448821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[26]principales_paises_p2!C86/1000000</f>
        <v>5.144476</v>
      </c>
      <c r="D17" s="77">
        <f>[26]principales_paises_p2!D86/1000000</f>
        <v>4.3609489999999997</v>
      </c>
      <c r="E17" s="77">
        <f>[26]principales_paises_p2!E86/1000000</f>
        <v>5.7304430000000002</v>
      </c>
      <c r="F17" s="77">
        <f>[26]principales_paises_p2!F86/1000000</f>
        <v>6.3823270000000001</v>
      </c>
      <c r="G17" s="77">
        <f>[26]principales_paises_p2!G86/1000000</f>
        <v>6.4133069999999996</v>
      </c>
      <c r="H17" s="79">
        <f>[26]principales_paises_p2!H86/1000000</f>
        <v>8.8063929999999999</v>
      </c>
      <c r="I17" s="77">
        <f t="shared" si="0"/>
        <v>37.314383983177478</v>
      </c>
      <c r="J17" s="77">
        <f t="shared" si="1"/>
        <v>137.31438398317749</v>
      </c>
      <c r="K17" s="77">
        <f t="shared" si="2"/>
        <v>0.48540289458687269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[26]principales_paises_p2!C87/1000000</f>
        <v>4.7896169999999998</v>
      </c>
      <c r="D18" s="77">
        <f>[26]principales_paises_p2!D87/1000000</f>
        <v>4.5123759999999997</v>
      </c>
      <c r="E18" s="77">
        <f>[26]principales_paises_p2!E87/1000000</f>
        <v>4.9668799999999997</v>
      </c>
      <c r="F18" s="77">
        <f>[26]principales_paises_p2!F87/1000000</f>
        <v>8.7338810000000002</v>
      </c>
      <c r="G18" s="77">
        <f>[26]principales_paises_p2!G87/1000000</f>
        <v>9.0749899999999997</v>
      </c>
      <c r="H18" s="79">
        <f>[26]principales_paises_p2!H87/1000000</f>
        <v>12.030016</v>
      </c>
      <c r="I18" s="77">
        <f t="shared" si="0"/>
        <v>32.562305853780551</v>
      </c>
      <c r="J18" s="77">
        <f t="shared" si="1"/>
        <v>132.56230585378054</v>
      </c>
      <c r="K18" s="77">
        <f t="shared" si="2"/>
        <v>3.9055833254425965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[26]principales_paises_p2!C88/1000000</f>
        <v>3.796341</v>
      </c>
      <c r="D19" s="77">
        <f>[26]principales_paises_p2!D88/1000000</f>
        <v>5.1802510000000002</v>
      </c>
      <c r="E19" s="77">
        <f>[26]principales_paises_p2!E88/1000000</f>
        <v>5.281854</v>
      </c>
      <c r="F19" s="77">
        <f>[26]principales_paises_p2!F88/1000000</f>
        <v>7.6645139999999996</v>
      </c>
      <c r="G19" s="77">
        <f>[26]principales_paises_p2!G88/1000000</f>
        <v>7.414409</v>
      </c>
      <c r="H19" s="79">
        <f>[26]principales_paises_p2!H88/1000000</f>
        <v>10.745155</v>
      </c>
      <c r="I19" s="77">
        <f>IF(OR(OR(H19=0,G19=0),H19=""),"",(H19/G19-1)*100)</f>
        <v>44.922609475684453</v>
      </c>
      <c r="J19" s="77">
        <f t="shared" si="1"/>
        <v>144.92260947568445</v>
      </c>
      <c r="K19" s="77">
        <f t="shared" si="2"/>
        <v>-3.2631553677115011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[26]principales_paises_p2!C89/1000000</f>
        <v>4.1414330000000001</v>
      </c>
      <c r="D20" s="77">
        <f>[26]principales_paises_p2!D89/1000000</f>
        <v>4.7446140000000003</v>
      </c>
      <c r="E20" s="77">
        <f>[26]principales_paises_p2!E89/1000000</f>
        <v>5.6213949999999997</v>
      </c>
      <c r="F20" s="77">
        <f>[26]principales_paises_p2!F89/1000000</f>
        <v>7.4184349999999997</v>
      </c>
      <c r="G20" s="77">
        <f>[26]principales_paises_p2!G89/1000000</f>
        <v>4.9989530000000002</v>
      </c>
      <c r="H20" s="79">
        <f>[26]principales_paises_p2!H89/1000000</f>
        <v>8.1052920000000004</v>
      </c>
      <c r="I20" s="77">
        <f t="shared" si="0"/>
        <v>62.139792072459969</v>
      </c>
      <c r="J20" s="77">
        <f t="shared" si="1"/>
        <v>162.13979207245995</v>
      </c>
      <c r="K20" s="77">
        <f t="shared" si="2"/>
        <v>-32.614453048385542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[26]principales_paises_p2!C90/1000000</f>
        <v>5.036321</v>
      </c>
      <c r="D21" s="77">
        <f>[26]principales_paises_p2!D90/1000000</f>
        <v>4.653092</v>
      </c>
      <c r="E21" s="77">
        <f>[26]principales_paises_p2!E90/1000000</f>
        <v>4.9246629999999998</v>
      </c>
      <c r="F21" s="77">
        <f>[26]principales_paises_p2!F90/1000000</f>
        <v>6.9038779999999997</v>
      </c>
      <c r="G21" s="77">
        <f>[26]principales_paises_p2!G90/1000000</f>
        <v>8.1814</v>
      </c>
      <c r="H21" s="79">
        <f>[26]principales_paises_p2!H90/1000000</f>
        <v>13.799014</v>
      </c>
      <c r="I21" s="77">
        <f t="shared" ref="I21" si="4">IF(OR(OR(H21=0,G21=0),H21=""),"",(H21/G21-1)*100)</f>
        <v>68.663236120957279</v>
      </c>
      <c r="J21" s="77">
        <f t="shared" ref="J21" si="5">IF(OR(OR(H21=0,G21=0),H21=""),"",H21/G21*100)</f>
        <v>168.66323612095729</v>
      </c>
      <c r="K21" s="77">
        <f t="shared" ref="K21" si="6">IF(OR(OR(H21=0,G21=0),H21=""),"",(G21/F21-1)*100)</f>
        <v>18.504411578536018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[26]principales_paises_p2!C91/1000000</f>
        <v>4.3470519999999997</v>
      </c>
      <c r="D22" s="77">
        <f>[26]principales_paises_p2!D91/1000000</f>
        <v>5.9067090000000002</v>
      </c>
      <c r="E22" s="77">
        <f>[26]principales_paises_p2!E91/1000000</f>
        <v>6.7523980000000003</v>
      </c>
      <c r="F22" s="77">
        <f>[26]principales_paises_p2!F91/1000000</f>
        <v>12.937333000000001</v>
      </c>
      <c r="G22" s="77">
        <f>[26]principales_paises_p2!G91/1000000</f>
        <v>8.2441089999999999</v>
      </c>
      <c r="H22" s="79">
        <f>[26]principales_paises_p2!H91/1000000</f>
        <v>12.257598</v>
      </c>
      <c r="I22" s="77">
        <f t="shared" ref="I22" si="7">IF(OR(OR(H22=0,G22=0),H22=""),"",(H22/G22-1)*100)</f>
        <v>48.683114209188652</v>
      </c>
      <c r="J22" s="77">
        <f t="shared" ref="J22" si="8">IF(OR(OR(H22=0,G22=0),H22=""),"",H22/G22*100)</f>
        <v>148.68311420918866</v>
      </c>
      <c r="K22" s="77">
        <f t="shared" ref="K22" si="9">IF(OR(OR(H22=0,G22=0),H22=""),"",(G22/F22-1)*100)</f>
        <v>-36.276595802241474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[26]principales_paises_p2!C92/1000000</f>
        <v>6.1246580000000002</v>
      </c>
      <c r="D23" s="77">
        <f>[26]principales_paises_p2!D92/1000000</f>
        <v>5.7634629999999998</v>
      </c>
      <c r="E23" s="77">
        <f>[26]principales_paises_p2!E92/1000000</f>
        <v>6.8934709999999999</v>
      </c>
      <c r="F23" s="77">
        <f>[26]principales_paises_p2!F92/1000000</f>
        <v>12.151840999999999</v>
      </c>
      <c r="G23" s="77">
        <f>[26]principales_paises_p2!G92/1000000</f>
        <v>7.5277640000000003</v>
      </c>
      <c r="H23" s="79">
        <f>[26]principales_paises_p2!H92/1000000</f>
        <v>10.598776000000001</v>
      </c>
      <c r="I23" s="77">
        <f t="shared" ref="I23:I24" si="10">IF(OR(OR(H23=0,G23=0),H23=""),"",(H23/G23-1)*100)</f>
        <v>40.795806032176365</v>
      </c>
      <c r="J23" s="77">
        <f t="shared" ref="J23:J24" si="11">IF(OR(OR(H23=0,G23=0),H23=""),"",H23/G23*100)</f>
        <v>140.79580603217636</v>
      </c>
      <c r="K23" s="77">
        <f t="shared" ref="K23:K24" si="12">IF(OR(OR(H23=0,G23=0),H23=""),"",(G23/F23-1)*100)</f>
        <v>-38.052481101423233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[26]principales_paises_p2!C93/1000000</f>
        <v>5.487889</v>
      </c>
      <c r="D24" s="77">
        <f>[26]principales_paises_p2!D93/1000000</f>
        <v>5.4590920000000001</v>
      </c>
      <c r="E24" s="77">
        <f>[26]principales_paises_p2!E93/1000000</f>
        <v>6.7272109999999996</v>
      </c>
      <c r="F24" s="77">
        <f>[26]principales_paises_p2!F93/1000000</f>
        <v>10.306513000000001</v>
      </c>
      <c r="G24" s="77">
        <f>[26]principales_paises_p2!G93/1000000</f>
        <v>9.6081029999999998</v>
      </c>
      <c r="H24" s="31">
        <f>[26]principales_paises_p2!H93/1000000</f>
        <v>12.026448</v>
      </c>
      <c r="I24" s="25">
        <f t="shared" si="10"/>
        <v>25.169848824476592</v>
      </c>
      <c r="J24" s="25">
        <f t="shared" si="11"/>
        <v>125.16984882447659</v>
      </c>
      <c r="K24" s="25">
        <f t="shared" si="12"/>
        <v>-6.7763946933361519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57.900472999999998</v>
      </c>
      <c r="D25" s="79">
        <f t="shared" si="13"/>
        <v>59.4099</v>
      </c>
      <c r="E25" s="79">
        <f t="shared" si="13"/>
        <v>64.163990999999996</v>
      </c>
      <c r="F25" s="79">
        <f t="shared" si="13"/>
        <v>94.839129</v>
      </c>
      <c r="G25" s="79">
        <f>SUM(G13:G24)</f>
        <v>90.526647999999994</v>
      </c>
      <c r="H25" s="107">
        <f>SUM(H13:H24)</f>
        <v>124.94609000000001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2.6069337982782992</v>
      </c>
      <c r="E26" s="79">
        <f>(E25/D25-1)*100</f>
        <v>8.002186504269492</v>
      </c>
      <c r="F26" s="79">
        <f>(F25/E25-1)*100</f>
        <v>47.807403376763148</v>
      </c>
      <c r="G26" s="79">
        <f>(G25/F25-1)*100</f>
        <v>-4.5471537386219669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57.900472999999998</v>
      </c>
      <c r="D28" s="76">
        <f t="shared" ref="D28:E28" si="14">SUMPRODUCT(D13:D24,$N$13:$N$24)</f>
        <v>59.4099</v>
      </c>
      <c r="E28" s="76">
        <f t="shared" si="14"/>
        <v>64.163990999999996</v>
      </c>
      <c r="F28" s="76">
        <f>SUMPRODUCT(F13:F24,$N$13:$N$24)</f>
        <v>94.839129</v>
      </c>
      <c r="G28" s="76">
        <f>SUMPRODUCT(G13:G24,$N$13:$N$24)</f>
        <v>90.526647999999994</v>
      </c>
      <c r="H28" s="72">
        <f>SUMPRODUCT(H13:H24,$N$13:$N$24)</f>
        <v>124.94609000000001</v>
      </c>
      <c r="I28" s="73">
        <f>IF(OR(OR(H28=0,G28=0),H28=""),"",(H28/G28-1)*100)</f>
        <v>38.021337098442018</v>
      </c>
      <c r="J28" s="31">
        <f>IF(OR(OR(H28=0,G28=0),H28=""),"",H28/G28*100)</f>
        <v>138.02133709844202</v>
      </c>
      <c r="K28" s="31">
        <f>IF(OR(OR(H28=0,G28=0),G28=""),"",(G28/F28-1)*100)</f>
        <v>-4.5471537386219669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2.6069337982782992</v>
      </c>
      <c r="E29" s="79">
        <f t="shared" ref="E29:H29" si="15">(E28/D28-1)*100</f>
        <v>8.002186504269492</v>
      </c>
      <c r="F29" s="79">
        <f t="shared" si="15"/>
        <v>47.807403376763148</v>
      </c>
      <c r="G29" s="79">
        <f t="shared" si="15"/>
        <v>-4.5471537386219669</v>
      </c>
      <c r="H29" s="31">
        <f t="shared" si="15"/>
        <v>38.021337098442018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[26]principales_paises_p2!C107/1000000</f>
        <v>8.7557419999999997</v>
      </c>
      <c r="D13" s="77">
        <f>[26]principales_paises_p2!D107/1000000</f>
        <v>11.91638</v>
      </c>
      <c r="E13" s="77">
        <f>[26]principales_paises_p2!E107/1000000</f>
        <v>12.508445</v>
      </c>
      <c r="F13" s="77">
        <f>[26]principales_paises_p2!F107/1000000</f>
        <v>10.084023</v>
      </c>
      <c r="G13" s="77">
        <f>[26]principales_paises_p2!G107/1000000</f>
        <v>17.658377999999999</v>
      </c>
      <c r="H13" s="79">
        <f>[26]principales_paises_p2!H107/1000000</f>
        <v>9.1393540000000009</v>
      </c>
      <c r="I13" s="77">
        <f t="shared" ref="I13:I20" si="0">IF(OR(OR(H13=0,G13=0),H13=""),"",(H13/G13-1)*100)</f>
        <v>-48.24352497154608</v>
      </c>
      <c r="J13" s="77">
        <f t="shared" ref="J13:J20" si="1">IF(OR(OR(H13=0,G13=0),H13=""),"",H13/G13*100)</f>
        <v>51.75647502845392</v>
      </c>
      <c r="K13" s="77">
        <f t="shared" ref="K13:K20" si="2">IF(OR(OR(H13=0,G13=0),H13=""),"",(G13/F13-1)*100)</f>
        <v>75.11243280583551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[26]principales_paises_p2!C108/1000000</f>
        <v>11.757395000000001</v>
      </c>
      <c r="D14" s="77">
        <f>[26]principales_paises_p2!D108/1000000</f>
        <v>14.524488</v>
      </c>
      <c r="E14" s="77">
        <f>[26]principales_paises_p2!E108/1000000</f>
        <v>16.959047999999999</v>
      </c>
      <c r="F14" s="77">
        <f>[26]principales_paises_p2!F108/1000000</f>
        <v>9.7123989999999996</v>
      </c>
      <c r="G14" s="77">
        <f>[26]principales_paises_p2!G108/1000000</f>
        <v>11.568826</v>
      </c>
      <c r="H14" s="79">
        <f>[26]principales_paises_p2!H108/1000000</f>
        <v>16.463820999999999</v>
      </c>
      <c r="I14" s="77">
        <f t="shared" si="0"/>
        <v>42.31194245639098</v>
      </c>
      <c r="J14" s="77">
        <f t="shared" si="1"/>
        <v>142.31194245639099</v>
      </c>
      <c r="K14" s="77">
        <f t="shared" si="2"/>
        <v>19.113990271610536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[26]principales_paises_p2!C109/1000000</f>
        <v>10.539097</v>
      </c>
      <c r="D15" s="77">
        <f>[26]principales_paises_p2!D109/1000000</f>
        <v>16.981100000000001</v>
      </c>
      <c r="E15" s="77">
        <f>[26]principales_paises_p2!E109/1000000</f>
        <v>15.559500999999999</v>
      </c>
      <c r="F15" s="77">
        <f>[26]principales_paises_p2!F109/1000000</f>
        <v>20.871106999999999</v>
      </c>
      <c r="G15" s="77">
        <f>[26]principales_paises_p2!G109/1000000</f>
        <v>11.074102999999999</v>
      </c>
      <c r="H15" s="79">
        <f>[26]principales_paises_p2!H109/1000000</f>
        <v>19.074096999999998</v>
      </c>
      <c r="I15" s="77">
        <f t="shared" si="0"/>
        <v>72.240559799741803</v>
      </c>
      <c r="J15" s="77">
        <f>IF(OR(OR(H15=0,G15=0),H15=""),"",H15/G15*100)</f>
        <v>172.24055979974179</v>
      </c>
      <c r="K15" s="77">
        <f t="shared" si="2"/>
        <v>-46.940509672055256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[26]principales_paises_p2!C110/1000000</f>
        <v>10.832753</v>
      </c>
      <c r="D16" s="77">
        <f>[26]principales_paises_p2!D110/1000000</f>
        <v>13.302068</v>
      </c>
      <c r="E16" s="77">
        <f>[26]principales_paises_p2!E110/1000000</f>
        <v>19.382421999999998</v>
      </c>
      <c r="F16" s="77">
        <f>[26]principales_paises_p2!F110/1000000</f>
        <v>16.424040000000002</v>
      </c>
      <c r="G16" s="77">
        <f>[26]principales_paises_p2!G110/1000000</f>
        <v>13.188537</v>
      </c>
      <c r="H16" s="79">
        <f>[26]principales_paises_p2!H110/1000000</f>
        <v>19.415326</v>
      </c>
      <c r="I16" s="77">
        <f t="shared" si="0"/>
        <v>47.213644697664336</v>
      </c>
      <c r="J16" s="77">
        <f t="shared" si="1"/>
        <v>147.21364469766434</v>
      </c>
      <c r="K16" s="77">
        <f t="shared" si="2"/>
        <v>-19.699799805650752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[26]principales_paises_p2!C111/1000000</f>
        <v>9.2173060000000007</v>
      </c>
      <c r="D17" s="77">
        <f>[26]principales_paises_p2!D111/1000000</f>
        <v>14.831696000000001</v>
      </c>
      <c r="E17" s="77">
        <f>[26]principales_paises_p2!E111/1000000</f>
        <v>12.775218000000001</v>
      </c>
      <c r="F17" s="77">
        <f>[26]principales_paises_p2!F111/1000000</f>
        <v>13.045636999999999</v>
      </c>
      <c r="G17" s="77">
        <f>[26]principales_paises_p2!G111/1000000</f>
        <v>11.732499000000001</v>
      </c>
      <c r="H17" s="79">
        <f>[26]principales_paises_p2!H111/1000000</f>
        <v>20.5884</v>
      </c>
      <c r="I17" s="77">
        <f t="shared" si="0"/>
        <v>75.481796333415403</v>
      </c>
      <c r="J17" s="77">
        <f t="shared" si="1"/>
        <v>175.48179633341542</v>
      </c>
      <c r="K17" s="77">
        <f t="shared" si="2"/>
        <v>-10.065725422223526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[26]principales_paises_p2!C112/1000000</f>
        <v>13.355444</v>
      </c>
      <c r="D18" s="77">
        <f>[26]principales_paises_p2!D112/1000000</f>
        <v>17.5442</v>
      </c>
      <c r="E18" s="77">
        <f>[26]principales_paises_p2!E112/1000000</f>
        <v>13.048442</v>
      </c>
      <c r="F18" s="77">
        <f>[26]principales_paises_p2!F112/1000000</f>
        <v>18.350307000000001</v>
      </c>
      <c r="G18" s="77">
        <f>[26]principales_paises_p2!G112/1000000</f>
        <v>12.750400000000001</v>
      </c>
      <c r="H18" s="79">
        <f>[26]principales_paises_p2!H112/1000000</f>
        <v>16.821864999999999</v>
      </c>
      <c r="I18" s="77">
        <f t="shared" si="0"/>
        <v>31.932057033504812</v>
      </c>
      <c r="J18" s="77">
        <f t="shared" si="1"/>
        <v>131.9320570335048</v>
      </c>
      <c r="K18" s="77">
        <f t="shared" si="2"/>
        <v>-30.516693807901962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[26]principales_paises_p2!C113/1000000</f>
        <v>15.859299999999999</v>
      </c>
      <c r="D19" s="77">
        <f>[26]principales_paises_p2!D113/1000000</f>
        <v>17.245663</v>
      </c>
      <c r="E19" s="77">
        <f>[26]principales_paises_p2!E113/1000000</f>
        <v>14.528225000000001</v>
      </c>
      <c r="F19" s="77">
        <f>[26]principales_paises_p2!F113/1000000</f>
        <v>24.340024</v>
      </c>
      <c r="G19" s="77">
        <f>[26]principales_paises_p2!G113/1000000</f>
        <v>11.754580000000001</v>
      </c>
      <c r="H19" s="79">
        <f>[26]principales_paises_p2!H113/1000000</f>
        <v>14.662982</v>
      </c>
      <c r="I19" s="77">
        <f>IF(OR(OR(H19=0,G19=0),H19=""),"",(H19/G19-1)*100)</f>
        <v>24.74271305312481</v>
      </c>
      <c r="J19" s="77">
        <f t="shared" si="1"/>
        <v>124.74271305312482</v>
      </c>
      <c r="K19" s="77">
        <f t="shared" si="2"/>
        <v>-51.706785498650291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[26]principales_paises_p2!C114/1000000</f>
        <v>16.600784000000001</v>
      </c>
      <c r="D20" s="77">
        <f>[26]principales_paises_p2!D114/1000000</f>
        <v>18.409244999999999</v>
      </c>
      <c r="E20" s="77">
        <f>[26]principales_paises_p2!E114/1000000</f>
        <v>16.410871</v>
      </c>
      <c r="F20" s="77">
        <f>[26]principales_paises_p2!F114/1000000</f>
        <v>22.122653</v>
      </c>
      <c r="G20" s="77">
        <f>[26]principales_paises_p2!G114/1000000</f>
        <v>10.93366</v>
      </c>
      <c r="H20" s="79">
        <f>[26]principales_paises_p2!H114/1000000</f>
        <v>17.932511000000002</v>
      </c>
      <c r="I20" s="77">
        <f t="shared" si="0"/>
        <v>64.011968544842276</v>
      </c>
      <c r="J20" s="77">
        <f t="shared" si="1"/>
        <v>164.01196854484229</v>
      </c>
      <c r="K20" s="77">
        <f t="shared" si="2"/>
        <v>-50.577084945462914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[26]principales_paises_p2!C115/1000000</f>
        <v>16.479293999999999</v>
      </c>
      <c r="D21" s="77">
        <f>[26]principales_paises_p2!D115/1000000</f>
        <v>15.315001000000001</v>
      </c>
      <c r="E21" s="77">
        <f>[26]principales_paises_p2!E115/1000000</f>
        <v>13.856593999999999</v>
      </c>
      <c r="F21" s="77">
        <f>[26]principales_paises_p2!F115/1000000</f>
        <v>19.205293000000001</v>
      </c>
      <c r="G21" s="77">
        <f>[26]principales_paises_p2!G115/1000000</f>
        <v>13.085792</v>
      </c>
      <c r="H21" s="79">
        <f>[26]principales_paises_p2!H115/1000000</f>
        <v>26.299855000000001</v>
      </c>
      <c r="I21" s="77">
        <f t="shared" ref="I21" si="4">IF(OR(OR(H21=0,G21=0),H21=""),"",(H21/G21-1)*100)</f>
        <v>100.98023107810366</v>
      </c>
      <c r="J21" s="77">
        <f t="shared" ref="J21" si="5">IF(OR(OR(H21=0,G21=0),H21=""),"",H21/G21*100)</f>
        <v>200.98023107810366</v>
      </c>
      <c r="K21" s="77">
        <f t="shared" ref="K21" si="6">IF(OR(OR(H21=0,G21=0),H21=""),"",(G21/F21-1)*100)</f>
        <v>-31.863616972675189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[26]principales_paises_p2!C116/1000000</f>
        <v>14.702351</v>
      </c>
      <c r="D22" s="77">
        <f>[26]principales_paises_p2!D116/1000000</f>
        <v>18.100663999999998</v>
      </c>
      <c r="E22" s="77">
        <f>[26]principales_paises_p2!E116/1000000</f>
        <v>11.532080000000001</v>
      </c>
      <c r="F22" s="77">
        <f>[26]principales_paises_p2!F116/1000000</f>
        <v>23.554389</v>
      </c>
      <c r="G22" s="77">
        <f>[26]principales_paises_p2!G116/1000000</f>
        <v>10.977461</v>
      </c>
      <c r="H22" s="79">
        <f>[26]principales_paises_p2!H116/1000000</f>
        <v>23.100199</v>
      </c>
      <c r="I22" s="77">
        <f t="shared" ref="I22" si="7">IF(OR(OR(H22=0,G22=0),H22=""),"",(H22/G22-1)*100)</f>
        <v>110.43298627979641</v>
      </c>
      <c r="J22" s="77">
        <f t="shared" ref="J22" si="8">IF(OR(OR(H22=0,G22=0),H22=""),"",H22/G22*100)</f>
        <v>210.43298627979641</v>
      </c>
      <c r="K22" s="77">
        <f t="shared" ref="K22" si="9">IF(OR(OR(H22=0,G22=0),H22=""),"",(G22/F22-1)*100)</f>
        <v>-53.395263192774813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[26]principales_paises_p2!C117/1000000</f>
        <v>14.865277000000001</v>
      </c>
      <c r="D23" s="77">
        <f>[26]principales_paises_p2!D117/1000000</f>
        <v>14.877280000000001</v>
      </c>
      <c r="E23" s="77">
        <f>[26]principales_paises_p2!E117/1000000</f>
        <v>12.198503000000001</v>
      </c>
      <c r="F23" s="77">
        <f>[26]principales_paises_p2!F117/1000000</f>
        <v>19.687667000000001</v>
      </c>
      <c r="G23" s="77">
        <f>[26]principales_paises_p2!G117/1000000</f>
        <v>14.857658000000001</v>
      </c>
      <c r="H23" s="79">
        <f>[26]principales_paises_p2!H117/1000000</f>
        <v>12.980644</v>
      </c>
      <c r="I23" s="77">
        <f t="shared" ref="I23:I24" si="10">IF(OR(OR(H23=0,G23=0),H23=""),"",(H23/G23-1)*100)</f>
        <v>-12.633310041192235</v>
      </c>
      <c r="J23" s="77">
        <f t="shared" ref="J23:J24" si="11">IF(OR(OR(H23=0,G23=0),H23=""),"",H23/G23*100)</f>
        <v>87.366689958807768</v>
      </c>
      <c r="K23" s="77">
        <f t="shared" ref="K23:K24" si="12">IF(OR(OR(H23=0,G23=0),H23=""),"",(G23/F23-1)*100)</f>
        <v>-24.533170944022974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[26]principales_paises_p2!C118/1000000</f>
        <v>13.404548999999999</v>
      </c>
      <c r="D24" s="77">
        <f>[26]principales_paises_p2!D118/1000000</f>
        <v>13.080959</v>
      </c>
      <c r="E24" s="77">
        <f>[26]principales_paises_p2!E118/1000000</f>
        <v>14.869692000000001</v>
      </c>
      <c r="F24" s="77">
        <f>[26]principales_paises_p2!F118/1000000</f>
        <v>25.501836000000001</v>
      </c>
      <c r="G24" s="77">
        <f>[26]principales_paises_p2!G118/1000000</f>
        <v>14.33845</v>
      </c>
      <c r="H24" s="31">
        <f>[26]principales_paises_p2!H118/1000000</f>
        <v>17.956002999999999</v>
      </c>
      <c r="I24" s="25">
        <f t="shared" si="10"/>
        <v>25.229735431654031</v>
      </c>
      <c r="J24" s="25">
        <f t="shared" si="11"/>
        <v>125.22973543165403</v>
      </c>
      <c r="K24" s="25">
        <f t="shared" si="12"/>
        <v>-43.774832525783637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156.369292</v>
      </c>
      <c r="D25" s="79">
        <f t="shared" si="13"/>
        <v>186.12874400000001</v>
      </c>
      <c r="E25" s="79">
        <f t="shared" si="13"/>
        <v>173.62904099999997</v>
      </c>
      <c r="F25" s="79">
        <f t="shared" si="13"/>
        <v>222.89937500000002</v>
      </c>
      <c r="G25" s="79">
        <f>SUM(G13:G24)</f>
        <v>153.92034400000003</v>
      </c>
      <c r="H25" s="107">
        <f>SUM(H13:H24)</f>
        <v>214.43505700000006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19.031519308791147</v>
      </c>
      <c r="E26" s="79">
        <f>(E25/D25-1)*100</f>
        <v>-6.715622064263238</v>
      </c>
      <c r="F26" s="79">
        <f>(F25/E25-1)*100</f>
        <v>28.376781738948885</v>
      </c>
      <c r="G26" s="79">
        <f>(G25/F25-1)*100</f>
        <v>-30.94626487849057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156.369292</v>
      </c>
      <c r="D28" s="76">
        <f t="shared" ref="D28:E28" si="14">SUMPRODUCT(D13:D24,$N$13:$N$24)</f>
        <v>186.12874400000001</v>
      </c>
      <c r="E28" s="76">
        <f t="shared" si="14"/>
        <v>173.62904099999997</v>
      </c>
      <c r="F28" s="76">
        <f>SUMPRODUCT(F13:F24,$N$13:$N$24)</f>
        <v>222.89937500000002</v>
      </c>
      <c r="G28" s="76">
        <f>SUMPRODUCT(G13:G24,$N$13:$N$24)</f>
        <v>153.92034400000003</v>
      </c>
      <c r="H28" s="72">
        <f>SUMPRODUCT(H13:H24,$N$13:$N$24)</f>
        <v>214.43505700000006</v>
      </c>
      <c r="I28" s="73">
        <f>IF(OR(OR(H28=0,G28=0),H28=""),"",(H28/G28-1)*100)</f>
        <v>39.315604050365181</v>
      </c>
      <c r="J28" s="31">
        <f>IF(OR(OR(H28=0,G28=0),H28=""),"",H28/G28*100)</f>
        <v>139.31560405036518</v>
      </c>
      <c r="K28" s="31">
        <f>IF(OR(OR(H28=0,G28=0),G28=""),"",(G28/F28-1)*100)</f>
        <v>-30.94626487849057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19.031519308791147</v>
      </c>
      <c r="E29" s="79">
        <f t="shared" ref="E29:H29" si="15">(E28/D28-1)*100</f>
        <v>-6.715622064263238</v>
      </c>
      <c r="F29" s="79">
        <f t="shared" si="15"/>
        <v>28.376781738948885</v>
      </c>
      <c r="G29" s="79">
        <f t="shared" si="15"/>
        <v>-30.94626487849057</v>
      </c>
      <c r="H29" s="31">
        <f t="shared" si="15"/>
        <v>39.315604050365181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75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5">
        <v>2005</v>
      </c>
      <c r="D11" s="105">
        <v>2006</v>
      </c>
      <c r="E11" s="105">
        <v>2007</v>
      </c>
      <c r="F11" s="105">
        <v>2008</v>
      </c>
      <c r="G11" s="105">
        <v>2009</v>
      </c>
      <c r="H11" s="10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[26]principales_paises_p2!C132/1000000</f>
        <v>2.0127459999999999</v>
      </c>
      <c r="D13" s="77">
        <f>[26]principales_paises_p2!D132/1000000</f>
        <v>2.0003579999999999</v>
      </c>
      <c r="E13" s="77">
        <f>[26]principales_paises_p2!E132/1000000</f>
        <v>2.1534010000000001</v>
      </c>
      <c r="F13" s="77">
        <f>[26]principales_paises_p2!F132/1000000</f>
        <v>3.1826759999999998</v>
      </c>
      <c r="G13" s="77">
        <f>[26]principales_paises_p2!G132/1000000</f>
        <v>2.1376369999999998</v>
      </c>
      <c r="H13" s="79">
        <f>[26]principales_paises_p2!H132/1000000</f>
        <v>2.2166960000000002</v>
      </c>
      <c r="I13" s="77">
        <f t="shared" ref="I13:I20" si="0">IF(OR(OR(H13=0,G13=0),H13=""),"",(H13/G13-1)*100)</f>
        <v>3.6984296211190371</v>
      </c>
      <c r="J13" s="77">
        <f t="shared" ref="J13:J20" si="1">IF(OR(OR(H13=0,G13=0),H13=""),"",H13/G13*100)</f>
        <v>103.69842962111903</v>
      </c>
      <c r="K13" s="77">
        <f t="shared" ref="K13:K20" si="2">IF(OR(OR(H13=0,G13=0),H13=""),"",(G13/F13-1)*100)</f>
        <v>-32.835230479005716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[26]principales_paises_p2!C133/1000000</f>
        <v>2.202134</v>
      </c>
      <c r="D14" s="77">
        <f>[26]principales_paises_p2!D133/1000000</f>
        <v>2.2917869999999998</v>
      </c>
      <c r="E14" s="77">
        <f>[26]principales_paises_p2!E133/1000000</f>
        <v>2.7901289999999999</v>
      </c>
      <c r="F14" s="77">
        <f>[26]principales_paises_p2!F133/1000000</f>
        <v>3.29176</v>
      </c>
      <c r="G14" s="77">
        <f>[26]principales_paises_p2!G133/1000000</f>
        <v>3.6799689999999998</v>
      </c>
      <c r="H14" s="79">
        <f>[26]principales_paises_p2!H133/1000000</f>
        <v>2.733174</v>
      </c>
      <c r="I14" s="77">
        <f t="shared" si="0"/>
        <v>-25.72834173331351</v>
      </c>
      <c r="J14" s="77">
        <f t="shared" si="1"/>
        <v>74.271658266686487</v>
      </c>
      <c r="K14" s="77">
        <f t="shared" si="2"/>
        <v>11.793356745327731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[26]principales_paises_p2!C134/1000000</f>
        <v>1.8609</v>
      </c>
      <c r="D15" s="77">
        <f>[26]principales_paises_p2!D134/1000000</f>
        <v>3.3046340000000001</v>
      </c>
      <c r="E15" s="77">
        <f>[26]principales_paises_p2!E134/1000000</f>
        <v>2.675478</v>
      </c>
      <c r="F15" s="77">
        <f>[26]principales_paises_p2!F134/1000000</f>
        <v>3.1874380000000002</v>
      </c>
      <c r="G15" s="77">
        <f>[26]principales_paises_p2!G134/1000000</f>
        <v>5.3433529999999996</v>
      </c>
      <c r="H15" s="79">
        <f>[26]principales_paises_p2!H134/1000000</f>
        <v>3.1435770000000001</v>
      </c>
      <c r="I15" s="77">
        <f t="shared" si="0"/>
        <v>-41.168457333812682</v>
      </c>
      <c r="J15" s="77">
        <f>IF(OR(OR(H15=0,G15=0),H15=""),"",H15/G15*100)</f>
        <v>58.831542666187318</v>
      </c>
      <c r="K15" s="77">
        <f t="shared" si="2"/>
        <v>67.637864642386745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[26]principales_paises_p2!C135/1000000</f>
        <v>2.499568</v>
      </c>
      <c r="D16" s="77">
        <f>[26]principales_paises_p2!D135/1000000</f>
        <v>2.1371850000000001</v>
      </c>
      <c r="E16" s="77">
        <f>[26]principales_paises_p2!E135/1000000</f>
        <v>2.479457</v>
      </c>
      <c r="F16" s="77">
        <f>[26]principales_paises_p2!F135/1000000</f>
        <v>3.5460039999999999</v>
      </c>
      <c r="G16" s="77">
        <f>[26]principales_paises_p2!G135/1000000</f>
        <v>5.9828749999999999</v>
      </c>
      <c r="H16" s="79">
        <f>[26]principales_paises_p2!H135/1000000</f>
        <v>4.0305479999999996</v>
      </c>
      <c r="I16" s="77">
        <f t="shared" si="0"/>
        <v>-32.631920272444269</v>
      </c>
      <c r="J16" s="77">
        <f t="shared" si="1"/>
        <v>67.368079727555724</v>
      </c>
      <c r="K16" s="77">
        <f t="shared" si="2"/>
        <v>68.721608887074012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[26]principales_paises_p2!C136/1000000</f>
        <v>3.1710820000000002</v>
      </c>
      <c r="D17" s="77">
        <f>[26]principales_paises_p2!D136/1000000</f>
        <v>5.7928660000000001</v>
      </c>
      <c r="E17" s="77">
        <f>[26]principales_paises_p2!E136/1000000</f>
        <v>2.9654029999999998</v>
      </c>
      <c r="F17" s="77">
        <f>[26]principales_paises_p2!F136/1000000</f>
        <v>2.8887860000000001</v>
      </c>
      <c r="G17" s="77">
        <f>[26]principales_paises_p2!G136/1000000</f>
        <v>6.2827390000000003</v>
      </c>
      <c r="H17" s="79">
        <f>[26]principales_paises_p2!H136/1000000</f>
        <v>4.3894609999999998</v>
      </c>
      <c r="I17" s="77">
        <f t="shared" si="0"/>
        <v>-30.134595755131642</v>
      </c>
      <c r="J17" s="77">
        <f t="shared" si="1"/>
        <v>69.865404244868358</v>
      </c>
      <c r="K17" s="77">
        <f t="shared" si="2"/>
        <v>117.48717281238554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[26]principales_paises_p2!C137/1000000</f>
        <v>2.5347650000000002</v>
      </c>
      <c r="D18" s="77">
        <f>[26]principales_paises_p2!D137/1000000</f>
        <v>4.4129620000000003</v>
      </c>
      <c r="E18" s="77">
        <f>[26]principales_paises_p2!E137/1000000</f>
        <v>3.1202890000000001</v>
      </c>
      <c r="F18" s="77">
        <f>[26]principales_paises_p2!F137/1000000</f>
        <v>6.5528570000000004</v>
      </c>
      <c r="G18" s="77">
        <f>[26]principales_paises_p2!G137/1000000</f>
        <v>4.3892939999999996</v>
      </c>
      <c r="H18" s="79">
        <f>[26]principales_paises_p2!H137/1000000</f>
        <v>2.9887169999999998</v>
      </c>
      <c r="I18" s="77">
        <f t="shared" si="0"/>
        <v>-31.908935696720242</v>
      </c>
      <c r="J18" s="77">
        <f t="shared" si="1"/>
        <v>68.091064303279751</v>
      </c>
      <c r="K18" s="77">
        <f t="shared" si="2"/>
        <v>-33.017094680991832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[26]principales_paises_p2!C138/1000000</f>
        <v>2.1970540000000001</v>
      </c>
      <c r="D19" s="77">
        <f>[26]principales_paises_p2!D138/1000000</f>
        <v>2.9263669999999999</v>
      </c>
      <c r="E19" s="77">
        <f>[26]principales_paises_p2!E138/1000000</f>
        <v>2.842921</v>
      </c>
      <c r="F19" s="77">
        <f>[26]principales_paises_p2!F138/1000000</f>
        <v>3.8971</v>
      </c>
      <c r="G19" s="77">
        <f>[26]principales_paises_p2!G138/1000000</f>
        <v>3.877618</v>
      </c>
      <c r="H19" s="79">
        <f>[26]principales_paises_p2!H138/1000000</f>
        <v>3.5829870000000001</v>
      </c>
      <c r="I19" s="77">
        <f>IF(OR(OR(H19=0,G19=0),H19=""),"",(H19/G19-1)*100)</f>
        <v>-7.5982471713304411</v>
      </c>
      <c r="J19" s="77">
        <f t="shared" si="1"/>
        <v>92.401752828669558</v>
      </c>
      <c r="K19" s="77">
        <f t="shared" si="2"/>
        <v>-0.49991018962818323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[26]principales_paises_p2!C139/1000000</f>
        <v>2.4986549999999998</v>
      </c>
      <c r="D20" s="77">
        <f>[26]principales_paises_p2!D139/1000000</f>
        <v>4.0869479999999996</v>
      </c>
      <c r="E20" s="77">
        <f>[26]principales_paises_p2!E139/1000000</f>
        <v>1.9684360000000001</v>
      </c>
      <c r="F20" s="77">
        <f>[26]principales_paises_p2!F139/1000000</f>
        <v>4.4543460000000001</v>
      </c>
      <c r="G20" s="77">
        <f>[26]principales_paises_p2!G139/1000000</f>
        <v>4.4848220000000003</v>
      </c>
      <c r="H20" s="79">
        <f>[26]principales_paises_p2!H139/1000000</f>
        <v>4.1140540000000003</v>
      </c>
      <c r="I20" s="77">
        <f t="shared" si="0"/>
        <v>-8.2671731453333059</v>
      </c>
      <c r="J20" s="77">
        <f t="shared" si="1"/>
        <v>91.732826854666698</v>
      </c>
      <c r="K20" s="77">
        <f t="shared" si="2"/>
        <v>0.68418573680626427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[26]principales_paises_p2!C140/1000000</f>
        <v>1.7116640000000001</v>
      </c>
      <c r="D21" s="77">
        <f>[26]principales_paises_p2!D140/1000000</f>
        <v>3.728329</v>
      </c>
      <c r="E21" s="77">
        <f>[26]principales_paises_p2!E140/1000000</f>
        <v>2.358374</v>
      </c>
      <c r="F21" s="77">
        <f>[26]principales_paises_p2!F140/1000000</f>
        <v>3.4741149999999998</v>
      </c>
      <c r="G21" s="77">
        <f>[26]principales_paises_p2!G140/1000000</f>
        <v>4.6796610000000003</v>
      </c>
      <c r="H21" s="79">
        <f>[26]principales_paises_p2!H140/1000000</f>
        <v>4.4731870000000002</v>
      </c>
      <c r="I21" s="77">
        <f t="shared" ref="I21" si="4">IF(OR(OR(H21=0,G21=0),H21=""),"",(H21/G21-1)*100)</f>
        <v>-4.4121572054044105</v>
      </c>
      <c r="J21" s="77">
        <f t="shared" ref="J21" si="5">IF(OR(OR(H21=0,G21=0),H21=""),"",H21/G21*100)</f>
        <v>95.587842794595588</v>
      </c>
      <c r="K21" s="77">
        <f t="shared" ref="K21" si="6">IF(OR(OR(H21=0,G21=0),H21=""),"",(G21/F21-1)*100)</f>
        <v>34.700808695164099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[26]principales_paises_p2!C141/1000000</f>
        <v>1.963571</v>
      </c>
      <c r="D22" s="77">
        <f>[26]principales_paises_p2!D141/1000000</f>
        <v>4.7047460000000001</v>
      </c>
      <c r="E22" s="77">
        <f>[26]principales_paises_p2!E141/1000000</f>
        <v>2.5440260000000001</v>
      </c>
      <c r="F22" s="77">
        <f>[26]principales_paises_p2!F141/1000000</f>
        <v>4.1632749999999996</v>
      </c>
      <c r="G22" s="77">
        <f>[26]principales_paises_p2!G141/1000000</f>
        <v>6.0576910000000002</v>
      </c>
      <c r="H22" s="79">
        <f>[26]principales_paises_p2!H141/1000000</f>
        <v>21.938013999999999</v>
      </c>
      <c r="I22" s="77">
        <f t="shared" ref="I22" si="7">IF(OR(OR(H22=0,G22=0),H22=""),"",(H22/G22-1)*100)</f>
        <v>262.1514204009415</v>
      </c>
      <c r="J22" s="77">
        <f t="shared" ref="J22" si="8">IF(OR(OR(H22=0,G22=0),H22=""),"",H22/G22*100)</f>
        <v>362.1514204009415</v>
      </c>
      <c r="K22" s="77">
        <f t="shared" ref="K22" si="9">IF(OR(OR(H22=0,G22=0),H22=""),"",(G22/F22-1)*100)</f>
        <v>45.503023461097357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[26]principales_paises_p2!C142/1000000</f>
        <v>2.479994</v>
      </c>
      <c r="D23" s="77">
        <f>[26]principales_paises_p2!D142/1000000</f>
        <v>3.3331710000000001</v>
      </c>
      <c r="E23" s="77">
        <f>[26]principales_paises_p2!E142/1000000</f>
        <v>3.2298110000000002</v>
      </c>
      <c r="F23" s="77">
        <f>[26]principales_paises_p2!F142/1000000</f>
        <v>3.420258</v>
      </c>
      <c r="G23" s="77">
        <f>[26]principales_paises_p2!G142/1000000</f>
        <v>4.2691569999999999</v>
      </c>
      <c r="H23" s="79">
        <f>[26]principales_paises_p2!H142/1000000</f>
        <v>4.3927930000000002</v>
      </c>
      <c r="I23" s="77">
        <f t="shared" ref="I23:I24" si="10">IF(OR(OR(H23=0,G23=0),H23=""),"",(H23/G23-1)*100)</f>
        <v>2.8960284196622554</v>
      </c>
      <c r="J23" s="77">
        <f t="shared" ref="J23:J24" si="11">IF(OR(OR(H23=0,G23=0),H23=""),"",H23/G23*100)</f>
        <v>102.89602841966226</v>
      </c>
      <c r="K23" s="77">
        <f t="shared" ref="K23:K24" si="12">IF(OR(OR(H23=0,G23=0),H23=""),"",(G23/F23-1)*100)</f>
        <v>24.819735821098867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[26]principales_paises_p2!C143/1000000</f>
        <v>1.7649589999999999</v>
      </c>
      <c r="D24" s="77">
        <f>[26]principales_paises_p2!D143/1000000</f>
        <v>1.628895</v>
      </c>
      <c r="E24" s="77">
        <f>[26]principales_paises_p2!E143/1000000</f>
        <v>2.6200450000000002</v>
      </c>
      <c r="F24" s="77">
        <f>[26]principales_paises_p2!F143/1000000</f>
        <v>2.2077179999999998</v>
      </c>
      <c r="G24" s="77">
        <f>[26]principales_paises_p2!G143/1000000</f>
        <v>4.000203</v>
      </c>
      <c r="H24" s="31">
        <f>[26]principales_paises_p2!H143/1000000</f>
        <v>3.2732929999999998</v>
      </c>
      <c r="I24" s="25">
        <f t="shared" si="10"/>
        <v>-18.17182777974018</v>
      </c>
      <c r="J24" s="25">
        <f t="shared" si="11"/>
        <v>81.828172220259816</v>
      </c>
      <c r="K24" s="25">
        <f t="shared" si="12"/>
        <v>81.191755468769117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26.897092000000001</v>
      </c>
      <c r="D25" s="79">
        <f t="shared" si="13"/>
        <v>40.348247999999998</v>
      </c>
      <c r="E25" s="79">
        <f t="shared" si="13"/>
        <v>31.747770000000006</v>
      </c>
      <c r="F25" s="79">
        <f t="shared" si="13"/>
        <v>44.266332999999996</v>
      </c>
      <c r="G25" s="79">
        <f>SUM(G13:G24)</f>
        <v>55.185018999999997</v>
      </c>
      <c r="H25" s="107">
        <f>SUM(H13:H24)</f>
        <v>61.276501000000003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50.009703651234851</v>
      </c>
      <c r="E26" s="79">
        <f>(E25/D25-1)*100</f>
        <v>-21.315616975487984</v>
      </c>
      <c r="F26" s="79">
        <f>(F25/E25-1)*100</f>
        <v>39.431314388380635</v>
      </c>
      <c r="G26" s="79">
        <f>(G25/F25-1)*100</f>
        <v>24.665892248178768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26.897092000000001</v>
      </c>
      <c r="D28" s="76">
        <f t="shared" ref="D28:E28" si="14">SUMPRODUCT(D13:D24,$N$13:$N$24)</f>
        <v>40.348247999999998</v>
      </c>
      <c r="E28" s="76">
        <f t="shared" si="14"/>
        <v>31.747770000000006</v>
      </c>
      <c r="F28" s="76">
        <f>SUMPRODUCT(F13:F24,$N$13:$N$24)</f>
        <v>44.266332999999996</v>
      </c>
      <c r="G28" s="76">
        <f>SUMPRODUCT(G13:G24,$N$13:$N$24)</f>
        <v>55.185018999999997</v>
      </c>
      <c r="H28" s="72">
        <f>SUMPRODUCT(H13:H24,$N$13:$N$24)</f>
        <v>61.276501000000003</v>
      </c>
      <c r="I28" s="73">
        <f>IF(OR(OR(H28=0,G28=0),H28=""),"",(H28/G28-1)*100)</f>
        <v>11.038289213962237</v>
      </c>
      <c r="J28" s="31">
        <f>IF(OR(OR(H28=0,G28=0),H28=""),"",H28/G28*100)</f>
        <v>111.03828921396224</v>
      </c>
      <c r="K28" s="31">
        <f>IF(OR(OR(H28=0,G28=0),G28=""),"",(G28/F28-1)*100)</f>
        <v>24.665892248178768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50.009703651234851</v>
      </c>
      <c r="E29" s="79">
        <f t="shared" ref="E29:H29" si="15">(E28/D28-1)*100</f>
        <v>-21.315616975487984</v>
      </c>
      <c r="F29" s="79">
        <f t="shared" si="15"/>
        <v>39.431314388380635</v>
      </c>
      <c r="G29" s="79">
        <f t="shared" si="15"/>
        <v>24.665892248178768</v>
      </c>
      <c r="H29" s="31">
        <f t="shared" si="15"/>
        <v>11.038289213962237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64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[27]principales_paises_p3!C7/1000000</f>
        <v>28.766113000000001</v>
      </c>
      <c r="D13" s="77">
        <f>[27]principales_paises_p3!D7/1000000</f>
        <v>38.116500000000002</v>
      </c>
      <c r="E13" s="77">
        <f>[27]principales_paises_p3!E7/1000000</f>
        <v>57.265261000000002</v>
      </c>
      <c r="F13" s="77">
        <f>[27]principales_paises_p3!F7/1000000</f>
        <v>92.264145999999997</v>
      </c>
      <c r="G13" s="77">
        <f>[27]principales_paises_p3!G7/1000000</f>
        <v>73.281199999999998</v>
      </c>
      <c r="H13" s="79">
        <f>[27]principales_paises_p3!H7/1000000</f>
        <v>21.263334</v>
      </c>
      <c r="I13" s="77">
        <f t="shared" ref="I13:I20" si="0">IF(OR(OR(H13=0,G13=0),H13=""),"",(H13/G13-1)*100)</f>
        <v>-70.983916748088177</v>
      </c>
      <c r="J13" s="77">
        <f t="shared" ref="J13:J20" si="1">IF(OR(OR(H13=0,G13=0),H13=""),"",H13/G13*100)</f>
        <v>29.016083251911816</v>
      </c>
      <c r="K13" s="77">
        <f t="shared" ref="K13:K22" si="2">IF(OR(OR(H13=0,G13=0),H13=""),"",(G13/F13-1)*100)</f>
        <v>-20.574564251643324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[27]principales_paises_p3!C8/1000000</f>
        <v>25.765599999999999</v>
      </c>
      <c r="D14" s="77">
        <f>[27]principales_paises_p3!D8/1000000</f>
        <v>52.660128999999998</v>
      </c>
      <c r="E14" s="77">
        <f>[27]principales_paises_p3!E8/1000000</f>
        <v>72.405430999999993</v>
      </c>
      <c r="F14" s="77">
        <f>[27]principales_paises_p3!F8/1000000</f>
        <v>118.603459</v>
      </c>
      <c r="G14" s="77">
        <f>[27]principales_paises_p3!G8/1000000</f>
        <v>94.003271999999996</v>
      </c>
      <c r="H14" s="79">
        <f>[27]principales_paises_p3!H8/1000000</f>
        <v>42.855172000000003</v>
      </c>
      <c r="I14" s="77">
        <f t="shared" si="0"/>
        <v>-54.410978375305909</v>
      </c>
      <c r="J14" s="77">
        <f t="shared" si="1"/>
        <v>45.589021624694091</v>
      </c>
      <c r="K14" s="77">
        <f t="shared" si="2"/>
        <v>-20.74154262229402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[27]principales_paises_p3!C9/1000000</f>
        <v>36.668964000000003</v>
      </c>
      <c r="D15" s="77">
        <f>[27]principales_paises_p3!D9/1000000</f>
        <v>64.177351000000002</v>
      </c>
      <c r="E15" s="77">
        <f>[27]principales_paises_p3!E9/1000000</f>
        <v>93.527496999999997</v>
      </c>
      <c r="F15" s="77">
        <f>[27]principales_paises_p3!F9/1000000</f>
        <v>85.772116999999994</v>
      </c>
      <c r="G15" s="77">
        <f>[27]principales_paises_p3!G9/1000000</f>
        <v>89.293678999999997</v>
      </c>
      <c r="H15" s="79">
        <f>[27]principales_paises_p3!H9/1000000</f>
        <v>44.252465999999998</v>
      </c>
      <c r="I15" s="77">
        <f t="shared" si="0"/>
        <v>-50.4416589219042</v>
      </c>
      <c r="J15" s="77">
        <f>IF(OR(OR(H15=0,G15=0),H15=""),"",H15/G15*100)</f>
        <v>49.558341078095793</v>
      </c>
      <c r="K15" s="77">
        <f t="shared" si="2"/>
        <v>4.1057188783156784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[27]principales_paises_p3!C10/1000000</f>
        <v>46.227516000000001</v>
      </c>
      <c r="D16" s="77">
        <f>[27]principales_paises_p3!D10/1000000</f>
        <v>46.234273000000002</v>
      </c>
      <c r="E16" s="77">
        <f>[27]principales_paises_p3!E10/1000000</f>
        <v>76.643270999999999</v>
      </c>
      <c r="F16" s="77">
        <f>[27]principales_paises_p3!F10/1000000</f>
        <v>135.54060799999999</v>
      </c>
      <c r="G16" s="77">
        <f>[27]principales_paises_p3!G10/1000000</f>
        <v>58.539400000000001</v>
      </c>
      <c r="H16" s="79">
        <f>[27]principales_paises_p3!H10/1000000</f>
        <v>33.238880000000002</v>
      </c>
      <c r="I16" s="77">
        <f t="shared" si="0"/>
        <v>-43.219643522140636</v>
      </c>
      <c r="J16" s="77">
        <f t="shared" si="1"/>
        <v>56.780356477859364</v>
      </c>
      <c r="K16" s="77">
        <f t="shared" si="2"/>
        <v>-56.810434257458844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[27]principales_paises_p3!C11/1000000</f>
        <v>50.454498000000001</v>
      </c>
      <c r="D17" s="77">
        <f>[27]principales_paises_p3!D11/1000000</f>
        <v>54.654679000000002</v>
      </c>
      <c r="E17" s="77">
        <f>[27]principales_paises_p3!E11/1000000</f>
        <v>102.600295</v>
      </c>
      <c r="F17" s="77">
        <f>[27]principales_paises_p3!F11/1000000</f>
        <v>121.832396</v>
      </c>
      <c r="G17" s="77">
        <f>[27]principales_paises_p3!G11/1000000</f>
        <v>100.592893</v>
      </c>
      <c r="H17" s="79">
        <f>[27]principales_paises_p3!H11/1000000</f>
        <v>40.625332</v>
      </c>
      <c r="I17" s="77">
        <f t="shared" si="0"/>
        <v>-59.614113096439134</v>
      </c>
      <c r="J17" s="77">
        <f t="shared" si="1"/>
        <v>40.385886903560866</v>
      </c>
      <c r="K17" s="77">
        <f t="shared" si="2"/>
        <v>-17.43337872137063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[27]principales_paises_p3!C12/1000000</f>
        <v>50.478709000000002</v>
      </c>
      <c r="D18" s="77">
        <f>[27]principales_paises_p3!D12/1000000</f>
        <v>54.846161000000002</v>
      </c>
      <c r="E18" s="77">
        <f>[27]principales_paises_p3!E12/1000000</f>
        <v>93.007712999999995</v>
      </c>
      <c r="F18" s="77">
        <f>[27]principales_paises_p3!F12/1000000</f>
        <v>84.867217999999994</v>
      </c>
      <c r="G18" s="77">
        <f>[27]principales_paises_p3!G12/1000000</f>
        <v>87.970348999999999</v>
      </c>
      <c r="H18" s="79">
        <f>[27]principales_paises_p3!H12/1000000</f>
        <v>25.824705999999999</v>
      </c>
      <c r="I18" s="77">
        <f t="shared" si="0"/>
        <v>-70.643851827847143</v>
      </c>
      <c r="J18" s="77">
        <f t="shared" si="1"/>
        <v>29.356148172152867</v>
      </c>
      <c r="K18" s="77">
        <f t="shared" si="2"/>
        <v>3.6564542506860587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[27]principales_paises_p3!C13/1000000</f>
        <v>50.094707999999997</v>
      </c>
      <c r="D19" s="77">
        <f>[27]principales_paises_p3!D13/1000000</f>
        <v>53.621388000000003</v>
      </c>
      <c r="E19" s="77">
        <f>[27]principales_paises_p3!E13/1000000</f>
        <v>109.346581</v>
      </c>
      <c r="F19" s="77">
        <f>[27]principales_paises_p3!F13/1000000</f>
        <v>108.242307</v>
      </c>
      <c r="G19" s="77">
        <f>[27]principales_paises_p3!G13/1000000</f>
        <v>55.251730000000002</v>
      </c>
      <c r="H19" s="79">
        <f>[27]principales_paises_p3!H13/1000000</f>
        <v>23.754418000000001</v>
      </c>
      <c r="I19" s="77">
        <f>IF(OR(OR(H19=0,G19=0),H19=""),"",(H19/G19-1)*100)</f>
        <v>-57.006924489061241</v>
      </c>
      <c r="J19" s="77">
        <f t="shared" si="1"/>
        <v>42.993075510938752</v>
      </c>
      <c r="K19" s="77">
        <f t="shared" si="2"/>
        <v>-48.955513300358611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[27]principales_paises_p3!C14/1000000</f>
        <v>45.853135999999999</v>
      </c>
      <c r="D20" s="77">
        <f>[27]principales_paises_p3!D14/1000000</f>
        <v>67.746296000000001</v>
      </c>
      <c r="E20" s="77">
        <f>[27]principales_paises_p3!E14/1000000</f>
        <v>124.82734499999999</v>
      </c>
      <c r="F20" s="77">
        <f>[27]principales_paises_p3!F14/1000000</f>
        <v>94.340114</v>
      </c>
      <c r="G20" s="77">
        <f>[27]principales_paises_p3!G14/1000000</f>
        <v>52.298253000000003</v>
      </c>
      <c r="H20" s="79">
        <f>[27]principales_paises_p3!H14/1000000</f>
        <v>17.919187999999998</v>
      </c>
      <c r="I20" s="77">
        <f t="shared" si="0"/>
        <v>-65.736545731269459</v>
      </c>
      <c r="J20" s="77">
        <f t="shared" si="1"/>
        <v>34.263454268730541</v>
      </c>
      <c r="K20" s="77">
        <f t="shared" si="2"/>
        <v>-44.564140552130347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[27]principales_paises_p3!C15/1000000</f>
        <v>58.410290000000003</v>
      </c>
      <c r="D21" s="77">
        <f>[27]principales_paises_p3!D15/1000000</f>
        <v>79.182901000000001</v>
      </c>
      <c r="E21" s="77">
        <f>[27]principales_paises_p3!E15/1000000</f>
        <v>123.91264700000001</v>
      </c>
      <c r="F21" s="77">
        <f>[27]principales_paises_p3!F15/1000000</f>
        <v>86.753704999999997</v>
      </c>
      <c r="G21" s="77">
        <f>[27]principales_paises_p3!G15/1000000</f>
        <v>69.132727000000003</v>
      </c>
      <c r="H21" s="79">
        <f>[27]principales_paises_p3!H15/1000000</f>
        <v>23.856235999999999</v>
      </c>
      <c r="I21" s="77">
        <f t="shared" ref="I21" si="4">IF(OR(OR(H21=0,G21=0),H21=""),"",(H21/G21-1)*100)</f>
        <v>-65.492123578460905</v>
      </c>
      <c r="J21" s="77">
        <f t="shared" ref="J21" si="5">IF(OR(OR(H21=0,G21=0),H21=""),"",H21/G21*100)</f>
        <v>34.507876421539102</v>
      </c>
      <c r="K21" s="77">
        <f t="shared" ref="K21" si="6">IF(OR(OR(H21=0,G21=0),H21=""),"",(G21/F21-1)*100)</f>
        <v>-20.31149908813692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[27]principales_paises_p3!C16/1000000</f>
        <v>48.703330000000001</v>
      </c>
      <c r="D22" s="77">
        <f>[27]principales_paises_p3!D16/1000000</f>
        <v>79.459962000000004</v>
      </c>
      <c r="E22" s="77">
        <f>[27]principales_paises_p3!E16/1000000</f>
        <v>141.92961500000001</v>
      </c>
      <c r="F22" s="77">
        <f>[27]principales_paises_p3!F16/1000000</f>
        <v>156.93847199999999</v>
      </c>
      <c r="G22" s="77">
        <f>[27]principales_paises_p3!G16/1000000</f>
        <v>53.012608</v>
      </c>
      <c r="H22" s="79">
        <f>[27]principales_paises_p3!H16/1000000</f>
        <v>22.582156999999999</v>
      </c>
      <c r="I22" s="77">
        <f t="shared" ref="I22" si="7">IF(OR(OR(H22=0,G22=0),H22=""),"",(H22/G22-1)*100)</f>
        <v>-57.402290036362679</v>
      </c>
      <c r="J22" s="77">
        <f t="shared" ref="J22" si="8">IF(OR(OR(H22=0,G22=0),H22=""),"",H22/G22*100)</f>
        <v>42.597709963637328</v>
      </c>
      <c r="K22" s="77">
        <f t="shared" si="2"/>
        <v>-66.220769627475406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[27]principales_paises_p3!C17/1000000</f>
        <v>52.430441999999999</v>
      </c>
      <c r="D23" s="77">
        <f>[27]principales_paises_p3!D17/1000000</f>
        <v>82.240724999999998</v>
      </c>
      <c r="E23" s="77">
        <f>[27]principales_paises_p3!E17/1000000</f>
        <v>165.83513600000001</v>
      </c>
      <c r="F23" s="77">
        <f>[27]principales_paises_p3!F17/1000000</f>
        <v>121.374878</v>
      </c>
      <c r="G23" s="77">
        <f>[27]principales_paises_p3!G17/1000000</f>
        <v>50.678722999999998</v>
      </c>
      <c r="H23" s="79">
        <f>[27]principales_paises_p3!H17/1000000</f>
        <v>20.451153999999999</v>
      </c>
      <c r="I23" s="77">
        <f t="shared" ref="I23:I24" si="9">IF(OR(OR(H23=0,G23=0),H23=""),"",(H23/G23-1)*100)</f>
        <v>-59.645482779824576</v>
      </c>
      <c r="J23" s="77">
        <f t="shared" ref="J23:J24" si="10">IF(OR(OR(H23=0,G23=0),H23=""),"",H23/G23*100)</f>
        <v>40.354517220175417</v>
      </c>
      <c r="K23" s="77">
        <f t="shared" ref="K23:K24" si="11">IF(OR(OR(H23=0,G23=0),H23=""),"",(G23/F23-1)*100)</f>
        <v>-58.246118278281614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[27]principales_paises_p3!C18/1000000</f>
        <v>48.209155000000003</v>
      </c>
      <c r="D24" s="77">
        <f>[27]principales_paises_p3!D18/1000000</f>
        <v>75.307479000000001</v>
      </c>
      <c r="E24" s="77">
        <f>[27]principales_paises_p3!E18/1000000</f>
        <v>148.02193500000001</v>
      </c>
      <c r="F24" s="77">
        <f>[27]principales_paises_p3!F18/1000000</f>
        <v>121.7422</v>
      </c>
      <c r="G24" s="77">
        <f>[27]principales_paises_p3!G18/1000000</f>
        <v>37.412286000000002</v>
      </c>
      <c r="H24" s="31">
        <f>[27]principales_paises_p3!H18/1000000</f>
        <v>28.757567999999999</v>
      </c>
      <c r="I24" s="25">
        <f t="shared" si="9"/>
        <v>-23.133357849343938</v>
      </c>
      <c r="J24" s="25">
        <f t="shared" si="10"/>
        <v>76.866642150656062</v>
      </c>
      <c r="K24" s="25">
        <f t="shared" si="11"/>
        <v>-69.269254210947395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2">SUM(C13:C24)</f>
        <v>542.06246099999998</v>
      </c>
      <c r="D25" s="79">
        <f t="shared" si="12"/>
        <v>748.24784399999999</v>
      </c>
      <c r="E25" s="79">
        <f t="shared" si="12"/>
        <v>1309.322727</v>
      </c>
      <c r="F25" s="79">
        <f t="shared" si="12"/>
        <v>1328.27162</v>
      </c>
      <c r="G25" s="79">
        <f>SUM(G13:G24)</f>
        <v>821.46712000000002</v>
      </c>
      <c r="H25" s="107">
        <f>SUM(H13:H24)</f>
        <v>345.38061099999993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38.03720010783038</v>
      </c>
      <c r="E26" s="79">
        <f>(E25/D25-1)*100</f>
        <v>74.985165343155998</v>
      </c>
      <c r="F26" s="79">
        <f>(F25/E25-1)*100</f>
        <v>1.4472286021809833</v>
      </c>
      <c r="G26" s="79">
        <f>(G25/F25-1)*100</f>
        <v>-38.15518545822728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542.06246099999998</v>
      </c>
      <c r="D28" s="76">
        <f t="shared" ref="D28:E28" si="13">SUMPRODUCT(D13:D24,$N$13:$N$24)</f>
        <v>748.24784399999999</v>
      </c>
      <c r="E28" s="76">
        <f t="shared" si="13"/>
        <v>1309.322727</v>
      </c>
      <c r="F28" s="76">
        <f>SUMPRODUCT(F13:F24,$N$13:$N$24)</f>
        <v>1328.27162</v>
      </c>
      <c r="G28" s="76">
        <f>SUMPRODUCT(G13:G24,$N$13:$N$24)</f>
        <v>821.46712000000002</v>
      </c>
      <c r="H28" s="72">
        <f>SUMPRODUCT(H13:H24,$N$13:$N$24)</f>
        <v>345.38061099999993</v>
      </c>
      <c r="I28" s="73">
        <f>IF(OR(OR(H28=0,G28=0),H28=""),"",(H28/G28-1)*100)</f>
        <v>-57.955637834902028</v>
      </c>
      <c r="J28" s="31">
        <f>IF(OR(OR(H28=0,G28=0),H28=""),"",H28/G28*100)</f>
        <v>42.044362165097972</v>
      </c>
      <c r="K28" s="31">
        <f>IF(OR(OR(H28=0,G28=0),G28=""),"",(G28/F28-1)*100)</f>
        <v>-38.15518545822728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38.03720010783038</v>
      </c>
      <c r="E29" s="79">
        <f t="shared" ref="E29:H29" si="14">(E28/D28-1)*100</f>
        <v>74.985165343155998</v>
      </c>
      <c r="F29" s="79">
        <f t="shared" si="14"/>
        <v>1.4472286021809833</v>
      </c>
      <c r="G29" s="79">
        <f t="shared" si="14"/>
        <v>-38.15518545822728</v>
      </c>
      <c r="H29" s="31">
        <f t="shared" si="14"/>
        <v>-57.955637834902028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139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[27]principales_paises_p3!C32/1000000</f>
        <v>3.9199999999999999E-3</v>
      </c>
      <c r="D13" s="77">
        <f>[27]principales_paises_p3!D32/1000000</f>
        <v>0.48136000000000001</v>
      </c>
      <c r="E13" s="77">
        <f>[27]principales_paises_p3!E32/1000000</f>
        <v>2.913653</v>
      </c>
      <c r="F13" s="77">
        <f>[27]principales_paises_p3!F32/1000000</f>
        <v>0.63344</v>
      </c>
      <c r="G13" s="77">
        <f>[27]principales_paises_p3!G32/1000000</f>
        <v>1.1866220000000001</v>
      </c>
      <c r="H13" s="79">
        <f>[27]principales_paises_p3!H32/1000000</f>
        <v>0</v>
      </c>
      <c r="I13" s="77" t="str">
        <f t="shared" ref="I13:I20" si="0">IF(OR(OR(H13=0,G13=0),H13=""),"",(H13/G13-1)*100)</f>
        <v/>
      </c>
      <c r="J13" s="77" t="str">
        <f t="shared" ref="J13:J20" si="1">IF(OR(OR(H13=0,G13=0),H13=""),"",H13/G13*100)</f>
        <v/>
      </c>
      <c r="K13" s="77" t="str">
        <f t="shared" ref="K13:K20" si="2">IF(OR(OR(H13=0,G13=0),H13=""),"",(G13/F13-1)*100)</f>
        <v/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[27]principales_paises_p3!C33/1000000</f>
        <v>0.1774</v>
      </c>
      <c r="D14" s="77">
        <f>[27]principales_paises_p3!D33/1000000</f>
        <v>1.4769680000000001</v>
      </c>
      <c r="E14" s="77">
        <f>[27]principales_paises_p3!E33/1000000</f>
        <v>1.755409</v>
      </c>
      <c r="F14" s="77">
        <f>[27]principales_paises_p3!F33/1000000</f>
        <v>9.8214830000000006</v>
      </c>
      <c r="G14" s="77">
        <f>[27]principales_paises_p3!G33/1000000</f>
        <v>1.6345240000000001</v>
      </c>
      <c r="H14" s="79">
        <f>[27]principales_paises_p3!H33/1000000</f>
        <v>0.32708100000000001</v>
      </c>
      <c r="I14" s="77">
        <f t="shared" si="0"/>
        <v>-79.989220103222721</v>
      </c>
      <c r="J14" s="77">
        <f t="shared" si="1"/>
        <v>20.010779896777287</v>
      </c>
      <c r="K14" s="77">
        <f t="shared" si="2"/>
        <v>-83.357666046970706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[27]principales_paises_p3!C34/1000000</f>
        <v>3.501204</v>
      </c>
      <c r="D15" s="77">
        <f>[27]principales_paises_p3!D34/1000000</f>
        <v>0.21915799999999999</v>
      </c>
      <c r="E15" s="77">
        <f>[27]principales_paises_p3!E34/1000000</f>
        <v>2.7646799999999998</v>
      </c>
      <c r="F15" s="77">
        <f>[27]principales_paises_p3!F34/1000000</f>
        <v>6.4884779999999997</v>
      </c>
      <c r="G15" s="77">
        <f>[27]principales_paises_p3!G34/1000000</f>
        <v>1.664466</v>
      </c>
      <c r="H15" s="79">
        <f>[27]principales_paises_p3!H34/1000000</f>
        <v>0.247915</v>
      </c>
      <c r="I15" s="77">
        <f t="shared" si="0"/>
        <v>-85.105433214015775</v>
      </c>
      <c r="J15" s="77">
        <f>IF(OR(OR(H15=0,G15=0),H15=""),"",H15/G15*100)</f>
        <v>14.894566785984214</v>
      </c>
      <c r="K15" s="77">
        <f t="shared" si="2"/>
        <v>-74.347358502255844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[27]principales_paises_p3!C35/1000000</f>
        <v>1.20072</v>
      </c>
      <c r="D16" s="77">
        <f>[27]principales_paises_p3!D35/1000000</f>
        <v>0.73023700000000002</v>
      </c>
      <c r="E16" s="77">
        <f>[27]principales_paises_p3!E35/1000000</f>
        <v>0.78144000000000002</v>
      </c>
      <c r="F16" s="77">
        <f>[27]principales_paises_p3!F35/1000000</f>
        <v>5.3200510000000003</v>
      </c>
      <c r="G16" s="77">
        <f>[27]principales_paises_p3!G35/1000000</f>
        <v>2.9514719999999999</v>
      </c>
      <c r="H16" s="79">
        <f>[27]principales_paises_p3!H35/1000000</f>
        <v>0.72814699999999999</v>
      </c>
      <c r="I16" s="77">
        <f t="shared" si="0"/>
        <v>-75.329361078133218</v>
      </c>
      <c r="J16" s="77">
        <f t="shared" si="1"/>
        <v>24.670638921866782</v>
      </c>
      <c r="K16" s="77">
        <f t="shared" si="2"/>
        <v>-44.521734848030604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[27]principales_paises_p3!C36/1000000</f>
        <v>1.0590630000000001</v>
      </c>
      <c r="D17" s="77">
        <f>[27]principales_paises_p3!D36/1000000</f>
        <v>0.94375600000000004</v>
      </c>
      <c r="E17" s="77">
        <f>[27]principales_paises_p3!E36/1000000</f>
        <v>1.1085020000000001</v>
      </c>
      <c r="F17" s="77">
        <f>[27]principales_paises_p3!F36/1000000</f>
        <v>14.351611999999999</v>
      </c>
      <c r="G17" s="77">
        <f>[27]principales_paises_p3!G36/1000000</f>
        <v>2.5130620000000001</v>
      </c>
      <c r="H17" s="79">
        <f>[27]principales_paises_p3!H36/1000000</f>
        <v>0.60103700000000004</v>
      </c>
      <c r="I17" s="77">
        <f t="shared" si="0"/>
        <v>-76.083479038718508</v>
      </c>
      <c r="J17" s="77">
        <f t="shared" si="1"/>
        <v>23.916520961281499</v>
      </c>
      <c r="K17" s="77">
        <f t="shared" si="2"/>
        <v>-82.489339873458107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[27]principales_paises_p3!C37/1000000</f>
        <v>0.72650000000000003</v>
      </c>
      <c r="D18" s="77">
        <f>[27]principales_paises_p3!D37/1000000</f>
        <v>0.15202499999999999</v>
      </c>
      <c r="E18" s="77">
        <f>[27]principales_paises_p3!E37/1000000</f>
        <v>4.9014439999999997</v>
      </c>
      <c r="F18" s="77">
        <f>[27]principales_paises_p3!F37/1000000</f>
        <v>7.4632199999999997</v>
      </c>
      <c r="G18" s="77">
        <f>[27]principales_paises_p3!G37/1000000</f>
        <v>2.556629</v>
      </c>
      <c r="H18" s="79">
        <f>[27]principales_paises_p3!H37/1000000</f>
        <v>0.54089200000000004</v>
      </c>
      <c r="I18" s="77">
        <f t="shared" si="0"/>
        <v>-78.843547499461209</v>
      </c>
      <c r="J18" s="77">
        <f t="shared" si="1"/>
        <v>21.156452500538798</v>
      </c>
      <c r="K18" s="77">
        <f t="shared" si="2"/>
        <v>-65.743620046039112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[27]principales_paises_p3!C38/1000000</f>
        <v>0.211621</v>
      </c>
      <c r="D19" s="77">
        <f>[27]principales_paises_p3!D38/1000000</f>
        <v>2.3884560000000001</v>
      </c>
      <c r="E19" s="77">
        <f>[27]principales_paises_p3!E38/1000000</f>
        <v>3.9000910000000002</v>
      </c>
      <c r="F19" s="77">
        <f>[27]principales_paises_p3!F38/1000000</f>
        <v>9.7773070000000004</v>
      </c>
      <c r="G19" s="77">
        <f>[27]principales_paises_p3!G38/1000000</f>
        <v>0.84300900000000001</v>
      </c>
      <c r="H19" s="79">
        <f>[27]principales_paises_p3!H38/1000000</f>
        <v>0.71869000000000005</v>
      </c>
      <c r="I19" s="77">
        <f>IF(OR(OR(H19=0,G19=0),H19=""),"",(H19/G19-1)*100)</f>
        <v>-14.747054895024835</v>
      </c>
      <c r="J19" s="77">
        <f t="shared" si="1"/>
        <v>85.252945104975169</v>
      </c>
      <c r="K19" s="77">
        <f t="shared" si="2"/>
        <v>-91.377901911027237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[27]principales_paises_p3!C39/1000000</f>
        <v>0.51041099999999995</v>
      </c>
      <c r="D20" s="77">
        <f>[27]principales_paises_p3!D39/1000000</f>
        <v>3.7250019999999999</v>
      </c>
      <c r="E20" s="77">
        <f>[27]principales_paises_p3!E39/1000000</f>
        <v>6.888814</v>
      </c>
      <c r="F20" s="77">
        <f>[27]principales_paises_p3!F39/1000000</f>
        <v>4.7494290000000001</v>
      </c>
      <c r="G20" s="77">
        <f>[27]principales_paises_p3!G39/1000000</f>
        <v>0.34628100000000001</v>
      </c>
      <c r="H20" s="79">
        <f>[27]principales_paises_p3!H39/1000000</f>
        <v>5.1660999999999999E-2</v>
      </c>
      <c r="I20" s="77">
        <f t="shared" si="0"/>
        <v>-85.081191286845083</v>
      </c>
      <c r="J20" s="77">
        <f t="shared" si="1"/>
        <v>14.918808713154922</v>
      </c>
      <c r="K20" s="77">
        <f t="shared" si="2"/>
        <v>-92.708997228930045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[27]principales_paises_p3!C40/1000000</f>
        <v>0.48404900000000001</v>
      </c>
      <c r="D21" s="77">
        <f>[27]principales_paises_p3!D40/1000000</f>
        <v>0.36376900000000001</v>
      </c>
      <c r="E21" s="77">
        <f>[27]principales_paises_p3!E40/1000000</f>
        <v>3.4063400000000001</v>
      </c>
      <c r="F21" s="77">
        <f>[27]principales_paises_p3!F40/1000000</f>
        <v>0.23898</v>
      </c>
      <c r="G21" s="77">
        <f>[27]principales_paises_p3!G40/1000000</f>
        <v>4.0980000000000003E-2</v>
      </c>
      <c r="H21" s="79">
        <f>[27]principales_paises_p3!H40/1000000</f>
        <v>2.0599999999999999E-4</v>
      </c>
      <c r="I21" s="77">
        <f t="shared" ref="I21" si="4">IF(OR(OR(H21=0,G21=0),H21=""),"",(H21/G21-1)*100)</f>
        <v>-99.497315763787213</v>
      </c>
      <c r="J21" s="77">
        <f t="shared" ref="J21" si="5">IF(OR(OR(H21=0,G21=0),H21=""),"",H21/G21*100)</f>
        <v>0.50268423621278668</v>
      </c>
      <c r="K21" s="77">
        <f t="shared" ref="K21" si="6">IF(OR(OR(H21=0,G21=0),H21=""),"",(G21/F21-1)*100)</f>
        <v>-82.852121516444882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[27]principales_paises_p3!C41/1000000</f>
        <v>0.12411</v>
      </c>
      <c r="D22" s="77">
        <f>[27]principales_paises_p3!D41/1000000</f>
        <v>5.3407049999999998</v>
      </c>
      <c r="E22" s="77">
        <f>[27]principales_paises_p3!E41/1000000</f>
        <v>2.1385550000000002</v>
      </c>
      <c r="F22" s="77">
        <f>[27]principales_paises_p3!F41/1000000</f>
        <v>1.087985</v>
      </c>
      <c r="G22" s="77">
        <f>[27]principales_paises_p3!G41/1000000</f>
        <v>8.1999999999999998E-4</v>
      </c>
      <c r="H22" s="79">
        <f>[27]principales_paises_p3!H41/1000000</f>
        <v>3.5416999999999997E-2</v>
      </c>
      <c r="I22" s="77">
        <f t="shared" ref="I22" si="7">IF(OR(OR(H22=0,G22=0),H22=""),"",(H22/G22-1)*100)</f>
        <v>4219.1463414634145</v>
      </c>
      <c r="J22" s="77">
        <f t="shared" ref="J22" si="8">IF(OR(OR(H22=0,G22=0),H22=""),"",H22/G22*100)</f>
        <v>4319.1463414634145</v>
      </c>
      <c r="K22" s="77">
        <f t="shared" ref="K22" si="9">IF(OR(OR(H22=0,G22=0),H22=""),"",(G22/F22-1)*100)</f>
        <v>-99.924631313850824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[27]principales_paises_p3!C42/1000000</f>
        <v>1.1304E-2</v>
      </c>
      <c r="D23" s="77">
        <f>[27]principales_paises_p3!D42/1000000</f>
        <v>0.17477000000000001</v>
      </c>
      <c r="E23" s="77">
        <f>[27]principales_paises_p3!E42/1000000</f>
        <v>3.0470470000000001</v>
      </c>
      <c r="F23" s="77">
        <f>[27]principales_paises_p3!F42/1000000</f>
        <v>2.0106869999999999</v>
      </c>
      <c r="G23" s="77">
        <f>[27]principales_paises_p3!G42/1000000</f>
        <v>0.13461600000000001</v>
      </c>
      <c r="H23" s="79">
        <f>[27]principales_paises_p3!H42/1000000</f>
        <v>2.7720000000000002E-2</v>
      </c>
      <c r="I23" s="77">
        <f t="shared" ref="I23:I24" si="10">IF(OR(OR(H23=0,G23=0),H23=""),"",(H23/G23-1)*100)</f>
        <v>-79.408094134426818</v>
      </c>
      <c r="J23" s="77">
        <f t="shared" ref="J23:J24" si="11">IF(OR(OR(H23=0,G23=0),H23=""),"",H23/G23*100)</f>
        <v>20.591905865573185</v>
      </c>
      <c r="K23" s="77">
        <f t="shared" ref="K23:K24" si="12">IF(OR(OR(H23=0,G23=0),H23=""),"",(G23/F23-1)*100)</f>
        <v>-93.304974866799256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[27]principales_paises_p3!C43/1000000</f>
        <v>0.65920299999999998</v>
      </c>
      <c r="D24" s="77">
        <f>[27]principales_paises_p3!D43/1000000</f>
        <v>3.0109560000000002</v>
      </c>
      <c r="E24" s="77">
        <f>[27]principales_paises_p3!E43/1000000</f>
        <v>1.745549</v>
      </c>
      <c r="F24" s="77">
        <f>[27]principales_paises_p3!F43/1000000</f>
        <v>3.2654510000000001</v>
      </c>
      <c r="G24" s="77">
        <f>[27]principales_paises_p3!G43/1000000</f>
        <v>0.39796199999999998</v>
      </c>
      <c r="H24" s="31">
        <f>[27]principales_paises_p3!H43/1000000</f>
        <v>0.25172</v>
      </c>
      <c r="I24" s="25">
        <f t="shared" si="10"/>
        <v>-36.747729682733521</v>
      </c>
      <c r="J24" s="25">
        <f t="shared" si="11"/>
        <v>63.252270317266479</v>
      </c>
      <c r="K24" s="25">
        <f t="shared" si="12"/>
        <v>-87.812954473976177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8.6695049999999991</v>
      </c>
      <c r="D25" s="79">
        <f t="shared" si="13"/>
        <v>19.007162000000001</v>
      </c>
      <c r="E25" s="79">
        <f t="shared" si="13"/>
        <v>35.351523999999998</v>
      </c>
      <c r="F25" s="79">
        <f t="shared" si="13"/>
        <v>65.208123000000001</v>
      </c>
      <c r="G25" s="79">
        <f>SUM(G13:G24)</f>
        <v>14.270442999999998</v>
      </c>
      <c r="H25" s="107">
        <f>SUM(H13:H24)</f>
        <v>3.5304860000000002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119.24160606632101</v>
      </c>
      <c r="E26" s="79">
        <f>(E25/D25-1)*100</f>
        <v>85.990543985472414</v>
      </c>
      <c r="F26" s="79">
        <f>(F25/E25-1)*100</f>
        <v>84.456327823377578</v>
      </c>
      <c r="G26" s="79">
        <f>(G25/F25-1)*100</f>
        <v>-78.115543979083711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8.6695049999999991</v>
      </c>
      <c r="D28" s="76">
        <f t="shared" ref="D28:E28" si="14">SUMPRODUCT(D13:D24,$N$13:$N$24)</f>
        <v>19.007162000000001</v>
      </c>
      <c r="E28" s="76">
        <f t="shared" si="14"/>
        <v>35.351523999999998</v>
      </c>
      <c r="F28" s="76">
        <f>SUMPRODUCT(F13:F24,$N$13:$N$24)</f>
        <v>65.208123000000001</v>
      </c>
      <c r="G28" s="76">
        <f>SUMPRODUCT(G13:G24,$N$13:$N$24)</f>
        <v>14.270442999999998</v>
      </c>
      <c r="H28" s="72">
        <f>SUMPRODUCT(H13:H24,$N$13:$N$24)</f>
        <v>3.5304860000000002</v>
      </c>
      <c r="I28" s="73">
        <f>IF(OR(OR(H28=0,G28=0),H28=""),"",(H28/G28-1)*100)</f>
        <v>-75.260151349190778</v>
      </c>
      <c r="J28" s="31">
        <f>IF(OR(OR(H28=0,G28=0),H28=""),"",H28/G28*100)</f>
        <v>24.739848650809233</v>
      </c>
      <c r="K28" s="31">
        <f>IF(OR(OR(H28=0,G28=0),G28=""),"",(G28/F28-1)*100)</f>
        <v>-78.115543979083711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119.24160606632101</v>
      </c>
      <c r="E29" s="79">
        <f t="shared" ref="E29:H29" si="15">(E28/D28-1)*100</f>
        <v>85.990543985472414</v>
      </c>
      <c r="F29" s="79">
        <f t="shared" si="15"/>
        <v>84.456327823377578</v>
      </c>
      <c r="G29" s="79">
        <f t="shared" si="15"/>
        <v>-78.115543979083711</v>
      </c>
      <c r="H29" s="31">
        <f t="shared" si="15"/>
        <v>-75.260151349190778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138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[27]principales_paises_p3!C57/1000000</f>
        <v>2.1936849999999999</v>
      </c>
      <c r="D13" s="77">
        <f>[27]principales_paises_p3!D57/1000000</f>
        <v>1.6935439999999999</v>
      </c>
      <c r="E13" s="77">
        <f>[27]principales_paises_p3!E57/1000000</f>
        <v>3.303061</v>
      </c>
      <c r="F13" s="77">
        <f>[27]principales_paises_p3!F57/1000000</f>
        <v>8.6228929999999995</v>
      </c>
      <c r="G13" s="77">
        <f>[27]principales_paises_p3!G57/1000000</f>
        <v>12.005784999999999</v>
      </c>
      <c r="H13" s="79">
        <f>[27]principales_paises_p3!H57/1000000</f>
        <v>2.9746419999999998</v>
      </c>
      <c r="I13" s="77">
        <f t="shared" ref="I13:I20" si="0">IF(OR(OR(H13=0,G13=0),H13=""),"",(H13/G13-1)*100)</f>
        <v>-75.223261119535294</v>
      </c>
      <c r="J13" s="77">
        <f t="shared" ref="J13:J20" si="1">IF(OR(OR(H13=0,G13=0),H13=""),"",H13/G13*100)</f>
        <v>24.776738880464709</v>
      </c>
      <c r="K13" s="77">
        <f t="shared" ref="K13:K20" si="2">IF(OR(OR(H13=0,G13=0),H13=""),"",(G13/F13-1)*100)</f>
        <v>39.231520094242157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[27]principales_paises_p3!C58/1000000</f>
        <v>2.1079479999999999</v>
      </c>
      <c r="D14" s="77">
        <f>[27]principales_paises_p3!D58/1000000</f>
        <v>2.1845780000000001</v>
      </c>
      <c r="E14" s="77">
        <f>[27]principales_paises_p3!E58/1000000</f>
        <v>6.1059979999999996</v>
      </c>
      <c r="F14" s="77">
        <f>[27]principales_paises_p3!F58/1000000</f>
        <v>9.218572</v>
      </c>
      <c r="G14" s="77">
        <f>[27]principales_paises_p3!G58/1000000</f>
        <v>16.383296000000001</v>
      </c>
      <c r="H14" s="79">
        <f>[27]principales_paises_p3!H58/1000000</f>
        <v>5.1621889999999997</v>
      </c>
      <c r="I14" s="77">
        <f t="shared" si="0"/>
        <v>-68.491144883178578</v>
      </c>
      <c r="J14" s="77">
        <f t="shared" si="1"/>
        <v>31.508855116821422</v>
      </c>
      <c r="K14" s="77">
        <f t="shared" si="2"/>
        <v>77.72054066508349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[27]principales_paises_p3!C59/1000000</f>
        <v>2.6924359999999998</v>
      </c>
      <c r="D15" s="77">
        <f>[27]principales_paises_p3!D59/1000000</f>
        <v>4.3606740000000004</v>
      </c>
      <c r="E15" s="77">
        <f>[27]principales_paises_p3!E59/1000000</f>
        <v>6.1489310000000001</v>
      </c>
      <c r="F15" s="77">
        <f>[27]principales_paises_p3!F59/1000000</f>
        <v>8.6263100000000001</v>
      </c>
      <c r="G15" s="77">
        <f>[27]principales_paises_p3!G59/1000000</f>
        <v>13.985530000000001</v>
      </c>
      <c r="H15" s="79">
        <f>[27]principales_paises_p3!H59/1000000</f>
        <v>5.1680919999999997</v>
      </c>
      <c r="I15" s="77">
        <f t="shared" si="0"/>
        <v>-63.046863436709231</v>
      </c>
      <c r="J15" s="77">
        <f>IF(OR(OR(H15=0,G15=0),H15=""),"",H15/G15*100)</f>
        <v>36.953136563290769</v>
      </c>
      <c r="K15" s="77">
        <f t="shared" si="2"/>
        <v>62.12644804093523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[27]principales_paises_p3!C60/1000000</f>
        <v>2.0273979999999998</v>
      </c>
      <c r="D16" s="77">
        <f>[27]principales_paises_p3!D60/1000000</f>
        <v>2.5655559999999999</v>
      </c>
      <c r="E16" s="77">
        <f>[27]principales_paises_p3!E60/1000000</f>
        <v>6.2662630000000004</v>
      </c>
      <c r="F16" s="77">
        <f>[27]principales_paises_p3!F60/1000000</f>
        <v>12.563688000000001</v>
      </c>
      <c r="G16" s="77">
        <f>[27]principales_paises_p3!G60/1000000</f>
        <v>8.1489279999999997</v>
      </c>
      <c r="H16" s="79">
        <f>[27]principales_paises_p3!H60/1000000</f>
        <v>5.2505819999999996</v>
      </c>
      <c r="I16" s="77">
        <f t="shared" si="0"/>
        <v>-35.567205895057604</v>
      </c>
      <c r="J16" s="77">
        <f t="shared" si="1"/>
        <v>64.432794104942388</v>
      </c>
      <c r="K16" s="77">
        <f t="shared" si="2"/>
        <v>-35.139045159351298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[27]principales_paises_p3!C61/1000000</f>
        <v>3.7691499999999998</v>
      </c>
      <c r="D17" s="77">
        <f>[27]principales_paises_p3!D61/1000000</f>
        <v>3.546964</v>
      </c>
      <c r="E17" s="77">
        <f>[27]principales_paises_p3!E61/1000000</f>
        <v>7.5389530000000002</v>
      </c>
      <c r="F17" s="77">
        <f>[27]principales_paises_p3!F61/1000000</f>
        <v>12.109695</v>
      </c>
      <c r="G17" s="77">
        <f>[27]principales_paises_p3!G61/1000000</f>
        <v>8.1729669999999999</v>
      </c>
      <c r="H17" s="79">
        <f>[27]principales_paises_p3!H61/1000000</f>
        <v>4.2083170000000001</v>
      </c>
      <c r="I17" s="77">
        <f t="shared" si="0"/>
        <v>-48.509311245230769</v>
      </c>
      <c r="J17" s="77">
        <f t="shared" si="1"/>
        <v>51.490688754769231</v>
      </c>
      <c r="K17" s="77">
        <f t="shared" si="2"/>
        <v>-32.508894732691452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[27]principales_paises_p3!C62/1000000</f>
        <v>3.6326019999999999</v>
      </c>
      <c r="D18" s="77">
        <f>[27]principales_paises_p3!D62/1000000</f>
        <v>3.6671939999999998</v>
      </c>
      <c r="E18" s="77">
        <f>[27]principales_paises_p3!E62/1000000</f>
        <v>6.6256409999999999</v>
      </c>
      <c r="F18" s="77">
        <f>[27]principales_paises_p3!F62/1000000</f>
        <v>13.099189000000001</v>
      </c>
      <c r="G18" s="77">
        <f>[27]principales_paises_p3!G62/1000000</f>
        <v>5.820862</v>
      </c>
      <c r="H18" s="79">
        <f>[27]principales_paises_p3!H62/1000000</f>
        <v>2.7303700000000002</v>
      </c>
      <c r="I18" s="77">
        <f t="shared" si="0"/>
        <v>-53.093373455684059</v>
      </c>
      <c r="J18" s="77">
        <f t="shared" si="1"/>
        <v>46.906626544315948</v>
      </c>
      <c r="K18" s="77">
        <f t="shared" si="2"/>
        <v>-55.563187919496393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[27]principales_paises_p3!C63/1000000</f>
        <v>2.475387</v>
      </c>
      <c r="D19" s="77">
        <f>[27]principales_paises_p3!D63/1000000</f>
        <v>4.6551859999999996</v>
      </c>
      <c r="E19" s="77">
        <f>[27]principales_paises_p3!E63/1000000</f>
        <v>8.6165489999999991</v>
      </c>
      <c r="F19" s="77">
        <f>[27]principales_paises_p3!F63/1000000</f>
        <v>12.994769</v>
      </c>
      <c r="G19" s="77">
        <f>[27]principales_paises_p3!G63/1000000</f>
        <v>8.3619800000000009</v>
      </c>
      <c r="H19" s="79">
        <f>[27]principales_paises_p3!H63/1000000</f>
        <v>2.977163</v>
      </c>
      <c r="I19" s="77">
        <f>IF(OR(OR(H19=0,G19=0),H19=""),"",(H19/G19-1)*100)</f>
        <v>-64.396434815677623</v>
      </c>
      <c r="J19" s="77">
        <f t="shared" si="1"/>
        <v>35.60356518432237</v>
      </c>
      <c r="K19" s="77">
        <f t="shared" si="2"/>
        <v>-35.651183949479972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[27]principales_paises_p3!C64/1000000</f>
        <v>2.5844580000000001</v>
      </c>
      <c r="D20" s="77">
        <f>[27]principales_paises_p3!D64/1000000</f>
        <v>5.0766989999999996</v>
      </c>
      <c r="E20" s="77">
        <f>[27]principales_paises_p3!E64/1000000</f>
        <v>9.9460999999999995</v>
      </c>
      <c r="F20" s="77">
        <f>[27]principales_paises_p3!F64/1000000</f>
        <v>13.223108</v>
      </c>
      <c r="G20" s="77">
        <f>[27]principales_paises_p3!G64/1000000</f>
        <v>8.4606779999999997</v>
      </c>
      <c r="H20" s="79">
        <f>[27]principales_paises_p3!H64/1000000</f>
        <v>3.5645129999999998</v>
      </c>
      <c r="I20" s="77">
        <f t="shared" si="0"/>
        <v>-57.869652999440468</v>
      </c>
      <c r="J20" s="77">
        <f t="shared" si="1"/>
        <v>42.130347000559532</v>
      </c>
      <c r="K20" s="77">
        <f t="shared" si="2"/>
        <v>-36.015965384234939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[27]principales_paises_p3!C65/1000000</f>
        <v>3.7409479999999999</v>
      </c>
      <c r="D21" s="77">
        <f>[27]principales_paises_p3!D65/1000000</f>
        <v>4.4901859999999996</v>
      </c>
      <c r="E21" s="77">
        <f>[27]principales_paises_p3!E65/1000000</f>
        <v>10.500412000000001</v>
      </c>
      <c r="F21" s="77">
        <f>[27]principales_paises_p3!F65/1000000</f>
        <v>8.0174400000000006</v>
      </c>
      <c r="G21" s="77">
        <f>[27]principales_paises_p3!G65/1000000</f>
        <v>7.9483740000000003</v>
      </c>
      <c r="H21" s="79">
        <f>[27]principales_paises_p3!H65/1000000</f>
        <v>3.646039</v>
      </c>
      <c r="I21" s="77">
        <f t="shared" ref="I21" si="4">IF(OR(OR(H21=0,G21=0),H21=""),"",(H21/G21-1)*100)</f>
        <v>-54.128492192239563</v>
      </c>
      <c r="J21" s="77">
        <f t="shared" ref="J21" si="5">IF(OR(OR(H21=0,G21=0),H21=""),"",H21/G21*100)</f>
        <v>45.87150780776043</v>
      </c>
      <c r="K21" s="77">
        <f t="shared" ref="K21" si="6">IF(OR(OR(H21=0,G21=0),H21=""),"",(G21/F21-1)*100)</f>
        <v>-0.86144704544094397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[27]principales_paises_p3!C66/1000000</f>
        <v>3.4043169999999998</v>
      </c>
      <c r="D22" s="77">
        <f>[27]principales_paises_p3!D66/1000000</f>
        <v>4.316827</v>
      </c>
      <c r="E22" s="77">
        <f>[27]principales_paises_p3!E66/1000000</f>
        <v>9.65489</v>
      </c>
      <c r="F22" s="77">
        <f>[27]principales_paises_p3!F66/1000000</f>
        <v>17.400234999999999</v>
      </c>
      <c r="G22" s="77">
        <f>[27]principales_paises_p3!G66/1000000</f>
        <v>8.0261790000000008</v>
      </c>
      <c r="H22" s="79">
        <f>[27]principales_paises_p3!H66/1000000</f>
        <v>3.396963</v>
      </c>
      <c r="I22" s="77">
        <f t="shared" ref="I22" si="7">IF(OR(OR(H22=0,G22=0),H22=""),"",(H22/G22-1)*100)</f>
        <v>-57.676460990964692</v>
      </c>
      <c r="J22" s="77">
        <f t="shared" ref="J22" si="8">IF(OR(OR(H22=0,G22=0),H22=""),"",H22/G22*100)</f>
        <v>42.323539009035308</v>
      </c>
      <c r="K22" s="77">
        <f t="shared" ref="K22" si="9">IF(OR(OR(H22=0,G22=0),H22=""),"",(G22/F22-1)*100)</f>
        <v>-53.873157460229692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[27]principales_paises_p3!C67/1000000</f>
        <v>4.2546020000000002</v>
      </c>
      <c r="D23" s="77">
        <f>[27]principales_paises_p3!D67/1000000</f>
        <v>5.51058</v>
      </c>
      <c r="E23" s="77">
        <f>[27]principales_paises_p3!E67/1000000</f>
        <v>9.3180750000000003</v>
      </c>
      <c r="F23" s="77">
        <f>[27]principales_paises_p3!F67/1000000</f>
        <v>16.373338</v>
      </c>
      <c r="G23" s="77">
        <f>[27]principales_paises_p3!G67/1000000</f>
        <v>6.5287439999999997</v>
      </c>
      <c r="H23" s="79">
        <f>[27]principales_paises_p3!H67/1000000</f>
        <v>2.401729</v>
      </c>
      <c r="I23" s="77">
        <f t="shared" ref="I23:I24" si="10">IF(OR(OR(H23=0,G23=0),H23=""),"",(H23/G23-1)*100)</f>
        <v>-63.213000846717215</v>
      </c>
      <c r="J23" s="77">
        <f t="shared" ref="J23:J24" si="11">IF(OR(OR(H23=0,G23=0),H23=""),"",H23/G23*100)</f>
        <v>36.786999153282778</v>
      </c>
      <c r="K23" s="77">
        <f t="shared" ref="K23:K24" si="12">IF(OR(OR(H23=0,G23=0),H23=""),"",(G23/F23-1)*100)</f>
        <v>-60.125760550475412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[27]principales_paises_p3!C68/1000000</f>
        <v>2.3879809999999999</v>
      </c>
      <c r="D24" s="77">
        <f>[27]principales_paises_p3!D68/1000000</f>
        <v>4.9183430000000001</v>
      </c>
      <c r="E24" s="77">
        <f>[27]principales_paises_p3!E68/1000000</f>
        <v>8.9647590000000008</v>
      </c>
      <c r="F24" s="77">
        <f>[27]principales_paises_p3!F68/1000000</f>
        <v>19.093315</v>
      </c>
      <c r="G24" s="77">
        <f>[27]principales_paises_p3!G68/1000000</f>
        <v>6.0889090000000001</v>
      </c>
      <c r="H24" s="31">
        <f>[27]principales_paises_p3!H68/1000000</f>
        <v>2.5360960000000001</v>
      </c>
      <c r="I24" s="25">
        <f t="shared" si="10"/>
        <v>-58.348925891321414</v>
      </c>
      <c r="J24" s="25">
        <f t="shared" si="11"/>
        <v>41.651074108678579</v>
      </c>
      <c r="K24" s="25">
        <f t="shared" si="12"/>
        <v>-68.109733694751284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35.270911999999996</v>
      </c>
      <c r="D25" s="79">
        <f t="shared" si="13"/>
        <v>46.986330999999993</v>
      </c>
      <c r="E25" s="79">
        <f t="shared" si="13"/>
        <v>92.989631999999986</v>
      </c>
      <c r="F25" s="79">
        <f t="shared" si="13"/>
        <v>151.34255199999998</v>
      </c>
      <c r="G25" s="79">
        <f>SUM(G13:G24)</f>
        <v>109.93223200000001</v>
      </c>
      <c r="H25" s="107">
        <f>SUM(H13:H24)</f>
        <v>44.016695000000006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33.215526153675867</v>
      </c>
      <c r="E26" s="79">
        <f>(E25/D25-1)*100</f>
        <v>97.907838345581837</v>
      </c>
      <c r="F26" s="79">
        <f>(F25/E25-1)*100</f>
        <v>62.752071112616093</v>
      </c>
      <c r="G26" s="79">
        <f>(G25/F25-1)*100</f>
        <v>-27.361980786474362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35.270911999999996</v>
      </c>
      <c r="D28" s="76">
        <f t="shared" ref="D28:E28" si="14">SUMPRODUCT(D13:D24,$N$13:$N$24)</f>
        <v>46.986330999999993</v>
      </c>
      <c r="E28" s="76">
        <f t="shared" si="14"/>
        <v>92.989631999999986</v>
      </c>
      <c r="F28" s="76">
        <f>SUMPRODUCT(F13:F24,$N$13:$N$24)</f>
        <v>151.34255199999998</v>
      </c>
      <c r="G28" s="76">
        <f>SUMPRODUCT(G13:G24,$N$13:$N$24)</f>
        <v>109.93223200000001</v>
      </c>
      <c r="H28" s="72">
        <f>SUMPRODUCT(H13:H24,$N$13:$N$24)</f>
        <v>44.016695000000006</v>
      </c>
      <c r="I28" s="73">
        <f>IF(OR(OR(H28=0,G28=0),H28=""),"",(H28/G28-1)*100)</f>
        <v>-59.960155270930912</v>
      </c>
      <c r="J28" s="31">
        <f>IF(OR(OR(H28=0,G28=0),H28=""),"",H28/G28*100)</f>
        <v>40.039844729069088</v>
      </c>
      <c r="K28" s="31">
        <f>IF(OR(OR(H28=0,G28=0),G28=""),"",(G28/F28-1)*100)</f>
        <v>-27.361980786474362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33.215526153675867</v>
      </c>
      <c r="E29" s="79">
        <f t="shared" ref="E29:H29" si="15">(E28/D28-1)*100</f>
        <v>97.907838345581837</v>
      </c>
      <c r="F29" s="79">
        <f t="shared" si="15"/>
        <v>62.752071112616093</v>
      </c>
      <c r="G29" s="79">
        <f t="shared" si="15"/>
        <v>-27.361980786474362</v>
      </c>
      <c r="H29" s="31">
        <f t="shared" si="15"/>
        <v>-59.960155270930912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20" customFormat="1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140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[27]principales_paises_p3!C82/1000000</f>
        <v>3.7606380000000001</v>
      </c>
      <c r="D13" s="77">
        <f>[27]principales_paises_p3!D82/1000000</f>
        <v>7.2826310000000003</v>
      </c>
      <c r="E13" s="77">
        <f>[27]principales_paises_p3!E82/1000000</f>
        <v>10.167666000000001</v>
      </c>
      <c r="F13" s="77">
        <f>[27]principales_paises_p3!F82/1000000</f>
        <v>50.889246999999997</v>
      </c>
      <c r="G13" s="77">
        <f>[27]principales_paises_p3!G82/1000000</f>
        <v>28.408221999999999</v>
      </c>
      <c r="H13" s="79">
        <f>[27]principales_paises_p3!H82/1000000</f>
        <v>9.6226160000000007</v>
      </c>
      <c r="I13" s="77">
        <f t="shared" ref="I13:I20" si="0">IF(OR(OR(H13=0,G13=0),H13=""),"",(H13/G13-1)*100)</f>
        <v>-66.127355664849418</v>
      </c>
      <c r="J13" s="77">
        <f t="shared" ref="J13:J20" si="1">IF(OR(OR(H13=0,G13=0),H13=""),"",H13/G13*100)</f>
        <v>33.872644335150582</v>
      </c>
      <c r="K13" s="77">
        <f t="shared" ref="K13:K20" si="2">IF(OR(OR(H13=0,G13=0),H13=""),"",(G13/F13-1)*100)</f>
        <v>-44.176375806857578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[27]principales_paises_p3!C83/1000000</f>
        <v>4.6769959999999999</v>
      </c>
      <c r="D14" s="77">
        <f>[27]principales_paises_p3!D83/1000000</f>
        <v>12.482467</v>
      </c>
      <c r="E14" s="77">
        <f>[27]principales_paises_p3!E83/1000000</f>
        <v>16.425402999999999</v>
      </c>
      <c r="F14" s="77">
        <f>[27]principales_paises_p3!F83/1000000</f>
        <v>46.762676999999996</v>
      </c>
      <c r="G14" s="77">
        <f>[27]principales_paises_p3!G83/1000000</f>
        <v>39.078533</v>
      </c>
      <c r="H14" s="79">
        <f>[27]principales_paises_p3!H83/1000000</f>
        <v>20.699209</v>
      </c>
      <c r="I14" s="77">
        <f t="shared" si="0"/>
        <v>-47.031765496417179</v>
      </c>
      <c r="J14" s="77">
        <f t="shared" si="1"/>
        <v>52.968234503582821</v>
      </c>
      <c r="K14" s="77">
        <f t="shared" si="2"/>
        <v>-16.432215803214167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[27]principales_paises_p3!C84/1000000</f>
        <v>6.5417069999999997</v>
      </c>
      <c r="D15" s="77">
        <f>[27]principales_paises_p3!D84/1000000</f>
        <v>11.577420999999999</v>
      </c>
      <c r="E15" s="77">
        <f>[27]principales_paises_p3!E84/1000000</f>
        <v>18.57009</v>
      </c>
      <c r="F15" s="77">
        <f>[27]principales_paises_p3!F84/1000000</f>
        <v>36.428279000000003</v>
      </c>
      <c r="G15" s="77">
        <f>[27]principales_paises_p3!G84/1000000</f>
        <v>42.271303000000003</v>
      </c>
      <c r="H15" s="79">
        <f>[27]principales_paises_p3!H84/1000000</f>
        <v>16.22174</v>
      </c>
      <c r="I15" s="77">
        <f t="shared" si="0"/>
        <v>-61.624698439033224</v>
      </c>
      <c r="J15" s="77">
        <f>IF(OR(OR(H15=0,G15=0),H15=""),"",H15/G15*100)</f>
        <v>38.375301560966783</v>
      </c>
      <c r="K15" s="77">
        <f t="shared" si="2"/>
        <v>16.03980248421837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[27]principales_paises_p3!C85/1000000</f>
        <v>9.128819</v>
      </c>
      <c r="D16" s="77">
        <f>[27]principales_paises_p3!D85/1000000</f>
        <v>9.7745320000000007</v>
      </c>
      <c r="E16" s="77">
        <f>[27]principales_paises_p3!E85/1000000</f>
        <v>20.531752000000001</v>
      </c>
      <c r="F16" s="77">
        <f>[27]principales_paises_p3!F85/1000000</f>
        <v>70.206475999999995</v>
      </c>
      <c r="G16" s="77">
        <f>[27]principales_paises_p3!G85/1000000</f>
        <v>24.278001</v>
      </c>
      <c r="H16" s="79">
        <f>[27]principales_paises_p3!H85/1000000</f>
        <v>15.395502</v>
      </c>
      <c r="I16" s="77">
        <f t="shared" si="0"/>
        <v>-36.586616006812086</v>
      </c>
      <c r="J16" s="77">
        <f t="shared" si="1"/>
        <v>63.413383993187914</v>
      </c>
      <c r="K16" s="77">
        <f t="shared" si="2"/>
        <v>-65.419143100132231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[27]principales_paises_p3!C86/1000000</f>
        <v>8.9291540000000005</v>
      </c>
      <c r="D17" s="77">
        <f>[27]principales_paises_p3!D86/1000000</f>
        <v>13.345865</v>
      </c>
      <c r="E17" s="77">
        <f>[27]principales_paises_p3!E86/1000000</f>
        <v>26.955024999999999</v>
      </c>
      <c r="F17" s="77">
        <f>[27]principales_paises_p3!F86/1000000</f>
        <v>61.700856000000002</v>
      </c>
      <c r="G17" s="77">
        <f>[27]principales_paises_p3!G86/1000000</f>
        <v>59.497529999999998</v>
      </c>
      <c r="H17" s="79">
        <f>[27]principales_paises_p3!H86/1000000</f>
        <v>17.494256</v>
      </c>
      <c r="I17" s="77">
        <f t="shared" si="0"/>
        <v>-70.596668466741392</v>
      </c>
      <c r="J17" s="77">
        <f t="shared" si="1"/>
        <v>29.403331533258608</v>
      </c>
      <c r="K17" s="77">
        <f t="shared" si="2"/>
        <v>-3.5709812518646467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[27]principales_paises_p3!C87/1000000</f>
        <v>7.3132669999999997</v>
      </c>
      <c r="D18" s="77">
        <f>[27]principales_paises_p3!D87/1000000</f>
        <v>12.369767</v>
      </c>
      <c r="E18" s="77">
        <f>[27]principales_paises_p3!E87/1000000</f>
        <v>29.137049000000001</v>
      </c>
      <c r="F18" s="77">
        <f>[27]principales_paises_p3!F87/1000000</f>
        <v>37.962814999999999</v>
      </c>
      <c r="G18" s="77">
        <f>[27]principales_paises_p3!G87/1000000</f>
        <v>46.588824000000002</v>
      </c>
      <c r="H18" s="79">
        <f>[27]principales_paises_p3!H87/1000000</f>
        <v>13.996482</v>
      </c>
      <c r="I18" s="77">
        <f t="shared" si="0"/>
        <v>-69.957425841012849</v>
      </c>
      <c r="J18" s="77">
        <f t="shared" si="1"/>
        <v>30.04257415898714</v>
      </c>
      <c r="K18" s="77">
        <f t="shared" si="2"/>
        <v>22.722258610168943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[27]principales_paises_p3!C88/1000000</f>
        <v>10.080871999999999</v>
      </c>
      <c r="D19" s="77">
        <f>[27]principales_paises_p3!D88/1000000</f>
        <v>11.825576999999999</v>
      </c>
      <c r="E19" s="77">
        <f>[27]principales_paises_p3!E88/1000000</f>
        <v>30.783636999999999</v>
      </c>
      <c r="F19" s="77">
        <f>[27]principales_paises_p3!F88/1000000</f>
        <v>40.736587</v>
      </c>
      <c r="G19" s="77">
        <f>[27]principales_paises_p3!G88/1000000</f>
        <v>20.968281999999999</v>
      </c>
      <c r="H19" s="79">
        <f>[27]principales_paises_p3!H88/1000000</f>
        <v>10.395851</v>
      </c>
      <c r="I19" s="77">
        <f>IF(OR(OR(H19=0,G19=0),H19=""),"",(H19/G19-1)*100)</f>
        <v>-50.42106453928843</v>
      </c>
      <c r="J19" s="77">
        <f t="shared" si="1"/>
        <v>49.57893546071157</v>
      </c>
      <c r="K19" s="77">
        <f t="shared" si="2"/>
        <v>-48.527150789534723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[27]principales_paises_p3!C89/1000000</f>
        <v>8.3479390000000002</v>
      </c>
      <c r="D20" s="77">
        <f>[27]principales_paises_p3!D89/1000000</f>
        <v>9.9973600000000005</v>
      </c>
      <c r="E20" s="77">
        <f>[27]principales_paises_p3!E89/1000000</f>
        <v>38.507652</v>
      </c>
      <c r="F20" s="77">
        <f>[27]principales_paises_p3!F89/1000000</f>
        <v>35.148156</v>
      </c>
      <c r="G20" s="77">
        <f>[27]principales_paises_p3!G89/1000000</f>
        <v>18.500699999999998</v>
      </c>
      <c r="H20" s="79">
        <f>[27]principales_paises_p3!H89/1000000</f>
        <v>8.0884090000000004</v>
      </c>
      <c r="I20" s="77">
        <f t="shared" si="0"/>
        <v>-56.28052452069381</v>
      </c>
      <c r="J20" s="77">
        <f t="shared" si="1"/>
        <v>43.719475479306197</v>
      </c>
      <c r="K20" s="77">
        <f t="shared" si="2"/>
        <v>-47.363668239096249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[27]principales_paises_p3!C90/1000000</f>
        <v>11.871836</v>
      </c>
      <c r="D21" s="77">
        <f>[27]principales_paises_p3!D90/1000000</f>
        <v>18.603432999999999</v>
      </c>
      <c r="E21" s="77">
        <f>[27]principales_paises_p3!E90/1000000</f>
        <v>38.879240000000003</v>
      </c>
      <c r="F21" s="77">
        <f>[27]principales_paises_p3!F90/1000000</f>
        <v>38.100867000000001</v>
      </c>
      <c r="G21" s="77">
        <f>[27]principales_paises_p3!G90/1000000</f>
        <v>22.845217999999999</v>
      </c>
      <c r="H21" s="79">
        <f>[27]principales_paises_p3!H90/1000000</f>
        <v>10.895821</v>
      </c>
      <c r="I21" s="77">
        <f t="shared" ref="I21" si="4">IF(OR(OR(H21=0,G21=0),H21=""),"",(H21/G21-1)*100)</f>
        <v>-52.30590051712354</v>
      </c>
      <c r="J21" s="77">
        <f t="shared" ref="J21" si="5">IF(OR(OR(H21=0,G21=0),H21=""),"",H21/G21*100)</f>
        <v>47.69409948287646</v>
      </c>
      <c r="K21" s="77">
        <f t="shared" ref="K21" si="6">IF(OR(OR(H21=0,G21=0),H21=""),"",(G21/F21-1)*100)</f>
        <v>-40.040162340662754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[27]principales_paises_p3!C91/1000000</f>
        <v>10.815022000000001</v>
      </c>
      <c r="D22" s="77">
        <f>[27]principales_paises_p3!D91/1000000</f>
        <v>17.977924000000002</v>
      </c>
      <c r="E22" s="77">
        <f>[27]principales_paises_p3!E91/1000000</f>
        <v>55.963498000000001</v>
      </c>
      <c r="F22" s="77">
        <f>[27]principales_paises_p3!F91/1000000</f>
        <v>84.634943000000007</v>
      </c>
      <c r="G22" s="77">
        <f>[27]principales_paises_p3!G91/1000000</f>
        <v>20.427699</v>
      </c>
      <c r="H22" s="79">
        <f>[27]principales_paises_p3!H91/1000000</f>
        <v>10.285252</v>
      </c>
      <c r="I22" s="77">
        <f t="shared" ref="I22" si="7">IF(OR(OR(H22=0,G22=0),H22=""),"",(H22/G22-1)*100)</f>
        <v>-49.650462345269531</v>
      </c>
      <c r="J22" s="77">
        <f t="shared" ref="J22" si="8">IF(OR(OR(H22=0,G22=0),H22=""),"",H22/G22*100)</f>
        <v>50.349537654730469</v>
      </c>
      <c r="K22" s="77">
        <f t="shared" ref="K22" si="9">IF(OR(OR(H22=0,G22=0),H22=""),"",(G22/F22-1)*100)</f>
        <v>-75.863752870962529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[27]principales_paises_p3!C92/1000000</f>
        <v>14.984999</v>
      </c>
      <c r="D23" s="77">
        <f>[27]principales_paises_p3!D92/1000000</f>
        <v>20.104631000000001</v>
      </c>
      <c r="E23" s="77">
        <f>[27]principales_paises_p3!E92/1000000</f>
        <v>53.940322999999999</v>
      </c>
      <c r="F23" s="77">
        <f>[27]principales_paises_p3!F92/1000000</f>
        <v>52.669708999999997</v>
      </c>
      <c r="G23" s="77">
        <f>[27]principales_paises_p3!G92/1000000</f>
        <v>16.221899000000001</v>
      </c>
      <c r="H23" s="79">
        <f>[27]principales_paises_p3!H92/1000000</f>
        <v>9.6374669999999991</v>
      </c>
      <c r="I23" s="77">
        <f t="shared" ref="I23:I24" si="10">IF(OR(OR(H23=0,G23=0),H23=""),"",(H23/G23-1)*100)</f>
        <v>-40.589773120890484</v>
      </c>
      <c r="J23" s="77">
        <f t="shared" ref="J23:J24" si="11">IF(OR(OR(H23=0,G23=0),H23=""),"",H23/G23*100)</f>
        <v>59.410226879109516</v>
      </c>
      <c r="K23" s="77">
        <f t="shared" ref="K23:K24" si="12">IF(OR(OR(H23=0,G23=0),H23=""),"",(G23/F23-1)*100)</f>
        <v>-69.200705095978407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[27]principales_paises_p3!C93/1000000</f>
        <v>11.050774000000001</v>
      </c>
      <c r="D24" s="77">
        <f>[27]principales_paises_p3!D93/1000000</f>
        <v>16.397179000000001</v>
      </c>
      <c r="E24" s="77">
        <f>[27]principales_paises_p3!E93/1000000</f>
        <v>60.024966999999997</v>
      </c>
      <c r="F24" s="77">
        <f>[27]principales_paises_p3!F93/1000000</f>
        <v>48.621291999999997</v>
      </c>
      <c r="G24" s="77">
        <f>[27]principales_paises_p3!G93/1000000</f>
        <v>15.456796000000001</v>
      </c>
      <c r="H24" s="31">
        <f>[27]principales_paises_p3!H93/1000000</f>
        <v>18.791055</v>
      </c>
      <c r="I24" s="25">
        <f t="shared" si="10"/>
        <v>21.571475744391002</v>
      </c>
      <c r="J24" s="25">
        <f t="shared" si="11"/>
        <v>121.57147574439099</v>
      </c>
      <c r="K24" s="25">
        <f t="shared" si="12"/>
        <v>-68.209820504152788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107.50202299999999</v>
      </c>
      <c r="D25" s="79">
        <f t="shared" si="13"/>
        <v>161.738787</v>
      </c>
      <c r="E25" s="79">
        <f t="shared" si="13"/>
        <v>399.886302</v>
      </c>
      <c r="F25" s="79">
        <f t="shared" si="13"/>
        <v>603.86190399999998</v>
      </c>
      <c r="G25" s="79">
        <f>SUM(G13:G24)</f>
        <v>354.54300699999999</v>
      </c>
      <c r="H25" s="107">
        <f>SUM(H13:H24)</f>
        <v>161.52366000000001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50.451854287430486</v>
      </c>
      <c r="E26" s="79">
        <f>(E25/D25-1)*100</f>
        <v>147.24205579704267</v>
      </c>
      <c r="F26" s="79">
        <f>(F25/E25-1)*100</f>
        <v>51.008399382482473</v>
      </c>
      <c r="G26" s="79">
        <f>(G25/F25-1)*100</f>
        <v>-41.287402856266283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107.50202299999999</v>
      </c>
      <c r="D28" s="76">
        <f t="shared" ref="D28:E28" si="14">SUMPRODUCT(D13:D24,$N$13:$N$24)</f>
        <v>161.738787</v>
      </c>
      <c r="E28" s="76">
        <f t="shared" si="14"/>
        <v>399.886302</v>
      </c>
      <c r="F28" s="76">
        <f>SUMPRODUCT(F13:F24,$N$13:$N$24)</f>
        <v>603.86190399999998</v>
      </c>
      <c r="G28" s="76">
        <f>SUMPRODUCT(G13:G24,$N$13:$N$24)</f>
        <v>354.54300699999999</v>
      </c>
      <c r="H28" s="72">
        <f>SUMPRODUCT(H13:H24,$N$13:$N$24)</f>
        <v>161.52366000000001</v>
      </c>
      <c r="I28" s="73">
        <f>IF(OR(OR(H28=0,G28=0),H28=""),"",(H28/G28-1)*100)</f>
        <v>-54.441730111461482</v>
      </c>
      <c r="J28" s="31">
        <f>IF(OR(OR(H28=0,G28=0),H28=""),"",H28/G28*100)</f>
        <v>45.558269888538518</v>
      </c>
      <c r="K28" s="31">
        <f>IF(OR(OR(H28=0,G28=0),G28=""),"",(G28/F28-1)*100)</f>
        <v>-41.287402856266283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50.451854287430486</v>
      </c>
      <c r="E29" s="79">
        <f t="shared" ref="E29:H29" si="15">(E28/D28-1)*100</f>
        <v>147.24205579704267</v>
      </c>
      <c r="F29" s="79">
        <f t="shared" si="15"/>
        <v>51.008399382482473</v>
      </c>
      <c r="G29" s="79">
        <f t="shared" si="15"/>
        <v>-41.287402856266283</v>
      </c>
      <c r="H29" s="31">
        <f t="shared" si="15"/>
        <v>-54.441730111461482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141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[27]principales_paises_p3!C107/1000000</f>
        <v>19.236052999999998</v>
      </c>
      <c r="D13" s="77">
        <f>[27]principales_paises_p3!D107/1000000</f>
        <v>20.914515999999999</v>
      </c>
      <c r="E13" s="77">
        <f>[27]principales_paises_p3!E107/1000000</f>
        <v>28.600223</v>
      </c>
      <c r="F13" s="77">
        <f>[27]principales_paises_p3!F107/1000000</f>
        <v>19.870632000000001</v>
      </c>
      <c r="G13" s="77">
        <f>[27]principales_paises_p3!G107/1000000</f>
        <v>17.946674000000002</v>
      </c>
      <c r="H13" s="79">
        <f>[27]principales_paises_p3!H107/1000000</f>
        <v>6.4335209999999998</v>
      </c>
      <c r="I13" s="77">
        <f t="shared" ref="I13:I20" si="0">IF(OR(OR(H13=0,G13=0),H13=""),"",(H13/G13-1)*100)</f>
        <v>-64.152015019607546</v>
      </c>
      <c r="J13" s="77">
        <f t="shared" ref="J13:J20" si="1">IF(OR(OR(H13=0,G13=0),H13=""),"",H13/G13*100)</f>
        <v>35.847984980392461</v>
      </c>
      <c r="K13" s="77">
        <f t="shared" ref="K13:K20" si="2">IF(OR(OR(H13=0,G13=0),H13=""),"",(G13/F13-1)*100)</f>
        <v>-9.6824197640014589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[27]principales_paises_p3!C108/1000000</f>
        <v>14.877126000000001</v>
      </c>
      <c r="D14" s="77">
        <f>[27]principales_paises_p3!D108/1000000</f>
        <v>28.864052999999998</v>
      </c>
      <c r="E14" s="77">
        <f>[27]principales_paises_p3!E108/1000000</f>
        <v>42.566814999999998</v>
      </c>
      <c r="F14" s="77">
        <f>[27]principales_paises_p3!F108/1000000</f>
        <v>42.147150000000003</v>
      </c>
      <c r="G14" s="77">
        <f>[27]principales_paises_p3!G108/1000000</f>
        <v>20.116623000000001</v>
      </c>
      <c r="H14" s="79">
        <f>[27]principales_paises_p3!H108/1000000</f>
        <v>9.5073679999999996</v>
      </c>
      <c r="I14" s="77">
        <f t="shared" si="0"/>
        <v>-52.738747452790655</v>
      </c>
      <c r="J14" s="77">
        <f t="shared" si="1"/>
        <v>47.261252547209338</v>
      </c>
      <c r="K14" s="77">
        <f t="shared" si="2"/>
        <v>-52.270502275954598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[27]principales_paises_p3!C109/1000000</f>
        <v>19.268194000000001</v>
      </c>
      <c r="D15" s="77">
        <f>[27]principales_paises_p3!D109/1000000</f>
        <v>39.007917999999997</v>
      </c>
      <c r="E15" s="77">
        <f>[27]principales_paises_p3!E109/1000000</f>
        <v>51.256909999999998</v>
      </c>
      <c r="F15" s="77">
        <f>[27]principales_paises_p3!F109/1000000</f>
        <v>20.177593999999999</v>
      </c>
      <c r="G15" s="77">
        <f>[27]principales_paises_p3!G109/1000000</f>
        <v>18.534061000000001</v>
      </c>
      <c r="H15" s="79">
        <f>[27]principales_paises_p3!H109/1000000</f>
        <v>10.855347999999999</v>
      </c>
      <c r="I15" s="77">
        <f t="shared" si="0"/>
        <v>-41.430278016242639</v>
      </c>
      <c r="J15" s="77">
        <f>IF(OR(OR(H15=0,G15=0),H15=""),"",H15/G15*100)</f>
        <v>58.569721983757361</v>
      </c>
      <c r="K15" s="77">
        <f t="shared" si="2"/>
        <v>-8.145336852352159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[27]principales_paises_p3!C110/1000000</f>
        <v>27.919387</v>
      </c>
      <c r="D16" s="77">
        <f>[27]principales_paises_p3!D110/1000000</f>
        <v>27.188113999999999</v>
      </c>
      <c r="E16" s="77">
        <f>[27]principales_paises_p3!E110/1000000</f>
        <v>40.765242000000001</v>
      </c>
      <c r="F16" s="77">
        <f>[27]principales_paises_p3!F110/1000000</f>
        <v>30.916516999999999</v>
      </c>
      <c r="G16" s="77">
        <f>[27]principales_paises_p3!G110/1000000</f>
        <v>13.474928999999999</v>
      </c>
      <c r="H16" s="79">
        <f>[27]principales_paises_p3!H110/1000000</f>
        <v>7.3909229999999999</v>
      </c>
      <c r="I16" s="77">
        <f t="shared" si="0"/>
        <v>-45.150560719095431</v>
      </c>
      <c r="J16" s="77">
        <f t="shared" si="1"/>
        <v>54.849439280904569</v>
      </c>
      <c r="K16" s="77">
        <f t="shared" si="2"/>
        <v>-56.415112996072622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[27]principales_paises_p3!C111/1000000</f>
        <v>32.294865000000001</v>
      </c>
      <c r="D17" s="77">
        <f>[27]principales_paises_p3!D111/1000000</f>
        <v>31.010456999999999</v>
      </c>
      <c r="E17" s="77">
        <f>[27]principales_paises_p3!E111/1000000</f>
        <v>52.844340000000003</v>
      </c>
      <c r="F17" s="77">
        <f>[27]principales_paises_p3!F111/1000000</f>
        <v>22.565348</v>
      </c>
      <c r="G17" s="77">
        <f>[27]principales_paises_p3!G111/1000000</f>
        <v>17.454718</v>
      </c>
      <c r="H17" s="79">
        <f>[27]principales_paises_p3!H111/1000000</f>
        <v>9.5778750000000006</v>
      </c>
      <c r="I17" s="77">
        <f t="shared" si="0"/>
        <v>-45.127300252000637</v>
      </c>
      <c r="J17" s="77">
        <f t="shared" si="1"/>
        <v>54.872699747999363</v>
      </c>
      <c r="K17" s="77">
        <f t="shared" si="2"/>
        <v>-22.648132880556503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[27]principales_paises_p3!C112/1000000</f>
        <v>33.273116000000002</v>
      </c>
      <c r="D18" s="77">
        <f>[27]principales_paises_p3!D112/1000000</f>
        <v>28.676780000000001</v>
      </c>
      <c r="E18" s="77">
        <f>[27]principales_paises_p3!E112/1000000</f>
        <v>42.849938999999999</v>
      </c>
      <c r="F18" s="77">
        <f>[27]principales_paises_p3!F112/1000000</f>
        <v>14.970253</v>
      </c>
      <c r="G18" s="77">
        <f>[27]principales_paises_p3!G112/1000000</f>
        <v>13.255458000000001</v>
      </c>
      <c r="H18" s="79">
        <f>[27]principales_paises_p3!H112/1000000</f>
        <v>5.4008070000000004</v>
      </c>
      <c r="I18" s="77">
        <f t="shared" si="0"/>
        <v>-59.255975915732215</v>
      </c>
      <c r="J18" s="77">
        <f t="shared" si="1"/>
        <v>40.744024084267778</v>
      </c>
      <c r="K18" s="77">
        <f t="shared" si="2"/>
        <v>-11.45468283000961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[27]principales_paises_p3!C113/1000000</f>
        <v>30.866671</v>
      </c>
      <c r="D19" s="77">
        <f>[27]principales_paises_p3!D113/1000000</f>
        <v>27.981657999999999</v>
      </c>
      <c r="E19" s="77">
        <f>[27]principales_paises_p3!E113/1000000</f>
        <v>52.571007999999999</v>
      </c>
      <c r="F19" s="77">
        <f>[27]principales_paises_p3!F113/1000000</f>
        <v>23.292835</v>
      </c>
      <c r="G19" s="77">
        <f>[27]principales_paises_p3!G113/1000000</f>
        <v>15.068607</v>
      </c>
      <c r="H19" s="79">
        <f>[27]principales_paises_p3!H113/1000000</f>
        <v>7.6968110000000003</v>
      </c>
      <c r="I19" s="77">
        <f>IF(OR(OR(H19=0,G19=0),H19=""),"",(H19/G19-1)*100)</f>
        <v>-48.921549284548995</v>
      </c>
      <c r="J19" s="77">
        <f t="shared" si="1"/>
        <v>51.078450715451005</v>
      </c>
      <c r="K19" s="77">
        <f t="shared" si="2"/>
        <v>-35.307973460508343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[27]principales_paises_p3!C114/1000000</f>
        <v>28.509432</v>
      </c>
      <c r="D20" s="77">
        <f>[27]principales_paises_p3!D114/1000000</f>
        <v>39.467697999999999</v>
      </c>
      <c r="E20" s="77">
        <f>[27]principales_paises_p3!E114/1000000</f>
        <v>57.214877000000001</v>
      </c>
      <c r="F20" s="77">
        <f>[27]principales_paises_p3!F114/1000000</f>
        <v>26.200374</v>
      </c>
      <c r="G20" s="77">
        <f>[27]principales_paises_p3!G114/1000000</f>
        <v>11.344861999999999</v>
      </c>
      <c r="H20" s="79">
        <f>[27]principales_paises_p3!H114/1000000</f>
        <v>4.7047889999999999</v>
      </c>
      <c r="I20" s="77">
        <f t="shared" si="0"/>
        <v>-58.529341300052828</v>
      </c>
      <c r="J20" s="77">
        <f t="shared" si="1"/>
        <v>41.470658699947165</v>
      </c>
      <c r="K20" s="77">
        <f t="shared" si="2"/>
        <v>-56.699618104688135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[27]principales_paises_p3!C115/1000000</f>
        <v>34.537480000000002</v>
      </c>
      <c r="D21" s="77">
        <f>[27]principales_paises_p3!D115/1000000</f>
        <v>45.340680999999996</v>
      </c>
      <c r="E21" s="77">
        <f>[27]principales_paises_p3!E115/1000000</f>
        <v>58.513153000000003</v>
      </c>
      <c r="F21" s="77">
        <f>[27]principales_paises_p3!F115/1000000</f>
        <v>28.049347000000001</v>
      </c>
      <c r="G21" s="77">
        <f>[27]principales_paises_p3!G115/1000000</f>
        <v>15.804333</v>
      </c>
      <c r="H21" s="79">
        <f>[27]principales_paises_p3!H115/1000000</f>
        <v>5.8340420000000002</v>
      </c>
      <c r="I21" s="77">
        <f t="shared" ref="I21" si="4">IF(OR(OR(H21=0,G21=0),H21=""),"",(H21/G21-1)*100)</f>
        <v>-63.085806911307159</v>
      </c>
      <c r="J21" s="77">
        <f t="shared" ref="J21" si="5">IF(OR(OR(H21=0,G21=0),H21=""),"",H21/G21*100)</f>
        <v>36.914193088692834</v>
      </c>
      <c r="K21" s="77">
        <f t="shared" ref="K21" si="6">IF(OR(OR(H21=0,G21=0),H21=""),"",(G21/F21-1)*100)</f>
        <v>-43.655255147294511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[27]principales_paises_p3!C116/1000000</f>
        <v>26.680802</v>
      </c>
      <c r="D22" s="77">
        <f>[27]principales_paises_p3!D116/1000000</f>
        <v>42.482213999999999</v>
      </c>
      <c r="E22" s="77">
        <f>[27]principales_paises_p3!E116/1000000</f>
        <v>62.165377999999997</v>
      </c>
      <c r="F22" s="77">
        <f>[27]principales_paises_p3!F116/1000000</f>
        <v>34.682088999999998</v>
      </c>
      <c r="G22" s="77">
        <f>[27]principales_paises_p3!G116/1000000</f>
        <v>12.493512000000001</v>
      </c>
      <c r="H22" s="79">
        <f>[27]principales_paises_p3!H116/1000000</f>
        <v>5.1543469999999996</v>
      </c>
      <c r="I22" s="77">
        <f t="shared" ref="I22" si="7">IF(OR(OR(H22=0,G22=0),H22=""),"",(H22/G22-1)*100)</f>
        <v>-58.743810387343451</v>
      </c>
      <c r="J22" s="77">
        <f t="shared" ref="J22" si="8">IF(OR(OR(H22=0,G22=0),H22=""),"",H22/G22*100)</f>
        <v>41.256189612656549</v>
      </c>
      <c r="K22" s="77">
        <f t="shared" ref="K22" si="9">IF(OR(OR(H22=0,G22=0),H22=""),"",(G22/F22-1)*100)</f>
        <v>-63.977048787343804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[27]principales_paises_p3!C117/1000000</f>
        <v>25.202003000000001</v>
      </c>
      <c r="D23" s="77">
        <f>[27]principales_paises_p3!D117/1000000</f>
        <v>46.431643000000001</v>
      </c>
      <c r="E23" s="77">
        <f>[27]principales_paises_p3!E117/1000000</f>
        <v>87.622690000000006</v>
      </c>
      <c r="F23" s="77">
        <f>[27]principales_paises_p3!F117/1000000</f>
        <v>31.309488000000002</v>
      </c>
      <c r="G23" s="77">
        <f>[27]principales_paises_p3!G117/1000000</f>
        <v>10.129924000000001</v>
      </c>
      <c r="H23" s="79">
        <f>[27]principales_paises_p3!H117/1000000</f>
        <v>5.337313</v>
      </c>
      <c r="I23" s="77">
        <f t="shared" ref="I23:I24" si="10">IF(OR(OR(H23=0,G23=0),H23=""),"",(H23/G23-1)*100)</f>
        <v>-47.311421092596554</v>
      </c>
      <c r="J23" s="77">
        <f t="shared" ref="J23:J24" si="11">IF(OR(OR(H23=0,G23=0),H23=""),"",H23/G23*100)</f>
        <v>52.688578907403446</v>
      </c>
      <c r="K23" s="77">
        <f t="shared" ref="K23:K24" si="12">IF(OR(OR(H23=0,G23=0),H23=""),"",(G23/F23-1)*100)</f>
        <v>-67.645833109758939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[27]principales_paises_p3!C118/1000000</f>
        <v>28.480978</v>
      </c>
      <c r="D24" s="77">
        <f>[27]principales_paises_p3!D118/1000000</f>
        <v>43.968997999999999</v>
      </c>
      <c r="E24" s="77">
        <f>[27]principales_paises_p3!E118/1000000</f>
        <v>65.604073999999997</v>
      </c>
      <c r="F24" s="77">
        <f>[27]principales_paises_p3!F118/1000000</f>
        <v>35.826557999999999</v>
      </c>
      <c r="G24" s="77">
        <f>[27]principales_paises_p3!G118/1000000</f>
        <v>5.8801959999999998</v>
      </c>
      <c r="H24" s="31">
        <f>[27]principales_paises_p3!H118/1000000</f>
        <v>5.2622030000000004</v>
      </c>
      <c r="I24" s="25">
        <f t="shared" si="10"/>
        <v>-10.509734709523277</v>
      </c>
      <c r="J24" s="25">
        <f t="shared" si="11"/>
        <v>89.490265290476728</v>
      </c>
      <c r="K24" s="25">
        <f t="shared" si="12"/>
        <v>-83.587047351855574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321.14610699999997</v>
      </c>
      <c r="D25" s="79">
        <f t="shared" si="13"/>
        <v>421.33473000000004</v>
      </c>
      <c r="E25" s="79">
        <f t="shared" si="13"/>
        <v>642.57464899999991</v>
      </c>
      <c r="F25" s="79">
        <f t="shared" si="13"/>
        <v>330.00818499999997</v>
      </c>
      <c r="G25" s="79">
        <f>SUM(G13:G24)</f>
        <v>171.50389700000002</v>
      </c>
      <c r="H25" s="107">
        <f>SUM(H13:H24)</f>
        <v>83.155346999999992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31.197209250305512</v>
      </c>
      <c r="E26" s="79">
        <f>(E25/D25-1)*100</f>
        <v>52.509300384518468</v>
      </c>
      <c r="F26" s="79">
        <f>(F25/E25-1)*100</f>
        <v>-48.642825310090934</v>
      </c>
      <c r="G26" s="79">
        <f>(G25/F25-1)*100</f>
        <v>-48.030411124499828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321.14610699999997</v>
      </c>
      <c r="D28" s="76">
        <f t="shared" ref="D28:E28" si="14">SUMPRODUCT(D13:D24,$N$13:$N$24)</f>
        <v>421.33473000000004</v>
      </c>
      <c r="E28" s="76">
        <f t="shared" si="14"/>
        <v>642.57464899999991</v>
      </c>
      <c r="F28" s="76">
        <f>SUMPRODUCT(F13:F24,$N$13:$N$24)</f>
        <v>330.00818499999997</v>
      </c>
      <c r="G28" s="76">
        <f>SUMPRODUCT(G13:G24,$N$13:$N$24)</f>
        <v>171.50389700000002</v>
      </c>
      <c r="H28" s="72">
        <f>SUMPRODUCT(H13:H24,$N$13:$N$24)</f>
        <v>83.155346999999992</v>
      </c>
      <c r="I28" s="73">
        <f>IF(OR(OR(H28=0,G28=0),H28=""),"",(H28/G28-1)*100)</f>
        <v>-51.514018949668539</v>
      </c>
      <c r="J28" s="31">
        <f>IF(OR(OR(H28=0,G28=0),H28=""),"",H28/G28*100)</f>
        <v>48.485981050331453</v>
      </c>
      <c r="K28" s="31">
        <f>IF(OR(OR(H28=0,G28=0),G28=""),"",(G28/F28-1)*100)</f>
        <v>-48.030411124499828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31.197209250305512</v>
      </c>
      <c r="E29" s="79">
        <f t="shared" ref="E29:H29" si="15">(E28/D28-1)*100</f>
        <v>52.509300384518468</v>
      </c>
      <c r="F29" s="79">
        <f t="shared" si="15"/>
        <v>-48.642825310090934</v>
      </c>
      <c r="G29" s="79">
        <f t="shared" si="15"/>
        <v>-48.030411124499828</v>
      </c>
      <c r="H29" s="31">
        <f t="shared" si="15"/>
        <v>-51.514018949668539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142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5">
        <v>2005</v>
      </c>
      <c r="D11" s="115">
        <v>2006</v>
      </c>
      <c r="E11" s="115">
        <v>2007</v>
      </c>
      <c r="F11" s="115">
        <v>2008</v>
      </c>
      <c r="G11" s="115">
        <v>2009</v>
      </c>
      <c r="H11" s="115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[27]principales_paises_p3!C132/1000000</f>
        <v>2.6272549999999999</v>
      </c>
      <c r="D13" s="77">
        <f>[27]principales_paises_p3!D132/1000000</f>
        <v>6.5781999999999998</v>
      </c>
      <c r="E13" s="77">
        <f>[27]principales_paises_p3!E132/1000000</f>
        <v>10.806900000000001</v>
      </c>
      <c r="F13" s="77">
        <f>[27]principales_paises_p3!F132/1000000</f>
        <v>9.1186749999999996</v>
      </c>
      <c r="G13" s="77">
        <f>[27]principales_paises_p3!G132/1000000</f>
        <v>7.449306</v>
      </c>
      <c r="H13" s="79">
        <f>[27]principales_paises_p3!H132/1000000</f>
        <v>1.2450159999999999</v>
      </c>
      <c r="I13" s="77">
        <f t="shared" ref="I13:I20" si="0">IF(OR(OR(H13=0,G13=0),H13=""),"",(H13/G13-1)*100)</f>
        <v>-83.286818933199953</v>
      </c>
      <c r="J13" s="77">
        <f t="shared" ref="J13:J20" si="1">IF(OR(OR(H13=0,G13=0),H13=""),"",H13/G13*100)</f>
        <v>16.713181066800047</v>
      </c>
      <c r="K13" s="77">
        <f t="shared" ref="K13:K20" si="2">IF(OR(OR(H13=0,G13=0),H13=""),"",(G13/F13-1)*100)</f>
        <v>-18.307144404203456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[27]principales_paises_p3!C133/1000000</f>
        <v>3.0280740000000002</v>
      </c>
      <c r="D14" s="77">
        <f>[27]principales_paises_p3!D133/1000000</f>
        <v>6.5518890000000001</v>
      </c>
      <c r="E14" s="77">
        <f>[27]principales_paises_p3!E133/1000000</f>
        <v>3.9293610000000001</v>
      </c>
      <c r="F14" s="77">
        <f>[27]principales_paises_p3!F133/1000000</f>
        <v>8.2997759999999996</v>
      </c>
      <c r="G14" s="77">
        <f>[27]principales_paises_p3!G133/1000000</f>
        <v>13.033151</v>
      </c>
      <c r="H14" s="79">
        <f>[27]principales_paises_p3!H133/1000000</f>
        <v>5.5402430000000003</v>
      </c>
      <c r="I14" s="77">
        <f t="shared" si="0"/>
        <v>-57.491146998910693</v>
      </c>
      <c r="J14" s="77">
        <f t="shared" si="1"/>
        <v>42.5088530010893</v>
      </c>
      <c r="K14" s="77">
        <f t="shared" si="2"/>
        <v>57.030153584867847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[27]principales_paises_p3!C134/1000000</f>
        <v>3.0895220000000001</v>
      </c>
      <c r="D15" s="77">
        <f>[27]principales_paises_p3!D134/1000000</f>
        <v>6.7547009999999998</v>
      </c>
      <c r="E15" s="77">
        <f>[27]principales_paises_p3!E134/1000000</f>
        <v>12.957986</v>
      </c>
      <c r="F15" s="77">
        <f>[27]principales_paises_p3!F134/1000000</f>
        <v>12.171727000000001</v>
      </c>
      <c r="G15" s="77">
        <f>[27]principales_paises_p3!G134/1000000</f>
        <v>9.7490039999999993</v>
      </c>
      <c r="H15" s="79">
        <f>[27]principales_paises_p3!H134/1000000</f>
        <v>10.035140999999999</v>
      </c>
      <c r="I15" s="77">
        <f t="shared" si="0"/>
        <v>2.9350382869880898</v>
      </c>
      <c r="J15" s="77">
        <f>IF(OR(OR(H15=0,G15=0),H15=""),"",H15/G15*100)</f>
        <v>102.93503828698809</v>
      </c>
      <c r="K15" s="77">
        <f t="shared" si="2"/>
        <v>-19.904513139343337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[27]principales_paises_p3!C135/1000000</f>
        <v>4.8594739999999996</v>
      </c>
      <c r="D16" s="77">
        <f>[27]principales_paises_p3!D135/1000000</f>
        <v>5.1462250000000003</v>
      </c>
      <c r="E16" s="77">
        <f>[27]principales_paises_p3!E135/1000000</f>
        <v>5.5292399999999997</v>
      </c>
      <c r="F16" s="77">
        <f>[27]principales_paises_p3!F135/1000000</f>
        <v>13.461786999999999</v>
      </c>
      <c r="G16" s="77">
        <f>[27]principales_paises_p3!G135/1000000</f>
        <v>8.0000350000000005</v>
      </c>
      <c r="H16" s="79">
        <f>[27]principales_paises_p3!H135/1000000</f>
        <v>2.8224360000000002</v>
      </c>
      <c r="I16" s="77">
        <f t="shared" si="0"/>
        <v>-64.719704351293458</v>
      </c>
      <c r="J16" s="77">
        <f t="shared" si="1"/>
        <v>35.280295648706542</v>
      </c>
      <c r="K16" s="77">
        <f t="shared" si="2"/>
        <v>-40.572265777195845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[27]principales_paises_p3!C136/1000000</f>
        <v>3.2531669999999999</v>
      </c>
      <c r="D17" s="77">
        <f>[27]principales_paises_p3!D136/1000000</f>
        <v>4.4946390000000003</v>
      </c>
      <c r="E17" s="77">
        <f>[27]principales_paises_p3!E136/1000000</f>
        <v>10.762286</v>
      </c>
      <c r="F17" s="77">
        <f>[27]principales_paises_p3!F136/1000000</f>
        <v>8.5033670000000008</v>
      </c>
      <c r="G17" s="77">
        <f>[27]principales_paises_p3!G136/1000000</f>
        <v>9.9058349999999997</v>
      </c>
      <c r="H17" s="79">
        <f>[27]principales_paises_p3!H136/1000000</f>
        <v>4.4096279999999997</v>
      </c>
      <c r="I17" s="77">
        <f t="shared" si="0"/>
        <v>-55.484540172534679</v>
      </c>
      <c r="J17" s="77">
        <f t="shared" si="1"/>
        <v>44.515459827465328</v>
      </c>
      <c r="K17" s="77">
        <f t="shared" si="2"/>
        <v>16.493090325279368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[27]principales_paises_p3!C137/1000000</f>
        <v>4.4711930000000004</v>
      </c>
      <c r="D18" s="77">
        <f>[27]principales_paises_p3!D137/1000000</f>
        <v>8.4163340000000009</v>
      </c>
      <c r="E18" s="77">
        <f>[27]principales_paises_p3!E137/1000000</f>
        <v>6.2453419999999999</v>
      </c>
      <c r="F18" s="77">
        <f>[27]principales_paises_p3!F137/1000000</f>
        <v>9.5269270000000006</v>
      </c>
      <c r="G18" s="77">
        <f>[27]principales_paises_p3!G137/1000000</f>
        <v>16.622056000000001</v>
      </c>
      <c r="H18" s="79">
        <f>[27]principales_paises_p3!H137/1000000</f>
        <v>1.3590530000000001</v>
      </c>
      <c r="I18" s="77">
        <f t="shared" si="0"/>
        <v>-91.823797248667674</v>
      </c>
      <c r="J18" s="77">
        <f t="shared" si="1"/>
        <v>8.1762027513323261</v>
      </c>
      <c r="K18" s="77">
        <f t="shared" si="2"/>
        <v>74.474476397268489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[27]principales_paises_p3!C138/1000000</f>
        <v>5.6822059999999999</v>
      </c>
      <c r="D19" s="77">
        <f>[27]principales_paises_p3!D138/1000000</f>
        <v>5.7443160000000004</v>
      </c>
      <c r="E19" s="77">
        <f>[27]principales_paises_p3!E138/1000000</f>
        <v>12.007095</v>
      </c>
      <c r="F19" s="77">
        <f>[27]principales_paises_p3!F138/1000000</f>
        <v>19.117861000000001</v>
      </c>
      <c r="G19" s="77">
        <f>[27]principales_paises_p3!G138/1000000</f>
        <v>6.6324730000000001</v>
      </c>
      <c r="H19" s="79">
        <f>[27]principales_paises_p3!H138/1000000</f>
        <v>1.29437</v>
      </c>
      <c r="I19" s="77">
        <f>IF(OR(OR(H19=0,G19=0),H19=""),"",(H19/G19-1)*100)</f>
        <v>-80.484353272150528</v>
      </c>
      <c r="J19" s="77">
        <f t="shared" si="1"/>
        <v>19.515646727849475</v>
      </c>
      <c r="K19" s="77">
        <f t="shared" si="2"/>
        <v>-65.307452543984908</v>
      </c>
      <c r="L19" s="65"/>
      <c r="N19" s="43">
        <f t="shared" si="3"/>
        <v>1</v>
      </c>
    </row>
    <row r="20" spans="1:15" s="120" customFormat="1">
      <c r="A20" s="63"/>
      <c r="B20" s="74" t="s">
        <v>18</v>
      </c>
      <c r="C20" s="77">
        <f>[27]principales_paises_p3!C139/1000000</f>
        <v>5.143402</v>
      </c>
      <c r="D20" s="77">
        <f>[27]principales_paises_p3!D139/1000000</f>
        <v>8.2868829999999996</v>
      </c>
      <c r="E20" s="77">
        <f>[27]principales_paises_p3!E139/1000000</f>
        <v>9.1503689999999995</v>
      </c>
      <c r="F20" s="77">
        <f>[27]principales_paises_p3!F139/1000000</f>
        <v>11.773752999999999</v>
      </c>
      <c r="G20" s="77">
        <f>[27]principales_paises_p3!G139/1000000</f>
        <v>11.450925</v>
      </c>
      <c r="H20" s="79">
        <f>[27]principales_paises_p3!H139/1000000</f>
        <v>1.019552</v>
      </c>
      <c r="I20" s="77">
        <f t="shared" si="0"/>
        <v>-91.096335012237006</v>
      </c>
      <c r="J20" s="77">
        <f t="shared" si="1"/>
        <v>8.9036649877629976</v>
      </c>
      <c r="K20" s="77">
        <f t="shared" si="2"/>
        <v>-2.7419294425490293</v>
      </c>
      <c r="L20" s="65"/>
      <c r="M20" s="43"/>
      <c r="N20" s="43">
        <f t="shared" si="3"/>
        <v>1</v>
      </c>
      <c r="O20" s="43"/>
    </row>
    <row r="21" spans="1:15" s="120" customFormat="1">
      <c r="A21" s="63"/>
      <c r="B21" s="74" t="s">
        <v>19</v>
      </c>
      <c r="C21" s="77">
        <f>[27]principales_paises_p3!C140/1000000</f>
        <v>6.3856279999999996</v>
      </c>
      <c r="D21" s="77">
        <f>[27]principales_paises_p3!D140/1000000</f>
        <v>9.0354849999999995</v>
      </c>
      <c r="E21" s="77">
        <f>[27]principales_paises_p3!E140/1000000</f>
        <v>9.1318999999999999</v>
      </c>
      <c r="F21" s="77">
        <f>[27]principales_paises_p3!F140/1000000</f>
        <v>9.5399399999999996</v>
      </c>
      <c r="G21" s="77">
        <f>[27]principales_paises_p3!G140/1000000</f>
        <v>20.078133999999999</v>
      </c>
      <c r="H21" s="79">
        <f>[27]principales_paises_p3!H140/1000000</f>
        <v>2.2046920000000001</v>
      </c>
      <c r="I21" s="77">
        <f t="shared" ref="I21" si="4">IF(OR(OR(H21=0,G21=0),H21=""),"",(H21/G21-1)*100)</f>
        <v>-89.019437762493268</v>
      </c>
      <c r="J21" s="77">
        <f t="shared" ref="J21" si="5">IF(OR(OR(H21=0,G21=0),H21=""),"",H21/G21*100)</f>
        <v>10.980562237506735</v>
      </c>
      <c r="K21" s="77">
        <f t="shared" ref="K21" si="6">IF(OR(OR(H21=0,G21=0),H21=""),"",(G21/F21-1)*100)</f>
        <v>110.46394421767852</v>
      </c>
      <c r="L21" s="65"/>
      <c r="M21" s="43"/>
      <c r="N21" s="43">
        <f t="shared" si="3"/>
        <v>1</v>
      </c>
      <c r="O21" s="43"/>
    </row>
    <row r="22" spans="1:15" s="120" customFormat="1">
      <c r="A22" s="63"/>
      <c r="B22" s="74" t="s">
        <v>20</v>
      </c>
      <c r="C22" s="77">
        <f>[27]principales_paises_p3!C141/1000000</f>
        <v>6.6468350000000003</v>
      </c>
      <c r="D22" s="77">
        <f>[27]principales_paises_p3!D141/1000000</f>
        <v>7.5694869999999996</v>
      </c>
      <c r="E22" s="77">
        <f>[27]principales_paises_p3!E141/1000000</f>
        <v>8.3054959999999998</v>
      </c>
      <c r="F22" s="77">
        <f>[27]principales_paises_p3!F141/1000000</f>
        <v>10.865883999999999</v>
      </c>
      <c r="G22" s="77">
        <f>[27]principales_paises_p3!G141/1000000</f>
        <v>10.417377999999999</v>
      </c>
      <c r="H22" s="79">
        <f>[27]principales_paises_p3!H141/1000000</f>
        <v>2.9001239999999999</v>
      </c>
      <c r="I22" s="77">
        <f t="shared" ref="I22" si="7">IF(OR(OR(H22=0,G22=0),H22=""),"",(H22/G22-1)*100)</f>
        <v>-72.160710689388438</v>
      </c>
      <c r="J22" s="77">
        <f t="shared" ref="J22" si="8">IF(OR(OR(H22=0,G22=0),H22=""),"",H22/G22*100)</f>
        <v>27.839289310611559</v>
      </c>
      <c r="K22" s="77">
        <f t="shared" ref="K22" si="9">IF(OR(OR(H22=0,G22=0),H22=""),"",(G22/F22-1)*100)</f>
        <v>-4.1276531205376443</v>
      </c>
      <c r="L22" s="65"/>
      <c r="M22" s="43"/>
      <c r="N22" s="43">
        <f t="shared" si="3"/>
        <v>1</v>
      </c>
      <c r="O22" s="43"/>
    </row>
    <row r="23" spans="1:15" s="120" customFormat="1">
      <c r="A23" s="63"/>
      <c r="B23" s="74" t="s">
        <v>21</v>
      </c>
      <c r="C23" s="77">
        <f>[27]principales_paises_p3!C142/1000000</f>
        <v>6.5292450000000004</v>
      </c>
      <c r="D23" s="77">
        <f>[27]principales_paises_p3!D142/1000000</f>
        <v>7.1465949999999996</v>
      </c>
      <c r="E23" s="77">
        <f>[27]principales_paises_p3!E142/1000000</f>
        <v>8.9928559999999997</v>
      </c>
      <c r="F23" s="77">
        <f>[27]principales_paises_p3!F142/1000000</f>
        <v>13.768250999999999</v>
      </c>
      <c r="G23" s="77">
        <f>[27]principales_paises_p3!G142/1000000</f>
        <v>16.341522999999999</v>
      </c>
      <c r="H23" s="79">
        <f>[27]principales_paises_p3!H142/1000000</f>
        <v>2.1986490000000001</v>
      </c>
      <c r="I23" s="77">
        <f t="shared" ref="I23:I24" si="10">IF(OR(OR(H23=0,G23=0),H23=""),"",(H23/G23-1)*100)</f>
        <v>-86.545629804516992</v>
      </c>
      <c r="J23" s="77">
        <f t="shared" ref="J23:J24" si="11">IF(OR(OR(H23=0,G23=0),H23=""),"",H23/G23*100)</f>
        <v>13.454370195483007</v>
      </c>
      <c r="K23" s="77">
        <f t="shared" ref="K23:K24" si="12">IF(OR(OR(H23=0,G23=0),H23=""),"",(G23/F23-1)*100)</f>
        <v>18.689897504047526</v>
      </c>
      <c r="L23" s="65"/>
      <c r="M23" s="43"/>
      <c r="N23" s="43">
        <f t="shared" si="3"/>
        <v>1</v>
      </c>
      <c r="O23" s="43"/>
    </row>
    <row r="24" spans="1:15" s="120" customFormat="1">
      <c r="A24" s="63"/>
      <c r="B24" s="74" t="s">
        <v>22</v>
      </c>
      <c r="C24" s="77">
        <f>[27]principales_paises_p3!C143/1000000</f>
        <v>4.1438379999999997</v>
      </c>
      <c r="D24" s="77">
        <f>[27]principales_paises_p3!D143/1000000</f>
        <v>5.4936480000000003</v>
      </c>
      <c r="E24" s="77">
        <f>[27]principales_paises_p3!E143/1000000</f>
        <v>8.3390520000000006</v>
      </c>
      <c r="F24" s="77">
        <f>[27]principales_paises_p3!F143/1000000</f>
        <v>8.9214179999999992</v>
      </c>
      <c r="G24" s="77">
        <f>[27]principales_paises_p3!G143/1000000</f>
        <v>7.3902939999999999</v>
      </c>
      <c r="H24" s="31">
        <f>[27]principales_paises_p3!H143/1000000</f>
        <v>1.293642</v>
      </c>
      <c r="I24" s="25">
        <f t="shared" si="10"/>
        <v>-82.495391928927319</v>
      </c>
      <c r="J24" s="25">
        <f t="shared" si="11"/>
        <v>17.504608071072681</v>
      </c>
      <c r="K24" s="25">
        <f t="shared" si="12"/>
        <v>-17.162338991402482</v>
      </c>
      <c r="L24" s="65"/>
      <c r="M24" s="43"/>
      <c r="N24" s="43">
        <f t="shared" si="3"/>
        <v>1</v>
      </c>
      <c r="O24" s="43"/>
    </row>
    <row r="25" spans="1:15" s="120" customFormat="1">
      <c r="A25" s="63"/>
      <c r="B25" s="78" t="s">
        <v>42</v>
      </c>
      <c r="C25" s="79">
        <f t="shared" ref="C25:F25" si="13">SUM(C13:C24)</f>
        <v>55.859839000000008</v>
      </c>
      <c r="D25" s="79">
        <f t="shared" si="13"/>
        <v>81.218401999999998</v>
      </c>
      <c r="E25" s="79">
        <f t="shared" si="13"/>
        <v>106.157883</v>
      </c>
      <c r="F25" s="79">
        <f t="shared" si="13"/>
        <v>135.06936599999997</v>
      </c>
      <c r="G25" s="79">
        <f>SUM(G13:G24)</f>
        <v>137.07011400000002</v>
      </c>
      <c r="H25" s="107">
        <f>SUM(H13:H24)</f>
        <v>36.322546000000003</v>
      </c>
      <c r="I25" s="70"/>
      <c r="J25" s="53"/>
      <c r="K25" s="53"/>
      <c r="L25" s="65"/>
      <c r="M25" s="43"/>
      <c r="N25" s="43"/>
      <c r="O25" s="43"/>
    </row>
    <row r="26" spans="1:15" s="120" customFormat="1" ht="18.75" customHeight="1">
      <c r="A26" s="63"/>
      <c r="B26" s="78" t="s">
        <v>23</v>
      </c>
      <c r="C26" s="79"/>
      <c r="D26" s="79">
        <f>(D25/C25-1)*100</f>
        <v>45.396770656642936</v>
      </c>
      <c r="E26" s="79">
        <f>(E25/D25-1)*100</f>
        <v>30.706687629731988</v>
      </c>
      <c r="F26" s="79">
        <f>(F25/E25-1)*100</f>
        <v>27.234419322397365</v>
      </c>
      <c r="G26" s="79">
        <f>(G25/F25-1)*100</f>
        <v>1.4812744438291503</v>
      </c>
      <c r="H26" s="52"/>
      <c r="I26" s="53"/>
      <c r="J26" s="53"/>
      <c r="K26" s="53"/>
      <c r="L26" s="65"/>
      <c r="M26" s="43"/>
      <c r="N26" s="44"/>
      <c r="O26" s="43"/>
    </row>
    <row r="27" spans="1:15" s="120" customFormat="1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  <c r="M27" s="43"/>
      <c r="N27" s="44"/>
      <c r="O27" s="43"/>
    </row>
    <row r="28" spans="1:15" s="120" customFormat="1" ht="18.75" customHeight="1">
      <c r="A28" s="63"/>
      <c r="B28" s="78" t="s">
        <v>24</v>
      </c>
      <c r="C28" s="76">
        <f>SUMPRODUCT(C13:C24,$N$13:$N$24)</f>
        <v>55.859839000000008</v>
      </c>
      <c r="D28" s="76">
        <f t="shared" ref="D28:E28" si="14">SUMPRODUCT(D13:D24,$N$13:$N$24)</f>
        <v>81.218401999999998</v>
      </c>
      <c r="E28" s="76">
        <f t="shared" si="14"/>
        <v>106.157883</v>
      </c>
      <c r="F28" s="76">
        <f>SUMPRODUCT(F13:F24,$N$13:$N$24)</f>
        <v>135.06936599999997</v>
      </c>
      <c r="G28" s="76">
        <f>SUMPRODUCT(G13:G24,$N$13:$N$24)</f>
        <v>137.07011400000002</v>
      </c>
      <c r="H28" s="72">
        <f>SUMPRODUCT(H13:H24,$N$13:$N$24)</f>
        <v>36.322546000000003</v>
      </c>
      <c r="I28" s="73">
        <f>IF(OR(OR(H28=0,G28=0),H28=""),"",(H28/G28-1)*100)</f>
        <v>-73.500754511665463</v>
      </c>
      <c r="J28" s="31">
        <f>IF(OR(OR(H28=0,G28=0),H28=""),"",H28/G28*100)</f>
        <v>26.499245488334534</v>
      </c>
      <c r="K28" s="31">
        <f>IF(OR(OR(H28=0,G28=0),G28=""),"",(G28/F28-1)*100)</f>
        <v>1.4812744438291503</v>
      </c>
      <c r="L28" s="65"/>
      <c r="M28" s="43"/>
      <c r="N28" s="44"/>
      <c r="O28" s="43"/>
    </row>
    <row r="29" spans="1:15" s="120" customFormat="1" ht="18.75" customHeight="1">
      <c r="A29" s="63"/>
      <c r="B29" s="78" t="s">
        <v>23</v>
      </c>
      <c r="C29" s="79"/>
      <c r="D29" s="79">
        <f>(D28/C28-1)*100</f>
        <v>45.396770656642936</v>
      </c>
      <c r="E29" s="79">
        <f t="shared" ref="E29:H29" si="15">(E28/D28-1)*100</f>
        <v>30.706687629731988</v>
      </c>
      <c r="F29" s="79">
        <f t="shared" si="15"/>
        <v>27.234419322397365</v>
      </c>
      <c r="G29" s="79">
        <f t="shared" si="15"/>
        <v>1.4812744438291503</v>
      </c>
      <c r="H29" s="31">
        <f t="shared" si="15"/>
        <v>-73.500754511665463</v>
      </c>
      <c r="I29" s="53"/>
      <c r="J29" s="53"/>
      <c r="K29" s="53"/>
      <c r="L29" s="65"/>
      <c r="M29" s="43"/>
      <c r="N29" s="44"/>
      <c r="O29" s="43"/>
    </row>
    <row r="30" spans="1:15" s="120" customFormat="1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  <c r="M30" s="43"/>
      <c r="N30" s="44"/>
      <c r="O30" s="43"/>
    </row>
    <row r="31" spans="1:15" s="120" customFormat="1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  <c r="M31" s="43"/>
      <c r="N31" s="44"/>
      <c r="O31" s="43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  <row r="59" spans="2:15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20"/>
      <c r="O59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8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65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[28]principales_paises_p4!C7/1000000</f>
        <v>1.926531</v>
      </c>
      <c r="D13" s="77">
        <f>[28]principales_paises_p4!D7/1000000</f>
        <v>4.0132000000000003</v>
      </c>
      <c r="E13" s="77">
        <f>[28]principales_paises_p4!E7/1000000</f>
        <v>5.7403500000000003</v>
      </c>
      <c r="F13" s="77">
        <f>[28]principales_paises_p4!F7/1000000</f>
        <v>8.3424049999999994</v>
      </c>
      <c r="G13" s="77">
        <f>[28]principales_paises_p4!G7/1000000</f>
        <v>11.736157</v>
      </c>
      <c r="H13" s="79">
        <f>[28]principales_paises_p4!H7/1000000</f>
        <v>8.0774799999999995</v>
      </c>
      <c r="I13" s="77">
        <f t="shared" ref="I13:I20" si="0">IF(OR(OR(H13=0,G13=0),H13=""),"",(H13/G13-1)*100)</f>
        <v>-31.174404023395397</v>
      </c>
      <c r="J13" s="77">
        <f t="shared" ref="J13:J20" si="1">IF(OR(OR(H13=0,G13=0),H13=""),"",H13/G13*100)</f>
        <v>68.825595976604603</v>
      </c>
      <c r="K13" s="77">
        <f t="shared" ref="K13:K20" si="2">IF(OR(OR(H13=0,G13=0),H13=""),"",(G13/F13-1)*100)</f>
        <v>40.680738947581688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[28]principales_paises_p4!C8/1000000</f>
        <v>3.5614539999999999</v>
      </c>
      <c r="D14" s="77">
        <f>[28]principales_paises_p4!D8/1000000</f>
        <v>4.185219</v>
      </c>
      <c r="E14" s="77">
        <f>[28]principales_paises_p4!E8/1000000</f>
        <v>8.781841</v>
      </c>
      <c r="F14" s="77">
        <f>[28]principales_paises_p4!F8/1000000</f>
        <v>8.6066699999999994</v>
      </c>
      <c r="G14" s="77">
        <f>[28]principales_paises_p4!G8/1000000</f>
        <v>14.210262</v>
      </c>
      <c r="H14" s="79">
        <f>[28]principales_paises_p4!H8/1000000</f>
        <v>11.090766</v>
      </c>
      <c r="I14" s="77">
        <f t="shared" si="0"/>
        <v>-21.952417203848885</v>
      </c>
      <c r="J14" s="77">
        <f t="shared" si="1"/>
        <v>78.047582796151119</v>
      </c>
      <c r="K14" s="77">
        <f t="shared" si="2"/>
        <v>65.107550306913126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[28]principales_paises_p4!C9/1000000</f>
        <v>5.3215919999999999</v>
      </c>
      <c r="D15" s="77">
        <f>[28]principales_paises_p4!D9/1000000</f>
        <v>5.1930889999999996</v>
      </c>
      <c r="E15" s="77">
        <f>[28]principales_paises_p4!E9/1000000</f>
        <v>11.146082</v>
      </c>
      <c r="F15" s="77">
        <f>[28]principales_paises_p4!F9/1000000</f>
        <v>11.225402000000001</v>
      </c>
      <c r="G15" s="77">
        <f>[28]principales_paises_p4!G9/1000000</f>
        <v>15.501887</v>
      </c>
      <c r="H15" s="79">
        <f>[28]principales_paises_p4!H9/1000000</f>
        <v>15.380046</v>
      </c>
      <c r="I15" s="77">
        <f t="shared" si="0"/>
        <v>-0.78597528158991237</v>
      </c>
      <c r="J15" s="77">
        <f>IF(OR(OR(H15=0,G15=0),H15=""),"",H15/G15*100)</f>
        <v>99.214024718410087</v>
      </c>
      <c r="K15" s="77">
        <f t="shared" si="2"/>
        <v>38.0964975686394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[28]principales_paises_p4!C10/1000000</f>
        <v>3.7923309999999999</v>
      </c>
      <c r="D16" s="77">
        <f>[28]principales_paises_p4!D10/1000000</f>
        <v>5.6395879999999998</v>
      </c>
      <c r="E16" s="77">
        <f>[28]principales_paises_p4!E10/1000000</f>
        <v>8.1735550000000003</v>
      </c>
      <c r="F16" s="77">
        <f>[28]principales_paises_p4!F10/1000000</f>
        <v>8.8838899999999992</v>
      </c>
      <c r="G16" s="77">
        <f>[28]principales_paises_p4!G10/1000000</f>
        <v>13.557003999999999</v>
      </c>
      <c r="H16" s="79">
        <f>[28]principales_paises_p4!H10/1000000</f>
        <v>11.431915</v>
      </c>
      <c r="I16" s="77">
        <f t="shared" si="0"/>
        <v>-15.675211130718846</v>
      </c>
      <c r="J16" s="77">
        <f t="shared" si="1"/>
        <v>84.32478886928115</v>
      </c>
      <c r="K16" s="77">
        <f t="shared" si="2"/>
        <v>52.602114614206165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[28]principales_paises_p4!C11/1000000</f>
        <v>4.7802959999999999</v>
      </c>
      <c r="D17" s="77">
        <f>[28]principales_paises_p4!D11/1000000</f>
        <v>6.7497670000000003</v>
      </c>
      <c r="E17" s="77">
        <f>[28]principales_paises_p4!E11/1000000</f>
        <v>9.2864319999999996</v>
      </c>
      <c r="F17" s="77">
        <f>[28]principales_paises_p4!F11/1000000</f>
        <v>12.747664</v>
      </c>
      <c r="G17" s="77">
        <f>[28]principales_paises_p4!G11/1000000</f>
        <v>10.042947</v>
      </c>
      <c r="H17" s="79">
        <f>[28]principales_paises_p4!H11/1000000</f>
        <v>12.473110999999999</v>
      </c>
      <c r="I17" s="77">
        <f t="shared" si="0"/>
        <v>24.197718060246665</v>
      </c>
      <c r="J17" s="77">
        <f t="shared" si="1"/>
        <v>124.19771806024667</v>
      </c>
      <c r="K17" s="77">
        <f t="shared" si="2"/>
        <v>-21.217354018744139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[28]principales_paises_p4!C12/1000000</f>
        <v>4.3574409999999997</v>
      </c>
      <c r="D18" s="77">
        <f>[28]principales_paises_p4!D12/1000000</f>
        <v>8.5991759999999999</v>
      </c>
      <c r="E18" s="77">
        <f>[28]principales_paises_p4!E12/1000000</f>
        <v>10.313041999999999</v>
      </c>
      <c r="F18" s="77">
        <f>[28]principales_paises_p4!F12/1000000</f>
        <v>17.042643000000002</v>
      </c>
      <c r="G18" s="77">
        <f>[28]principales_paises_p4!G12/1000000</f>
        <v>8.9333530000000003</v>
      </c>
      <c r="H18" s="79">
        <f>[28]principales_paises_p4!H12/1000000</f>
        <v>16.859815000000001</v>
      </c>
      <c r="I18" s="77">
        <f t="shared" si="0"/>
        <v>88.728856902889646</v>
      </c>
      <c r="J18" s="77">
        <f t="shared" si="1"/>
        <v>188.72885690288965</v>
      </c>
      <c r="K18" s="77">
        <f t="shared" si="2"/>
        <v>-47.582349756431562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[28]principales_paises_p4!C13/1000000</f>
        <v>5.4033220000000002</v>
      </c>
      <c r="D19" s="77">
        <f>[28]principales_paises_p4!D13/1000000</f>
        <v>6.3522689999999997</v>
      </c>
      <c r="E19" s="77">
        <f>[28]principales_paises_p4!E13/1000000</f>
        <v>9.5996819999999996</v>
      </c>
      <c r="F19" s="77">
        <f>[28]principales_paises_p4!F13/1000000</f>
        <v>12.808574</v>
      </c>
      <c r="G19" s="77">
        <f>[28]principales_paises_p4!G13/1000000</f>
        <v>11.255584000000001</v>
      </c>
      <c r="H19" s="79">
        <f>[28]principales_paises_p4!H13/1000000</f>
        <v>12.906547</v>
      </c>
      <c r="I19" s="77">
        <f>IF(OR(OR(H19=0,G19=0),H19=""),"",(H19/G19-1)*100)</f>
        <v>14.66794615010647</v>
      </c>
      <c r="J19" s="77">
        <f t="shared" si="1"/>
        <v>114.66794615010647</v>
      </c>
      <c r="K19" s="77">
        <f t="shared" si="2"/>
        <v>-12.124612778908872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[28]principales_paises_p4!C14/1000000</f>
        <v>4.3577079999999997</v>
      </c>
      <c r="D20" s="77">
        <f>[28]principales_paises_p4!D14/1000000</f>
        <v>5.4310479999999997</v>
      </c>
      <c r="E20" s="77">
        <f>[28]principales_paises_p4!E14/1000000</f>
        <v>7.9294580000000003</v>
      </c>
      <c r="F20" s="77">
        <f>[28]principales_paises_p4!F14/1000000</f>
        <v>8.0524939999999994</v>
      </c>
      <c r="G20" s="77">
        <f>[28]principales_paises_p4!G14/1000000</f>
        <v>10.300591000000001</v>
      </c>
      <c r="H20" s="79">
        <f>[28]principales_paises_p4!H14/1000000</f>
        <v>10.382035</v>
      </c>
      <c r="I20" s="77">
        <f t="shared" si="0"/>
        <v>0.79067307885536398</v>
      </c>
      <c r="J20" s="77">
        <f t="shared" si="1"/>
        <v>100.79067307885536</v>
      </c>
      <c r="K20" s="77">
        <f t="shared" si="2"/>
        <v>27.918021422928121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[28]principales_paises_p4!C15/1000000</f>
        <v>5.2415219999999998</v>
      </c>
      <c r="D21" s="77">
        <f>[28]principales_paises_p4!D15/1000000</f>
        <v>10.47156</v>
      </c>
      <c r="E21" s="77">
        <f>[28]principales_paises_p4!E15/1000000</f>
        <v>13.00811</v>
      </c>
      <c r="F21" s="77">
        <f>[28]principales_paises_p4!F15/1000000</f>
        <v>10.830442</v>
      </c>
      <c r="G21" s="77">
        <f>[28]principales_paises_p4!G15/1000000</f>
        <v>15.996441000000001</v>
      </c>
      <c r="H21" s="79">
        <f>[28]principales_paises_p4!H15/1000000</f>
        <v>12.737695</v>
      </c>
      <c r="I21" s="77">
        <f t="shared" ref="I21" si="4">IF(OR(OR(H21=0,G21=0),H21=""),"",(H21/G21-1)*100)</f>
        <v>-20.371693928668254</v>
      </c>
      <c r="J21" s="77">
        <f t="shared" ref="J21" si="5">IF(OR(OR(H21=0,G21=0),H21=""),"",H21/G21*100)</f>
        <v>79.62830607133175</v>
      </c>
      <c r="K21" s="77">
        <f t="shared" ref="K21" si="6">IF(OR(OR(H21=0,G21=0),H21=""),"",(G21/F21-1)*100)</f>
        <v>47.698875078228589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[28]principales_paises_p4!C16/1000000</f>
        <v>5.1243210000000001</v>
      </c>
      <c r="D22" s="77">
        <f>[28]principales_paises_p4!D16/1000000</f>
        <v>8.7112569999999998</v>
      </c>
      <c r="E22" s="77">
        <f>[28]principales_paises_p4!E16/1000000</f>
        <v>10.651706000000001</v>
      </c>
      <c r="F22" s="77">
        <f>[28]principales_paises_p4!F16/1000000</f>
        <v>14.236846999999999</v>
      </c>
      <c r="G22" s="77">
        <f>[28]principales_paises_p4!G16/1000000</f>
        <v>18.229084</v>
      </c>
      <c r="H22" s="79">
        <f>[28]principales_paises_p4!H16/1000000</f>
        <v>11.15245</v>
      </c>
      <c r="I22" s="77">
        <f t="shared" ref="I22" si="7">IF(OR(OR(H22=0,G22=0),H22=""),"",(H22/G22-1)*100)</f>
        <v>-38.820568274302758</v>
      </c>
      <c r="J22" s="77">
        <f t="shared" ref="J22" si="8">IF(OR(OR(H22=0,G22=0),H22=""),"",H22/G22*100)</f>
        <v>61.179431725697242</v>
      </c>
      <c r="K22" s="77">
        <f t="shared" ref="K22" si="9">IF(OR(OR(H22=0,G22=0),H22=""),"",(G22/F22-1)*100)</f>
        <v>28.041581116942549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[28]principales_paises_p4!C17/1000000</f>
        <v>5.134925</v>
      </c>
      <c r="D23" s="77">
        <f>[28]principales_paises_p4!D17/1000000</f>
        <v>8.3833749999999991</v>
      </c>
      <c r="E23" s="77">
        <f>[28]principales_paises_p4!E17/1000000</f>
        <v>10.448141</v>
      </c>
      <c r="F23" s="77">
        <f>[28]principales_paises_p4!F17/1000000</f>
        <v>12.102952</v>
      </c>
      <c r="G23" s="77">
        <f>[28]principales_paises_p4!G17/1000000</f>
        <v>10.862660999999999</v>
      </c>
      <c r="H23" s="79">
        <f>[28]principales_paises_p4!H17/1000000</f>
        <v>12.443973</v>
      </c>
      <c r="I23" s="77">
        <f t="shared" ref="I23:I24" si="10">IF(OR(OR(H23=0,G23=0),H23=""),"",(H23/G23-1)*100)</f>
        <v>14.557317033091621</v>
      </c>
      <c r="J23" s="77">
        <f t="shared" ref="J23:J24" si="11">IF(OR(OR(H23=0,G23=0),H23=""),"",H23/G23*100)</f>
        <v>114.55731703309162</v>
      </c>
      <c r="K23" s="77">
        <f t="shared" ref="K23:K24" si="12">IF(OR(OR(H23=0,G23=0),H23=""),"",(G23/F23-1)*100)</f>
        <v>-10.247838709101719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[28]principales_paises_p4!C18/1000000</f>
        <v>6.3331189999999999</v>
      </c>
      <c r="D24" s="77">
        <f>[28]principales_paises_p4!D18/1000000</f>
        <v>7.6729320000000003</v>
      </c>
      <c r="E24" s="77">
        <f>[28]principales_paises_p4!E18/1000000</f>
        <v>9.2263490000000008</v>
      </c>
      <c r="F24" s="77">
        <f>[28]principales_paises_p4!F18/1000000</f>
        <v>15.657928</v>
      </c>
      <c r="G24" s="77">
        <f>[28]principales_paises_p4!G18/1000000</f>
        <v>17.062716000000002</v>
      </c>
      <c r="H24" s="31">
        <f>[28]principales_paises_p4!H18/1000000</f>
        <v>11.282805</v>
      </c>
      <c r="I24" s="25">
        <f t="shared" si="10"/>
        <v>-33.874507434806986</v>
      </c>
      <c r="J24" s="25">
        <f t="shared" si="11"/>
        <v>66.125492565193014</v>
      </c>
      <c r="K24" s="25">
        <f t="shared" si="12"/>
        <v>8.9717362348326049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55.334562000000005</v>
      </c>
      <c r="D25" s="79">
        <f t="shared" si="13"/>
        <v>81.402480000000011</v>
      </c>
      <c r="E25" s="79">
        <f t="shared" si="13"/>
        <v>114.30474799999999</v>
      </c>
      <c r="F25" s="79">
        <f t="shared" si="13"/>
        <v>140.53791100000001</v>
      </c>
      <c r="G25" s="79">
        <f>SUM(G13:G24)</f>
        <v>157.68868699999999</v>
      </c>
      <c r="H25" s="107">
        <f>SUM(H13:H24)</f>
        <v>146.218638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47.109649119477993</v>
      </c>
      <c r="E26" s="79">
        <f>(E25/D25-1)*100</f>
        <v>40.419245212185139</v>
      </c>
      <c r="F26" s="79">
        <f>(F25/E25-1)*100</f>
        <v>22.95019538470968</v>
      </c>
      <c r="G26" s="79">
        <f>(G25/F25-1)*100</f>
        <v>12.203665102151673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55.334562000000005</v>
      </c>
      <c r="D28" s="76">
        <f t="shared" ref="D28:E28" si="14">SUMPRODUCT(D13:D24,$N$13:$N$24)</f>
        <v>81.402480000000011</v>
      </c>
      <c r="E28" s="76">
        <f t="shared" si="14"/>
        <v>114.30474799999999</v>
      </c>
      <c r="F28" s="76">
        <f>SUMPRODUCT(F13:F24,$N$13:$N$24)</f>
        <v>140.53791100000001</v>
      </c>
      <c r="G28" s="76">
        <f>SUMPRODUCT(G13:G24,$N$13:$N$24)</f>
        <v>157.68868699999999</v>
      </c>
      <c r="H28" s="72">
        <f>SUMPRODUCT(H13:H24,$N$13:$N$24)</f>
        <v>146.218638</v>
      </c>
      <c r="I28" s="73">
        <f>IF(OR(OR(H28=0,G28=0),H28=""),"",(H28/G28-1)*100)</f>
        <v>-7.2738566210523325</v>
      </c>
      <c r="J28" s="31">
        <f>IF(OR(OR(H28=0,G28=0),H28=""),"",H28/G28*100)</f>
        <v>92.726143378947668</v>
      </c>
      <c r="K28" s="31">
        <f>IF(OR(OR(H28=0,G28=0),G28=""),"",(G28/F28-1)*100)</f>
        <v>12.203665102151673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47.109649119477993</v>
      </c>
      <c r="E29" s="79">
        <f t="shared" ref="E29:H29" si="15">(E28/D28-1)*100</f>
        <v>40.419245212185139</v>
      </c>
      <c r="F29" s="79">
        <f t="shared" si="15"/>
        <v>22.95019538470968</v>
      </c>
      <c r="G29" s="79">
        <f t="shared" si="15"/>
        <v>12.203665102151673</v>
      </c>
      <c r="H29" s="31">
        <f t="shared" si="15"/>
        <v>-7.2738566210523325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148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[29]principales_paises_p5!C7/1000000</f>
        <v>2.5595330000000001</v>
      </c>
      <c r="D13" s="77">
        <f>[29]principales_paises_p5!D7/1000000</f>
        <v>3.9422489999999999</v>
      </c>
      <c r="E13" s="77">
        <f>[29]principales_paises_p5!E7/1000000</f>
        <v>6.0540050000000001</v>
      </c>
      <c r="F13" s="77">
        <f>[29]principales_paises_p5!F7/1000000</f>
        <v>5.7242810000000004</v>
      </c>
      <c r="G13" s="77">
        <f>[29]principales_paises_p5!G7/1000000</f>
        <v>18.452302</v>
      </c>
      <c r="H13" s="79">
        <f>[29]principales_paises_p5!H7/1000000</f>
        <v>7.2033269999999998</v>
      </c>
      <c r="I13" s="77">
        <f t="shared" ref="I13:I20" si="0">IF(OR(OR(H13=0,G13=0),H13=""),"",(H13/G13-1)*100)</f>
        <v>-60.962447937390138</v>
      </c>
      <c r="J13" s="77">
        <f t="shared" ref="J13:J20" si="1">IF(OR(OR(H13=0,G13=0),H13=""),"",H13/G13*100)</f>
        <v>39.037552062609862</v>
      </c>
      <c r="K13" s="77">
        <f t="shared" ref="K13:K20" si="2">IF(OR(OR(H13=0,G13=0),H13=""),"",(G13/F13-1)*100)</f>
        <v>222.35143592706223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[29]principales_paises_p5!C8/1000000</f>
        <v>2.8329390000000001</v>
      </c>
      <c r="D14" s="77">
        <f>[29]principales_paises_p5!D8/1000000</f>
        <v>6.0447329999999999</v>
      </c>
      <c r="E14" s="77">
        <f>[29]principales_paises_p5!E8/1000000</f>
        <v>8.499447</v>
      </c>
      <c r="F14" s="77">
        <f>[29]principales_paises_p5!F8/1000000</f>
        <v>7.0390110000000004</v>
      </c>
      <c r="G14" s="77">
        <f>[29]principales_paises_p5!G8/1000000</f>
        <v>8.9159020000000009</v>
      </c>
      <c r="H14" s="79">
        <f>[29]principales_paises_p5!H8/1000000</f>
        <v>7.2818800000000001</v>
      </c>
      <c r="I14" s="77">
        <f t="shared" si="0"/>
        <v>-18.327052047005456</v>
      </c>
      <c r="J14" s="77">
        <f t="shared" si="1"/>
        <v>81.672947952994548</v>
      </c>
      <c r="K14" s="77">
        <f t="shared" si="2"/>
        <v>26.664129378402745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[29]principales_paises_p5!C9/1000000</f>
        <v>6.3391760000000001</v>
      </c>
      <c r="D15" s="77">
        <f>[29]principales_paises_p5!D9/1000000</f>
        <v>6.4289690000000004</v>
      </c>
      <c r="E15" s="77">
        <f>[29]principales_paises_p5!E9/1000000</f>
        <v>7.9698520000000004</v>
      </c>
      <c r="F15" s="77">
        <f>[29]principales_paises_p5!F9/1000000</f>
        <v>7.7877789999999996</v>
      </c>
      <c r="G15" s="77">
        <f>[29]principales_paises_p5!G9/1000000</f>
        <v>8.2463420000000003</v>
      </c>
      <c r="H15" s="79">
        <f>[29]principales_paises_p5!H9/1000000</f>
        <v>9.2212200000000006</v>
      </c>
      <c r="I15" s="77">
        <f t="shared" si="0"/>
        <v>11.821944808983197</v>
      </c>
      <c r="J15" s="77">
        <f>IF(OR(OR(H15=0,G15=0),H15=""),"",H15/G15*100)</f>
        <v>111.8219448089832</v>
      </c>
      <c r="K15" s="77">
        <f t="shared" si="2"/>
        <v>5.8882384823709222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[29]principales_paises_p5!C10/1000000</f>
        <v>7.7800900000000004</v>
      </c>
      <c r="D16" s="77">
        <f>[29]principales_paises_p5!D10/1000000</f>
        <v>6.1160129999999997</v>
      </c>
      <c r="E16" s="77">
        <f>[29]principales_paises_p5!E10/1000000</f>
        <v>6.2692259999999997</v>
      </c>
      <c r="F16" s="77">
        <f>[29]principales_paises_p5!F10/1000000</f>
        <v>16.493289999999998</v>
      </c>
      <c r="G16" s="77">
        <f>[29]principales_paises_p5!G10/1000000</f>
        <v>7.1229120000000004</v>
      </c>
      <c r="H16" s="79">
        <f>[29]principales_paises_p5!H10/1000000</f>
        <v>11.439264</v>
      </c>
      <c r="I16" s="77">
        <f t="shared" si="0"/>
        <v>60.598137390999618</v>
      </c>
      <c r="J16" s="77">
        <f t="shared" si="1"/>
        <v>160.59813739099963</v>
      </c>
      <c r="K16" s="77">
        <f t="shared" si="2"/>
        <v>-56.813273761632757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[29]principales_paises_p5!C11/1000000</f>
        <v>6.1247360000000004</v>
      </c>
      <c r="D17" s="77">
        <f>[29]principales_paises_p5!D11/1000000</f>
        <v>6.1707770000000002</v>
      </c>
      <c r="E17" s="77">
        <f>[29]principales_paises_p5!E11/1000000</f>
        <v>7.299938</v>
      </c>
      <c r="F17" s="77">
        <f>[29]principales_paises_p5!F11/1000000</f>
        <v>14.391940999999999</v>
      </c>
      <c r="G17" s="77">
        <f>[29]principales_paises_p5!G11/1000000</f>
        <v>8.1241489999999992</v>
      </c>
      <c r="H17" s="79">
        <f>[29]principales_paises_p5!H11/1000000</f>
        <v>8.9225530000000006</v>
      </c>
      <c r="I17" s="77">
        <f t="shared" si="0"/>
        <v>9.8275400906605803</v>
      </c>
      <c r="J17" s="77">
        <f t="shared" si="1"/>
        <v>109.82754009066058</v>
      </c>
      <c r="K17" s="77">
        <f t="shared" si="2"/>
        <v>-43.550706607260267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[29]principales_paises_p5!C12/1000000</f>
        <v>4.7834219999999998</v>
      </c>
      <c r="D18" s="77">
        <f>[29]principales_paises_p5!D12/1000000</f>
        <v>6.4506160000000001</v>
      </c>
      <c r="E18" s="77">
        <f>[29]principales_paises_p5!E12/1000000</f>
        <v>7.0846010000000001</v>
      </c>
      <c r="F18" s="77">
        <f>[29]principales_paises_p5!F12/1000000</f>
        <v>9.8563860000000005</v>
      </c>
      <c r="G18" s="77">
        <f>[29]principales_paises_p5!G12/1000000</f>
        <v>10.824272000000001</v>
      </c>
      <c r="H18" s="79">
        <f>[29]principales_paises_p5!H12/1000000</f>
        <v>10.594552999999999</v>
      </c>
      <c r="I18" s="77">
        <f t="shared" si="0"/>
        <v>-2.1222581989809641</v>
      </c>
      <c r="J18" s="77">
        <f t="shared" si="1"/>
        <v>97.877741801019042</v>
      </c>
      <c r="K18" s="77">
        <f t="shared" si="2"/>
        <v>9.8198873298996237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[29]principales_paises_p5!C13/1000000</f>
        <v>5.2168659999999996</v>
      </c>
      <c r="D19" s="77">
        <f>[29]principales_paises_p5!D13/1000000</f>
        <v>7.3707510000000003</v>
      </c>
      <c r="E19" s="77">
        <f>[29]principales_paises_p5!E13/1000000</f>
        <v>6.410469</v>
      </c>
      <c r="F19" s="77">
        <f>[29]principales_paises_p5!F13/1000000</f>
        <v>15.449548</v>
      </c>
      <c r="G19" s="77">
        <f>[29]principales_paises_p5!G13/1000000</f>
        <v>9.4306819999999991</v>
      </c>
      <c r="H19" s="79">
        <f>[29]principales_paises_p5!H13/1000000</f>
        <v>8.8070339999999998</v>
      </c>
      <c r="I19" s="77">
        <f>IF(OR(OR(H19=0,G19=0),H19=""),"",(H19/G19-1)*100)</f>
        <v>-6.6129681819406034</v>
      </c>
      <c r="J19" s="77">
        <f t="shared" si="1"/>
        <v>93.387031818059398</v>
      </c>
      <c r="K19" s="77">
        <f t="shared" si="2"/>
        <v>-38.958201236696375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[29]principales_paises_p5!C14/1000000</f>
        <v>4.8098140000000003</v>
      </c>
      <c r="D20" s="77">
        <f>[29]principales_paises_p5!D14/1000000</f>
        <v>8.5262849999999997</v>
      </c>
      <c r="E20" s="77">
        <f>[29]principales_paises_p5!E14/1000000</f>
        <v>8.2267080000000004</v>
      </c>
      <c r="F20" s="77">
        <f>[29]principales_paises_p5!F14/1000000</f>
        <v>8.2499699999999994</v>
      </c>
      <c r="G20" s="77">
        <f>[29]principales_paises_p5!G14/1000000</f>
        <v>8.1185209999999994</v>
      </c>
      <c r="H20" s="79">
        <f>[29]principales_paises_p5!H14/1000000</f>
        <v>10.174811999999999</v>
      </c>
      <c r="I20" s="77">
        <f t="shared" si="0"/>
        <v>25.328394174259074</v>
      </c>
      <c r="J20" s="77">
        <f t="shared" si="1"/>
        <v>125.32839417425907</v>
      </c>
      <c r="K20" s="77">
        <f t="shared" si="2"/>
        <v>-1.5933270060375926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[29]principales_paises_p5!C15/1000000</f>
        <v>5.8859839999999997</v>
      </c>
      <c r="D21" s="77">
        <f>[29]principales_paises_p5!D15/1000000</f>
        <v>7.5077119999999997</v>
      </c>
      <c r="E21" s="77">
        <f>[29]principales_paises_p5!E15/1000000</f>
        <v>8.902056</v>
      </c>
      <c r="F21" s="77">
        <f>[29]principales_paises_p5!F15/1000000</f>
        <v>8.5074179999999995</v>
      </c>
      <c r="G21" s="77">
        <f>[29]principales_paises_p5!G15/1000000</f>
        <v>8.7801749999999998</v>
      </c>
      <c r="H21" s="79">
        <f>[29]principales_paises_p5!H15/1000000</f>
        <v>10.336625</v>
      </c>
      <c r="I21" s="77">
        <f t="shared" ref="I21" si="4">IF(OR(OR(H21=0,G21=0),H21=""),"",(H21/G21-1)*100)</f>
        <v>17.72686763077045</v>
      </c>
      <c r="J21" s="77">
        <f t="shared" ref="J21" si="5">IF(OR(OR(H21=0,G21=0),H21=""),"",H21/G21*100)</f>
        <v>117.72686763077044</v>
      </c>
      <c r="K21" s="77">
        <f t="shared" ref="K21" si="6">IF(OR(OR(H21=0,G21=0),H21=""),"",(G21/F21-1)*100)</f>
        <v>3.2061078931351572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[29]principales_paises_p5!C16/1000000</f>
        <v>5.6794710000000004</v>
      </c>
      <c r="D22" s="77">
        <f>[29]principales_paises_p5!D16/1000000</f>
        <v>8.8509709999999995</v>
      </c>
      <c r="E22" s="77">
        <f>[29]principales_paises_p5!E16/1000000</f>
        <v>7.5037729999999998</v>
      </c>
      <c r="F22" s="77">
        <f>[29]principales_paises_p5!F16/1000000</f>
        <v>9.1614199999999997</v>
      </c>
      <c r="G22" s="77">
        <f>[29]principales_paises_p5!G16/1000000</f>
        <v>8.7580170000000006</v>
      </c>
      <c r="H22" s="79">
        <f>[29]principales_paises_p5!H16/1000000</f>
        <v>11.158874000000001</v>
      </c>
      <c r="I22" s="77">
        <f t="shared" ref="I22" si="7">IF(OR(OR(H22=0,G22=0),H22=""),"",(H22/G22-1)*100)</f>
        <v>27.413248912396494</v>
      </c>
      <c r="J22" s="77">
        <f t="shared" ref="J22" si="8">IF(OR(OR(H22=0,G22=0),H22=""),"",H22/G22*100)</f>
        <v>127.4132489123965</v>
      </c>
      <c r="K22" s="77">
        <f t="shared" ref="K22" si="9">IF(OR(OR(H22=0,G22=0),H22=""),"",(G22/F22-1)*100)</f>
        <v>-4.4032802775115565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[29]principales_paises_p5!C17/1000000</f>
        <v>7.069896</v>
      </c>
      <c r="D23" s="77">
        <f>[29]principales_paises_p5!D17/1000000</f>
        <v>9.2139799999999994</v>
      </c>
      <c r="E23" s="77">
        <f>[29]principales_paises_p5!E17/1000000</f>
        <v>8.5380409999999998</v>
      </c>
      <c r="F23" s="77">
        <f>[29]principales_paises_p5!F17/1000000</f>
        <v>9.1908659999999998</v>
      </c>
      <c r="G23" s="77">
        <f>[29]principales_paises_p5!G17/1000000</f>
        <v>9.0439749999999997</v>
      </c>
      <c r="H23" s="79">
        <f>[29]principales_paises_p5!H17/1000000</f>
        <v>10.706302000000001</v>
      </c>
      <c r="I23" s="77">
        <f t="shared" ref="I23:I24" si="10">IF(OR(OR(H23=0,G23=0),H23=""),"",(H23/G23-1)*100)</f>
        <v>18.380490879287059</v>
      </c>
      <c r="J23" s="77">
        <f t="shared" ref="J23:J24" si="11">IF(OR(OR(H23=0,G23=0),H23=""),"",H23/G23*100)</f>
        <v>118.38049087928707</v>
      </c>
      <c r="K23" s="77">
        <f t="shared" ref="K23:K24" si="12">IF(OR(OR(H23=0,G23=0),H23=""),"",(G23/F23-1)*100)</f>
        <v>-1.5982280668655147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[29]principales_paises_p5!C18/1000000</f>
        <v>6.183935</v>
      </c>
      <c r="D24" s="77">
        <f>[29]principales_paises_p5!D18/1000000</f>
        <v>7.9571569999999996</v>
      </c>
      <c r="E24" s="77">
        <f>[29]principales_paises_p5!E18/1000000</f>
        <v>7.0755309999999998</v>
      </c>
      <c r="F24" s="77">
        <f>[29]principales_paises_p5!F18/1000000</f>
        <v>8.3987049999999996</v>
      </c>
      <c r="G24" s="77">
        <f>[29]principales_paises_p5!G18/1000000</f>
        <v>8.4091679999999993</v>
      </c>
      <c r="H24" s="31">
        <f>[29]principales_paises_p5!H18/1000000</f>
        <v>9.4490529999999993</v>
      </c>
      <c r="I24" s="25">
        <f t="shared" si="10"/>
        <v>12.366086633065244</v>
      </c>
      <c r="J24" s="25">
        <f t="shared" si="11"/>
        <v>112.36608663306524</v>
      </c>
      <c r="K24" s="25">
        <f t="shared" si="12"/>
        <v>0.12457872969702244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65.265862000000013</v>
      </c>
      <c r="D25" s="79">
        <f t="shared" si="13"/>
        <v>84.580212999999986</v>
      </c>
      <c r="E25" s="79">
        <f t="shared" si="13"/>
        <v>89.833646999999999</v>
      </c>
      <c r="F25" s="79">
        <f t="shared" si="13"/>
        <v>120.25061500000001</v>
      </c>
      <c r="G25" s="79">
        <f>SUM(G13:G24)</f>
        <v>114.22641699999998</v>
      </c>
      <c r="H25" s="107">
        <f>SUM(H13:H24)</f>
        <v>115.29549699999998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29.593343913851889</v>
      </c>
      <c r="E26" s="79">
        <f>(E25/D25-1)*100</f>
        <v>6.2111855878159261</v>
      </c>
      <c r="F26" s="79">
        <f>(F25/E25-1)*100</f>
        <v>33.859215356134897</v>
      </c>
      <c r="G26" s="79">
        <f>(G25/F25-1)*100</f>
        <v>-5.0097024451808636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65.265862000000013</v>
      </c>
      <c r="D28" s="76">
        <f t="shared" ref="D28:E28" si="14">SUMPRODUCT(D13:D24,$N$13:$N$24)</f>
        <v>84.580212999999986</v>
      </c>
      <c r="E28" s="76">
        <f t="shared" si="14"/>
        <v>89.833646999999999</v>
      </c>
      <c r="F28" s="76">
        <f>SUMPRODUCT(F13:F24,$N$13:$N$24)</f>
        <v>120.25061500000001</v>
      </c>
      <c r="G28" s="76">
        <f>SUMPRODUCT(G13:G24,$N$13:$N$24)</f>
        <v>114.22641699999998</v>
      </c>
      <c r="H28" s="72">
        <f>SUMPRODUCT(H13:H24,$N$13:$N$24)</f>
        <v>115.29549699999998</v>
      </c>
      <c r="I28" s="73">
        <f>IF(OR(OR(H28=0,G28=0),H28=""),"",(H28/G28-1)*100)</f>
        <v>0.93593060876626666</v>
      </c>
      <c r="J28" s="31">
        <f>IF(OR(OR(H28=0,G28=0),H28=""),"",H28/G28*100)</f>
        <v>100.93593060876627</v>
      </c>
      <c r="K28" s="31">
        <f>IF(OR(OR(H28=0,G28=0),G28=""),"",(G28/F28-1)*100)</f>
        <v>-5.0097024451808636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29.593343913851889</v>
      </c>
      <c r="E29" s="79">
        <f t="shared" ref="E29:H29" si="15">(E28/D28-1)*100</f>
        <v>6.2111855878159261</v>
      </c>
      <c r="F29" s="79">
        <f t="shared" si="15"/>
        <v>33.859215356134897</v>
      </c>
      <c r="G29" s="79">
        <f t="shared" si="15"/>
        <v>-5.0097024451808636</v>
      </c>
      <c r="H29" s="31">
        <f t="shared" si="15"/>
        <v>0.93593060876626666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98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2" t="s">
        <v>79</v>
      </c>
      <c r="D8" s="122"/>
      <c r="E8" s="122"/>
      <c r="F8" s="122"/>
      <c r="G8" s="122"/>
      <c r="H8" s="122"/>
      <c r="I8" s="122"/>
      <c r="J8" s="122"/>
      <c r="K8" s="122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[30]historico_ciiu!C7/1000000</f>
        <v>9.1700199999999992</v>
      </c>
      <c r="D13" s="77">
        <f>[30]historico_ciiu!D7/1000000</f>
        <v>13.016724999999999</v>
      </c>
      <c r="E13" s="77">
        <f>[30]historico_ciiu!E7/1000000</f>
        <v>16.549565000000001</v>
      </c>
      <c r="F13" s="77">
        <f>[30]historico_ciiu!F7/1000000</f>
        <v>29.672388999999999</v>
      </c>
      <c r="G13" s="77">
        <f>[30]historico_ciiu!G7/1000000</f>
        <v>40.311923</v>
      </c>
      <c r="H13" s="79">
        <f>[30]historico_ciiu!H7/1000000</f>
        <v>27.623922</v>
      </c>
      <c r="I13" s="77">
        <f t="shared" ref="I13:I20" si="0">IF(OR(OR(H13=0,G13=0),H13=""),"",(H13/G13-1)*100)</f>
        <v>-31.474561508762555</v>
      </c>
      <c r="J13" s="77">
        <f t="shared" ref="J13:J20" si="1">IF(OR(OR(H13=0,G13=0),H13=""),"",H13/G13*100)</f>
        <v>68.525438491237452</v>
      </c>
      <c r="K13" s="77">
        <f t="shared" ref="K13:K20" si="2">IF(OR(OR(H13=0,G13=0),H13=""),"",(G13/F13-1)*100)</f>
        <v>35.856681442131276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[30]historico_ciiu!C8/1000000</f>
        <v>13.444756999999999</v>
      </c>
      <c r="D14" s="77">
        <f>[30]historico_ciiu!D8/1000000</f>
        <v>17.624219</v>
      </c>
      <c r="E14" s="77">
        <f>[30]historico_ciiu!E8/1000000</f>
        <v>19.968467</v>
      </c>
      <c r="F14" s="77">
        <f>[30]historico_ciiu!F8/1000000</f>
        <v>29.225283999999998</v>
      </c>
      <c r="G14" s="77">
        <f>[30]historico_ciiu!G8/1000000</f>
        <v>51.953068000000002</v>
      </c>
      <c r="H14" s="79">
        <f>[30]historico_ciiu!H8/1000000</f>
        <v>36.528174</v>
      </c>
      <c r="I14" s="77">
        <f t="shared" si="0"/>
        <v>-29.690054108065379</v>
      </c>
      <c r="J14" s="77">
        <f t="shared" si="1"/>
        <v>70.309945891934618</v>
      </c>
      <c r="K14" s="77">
        <f t="shared" si="2"/>
        <v>77.767538546417555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[30]historico_ciiu!C9/1000000</f>
        <v>12.841366000000001</v>
      </c>
      <c r="D15" s="77">
        <f>[30]historico_ciiu!D9/1000000</f>
        <v>22.186755000000002</v>
      </c>
      <c r="E15" s="77">
        <f>[30]historico_ciiu!E9/1000000</f>
        <v>25.175383</v>
      </c>
      <c r="F15" s="77">
        <f>[30]historico_ciiu!F9/1000000</f>
        <v>44.381025999999999</v>
      </c>
      <c r="G15" s="77">
        <f>[30]historico_ciiu!G9/1000000</f>
        <v>46.204628999999997</v>
      </c>
      <c r="H15" s="79">
        <f>[30]historico_ciiu!H9/1000000</f>
        <v>48.445467000000001</v>
      </c>
      <c r="I15" s="77">
        <f t="shared" si="0"/>
        <v>4.8498127752524711</v>
      </c>
      <c r="J15" s="77">
        <f>IF(OR(OR(H15=0,G15=0),H15=""),"",H15/G15*100)</f>
        <v>104.84981277525247</v>
      </c>
      <c r="K15" s="77">
        <f t="shared" si="2"/>
        <v>4.1089699007859748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[30]historico_ciiu!C10/1000000</f>
        <v>16.250482999999999</v>
      </c>
      <c r="D16" s="77">
        <f>[30]historico_ciiu!D10/1000000</f>
        <v>19.254027000000001</v>
      </c>
      <c r="E16" s="77">
        <f>[30]historico_ciiu!E10/1000000</f>
        <v>22.003748000000002</v>
      </c>
      <c r="F16" s="77">
        <f>[30]historico_ciiu!F10/1000000</f>
        <v>39.669980000000002</v>
      </c>
      <c r="G16" s="77">
        <f>[30]historico_ciiu!G10/1000000</f>
        <v>39.092593000000001</v>
      </c>
      <c r="H16" s="79">
        <f>[30]historico_ciiu!H10/1000000</f>
        <v>47.543591999999997</v>
      </c>
      <c r="I16" s="77">
        <f t="shared" si="0"/>
        <v>21.617903422267215</v>
      </c>
      <c r="J16" s="77">
        <f t="shared" si="1"/>
        <v>121.61790342226722</v>
      </c>
      <c r="K16" s="77">
        <f t="shared" si="2"/>
        <v>-1.4554759039455023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[30]historico_ciiu!C11/1000000</f>
        <v>14.620205</v>
      </c>
      <c r="D17" s="77">
        <f>[30]historico_ciiu!D11/1000000</f>
        <v>19.309232000000002</v>
      </c>
      <c r="E17" s="77">
        <f>[30]historico_ciiu!E11/1000000</f>
        <v>25.723787999999999</v>
      </c>
      <c r="F17" s="77">
        <f>[30]historico_ciiu!F11/1000000</f>
        <v>41.867421999999998</v>
      </c>
      <c r="G17" s="77">
        <f>[30]historico_ciiu!G11/1000000</f>
        <v>38.036689000000003</v>
      </c>
      <c r="H17" s="79">
        <f>[30]historico_ciiu!H11/1000000</f>
        <v>52.718933</v>
      </c>
      <c r="I17" s="77">
        <f t="shared" si="0"/>
        <v>38.600215702265771</v>
      </c>
      <c r="J17" s="77">
        <f t="shared" si="1"/>
        <v>138.60021570226579</v>
      </c>
      <c r="K17" s="77">
        <f t="shared" si="2"/>
        <v>-9.1496748951965472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[30]historico_ciiu!C12/1000000</f>
        <v>18.119109999999999</v>
      </c>
      <c r="D18" s="77">
        <f>[30]historico_ciiu!D12/1000000</f>
        <v>22.680350000000001</v>
      </c>
      <c r="E18" s="77">
        <f>[30]historico_ciiu!E12/1000000</f>
        <v>26.497738999999999</v>
      </c>
      <c r="F18" s="77">
        <f>[30]historico_ciiu!F12/1000000</f>
        <v>35.942055000000003</v>
      </c>
      <c r="G18" s="77">
        <f>[30]historico_ciiu!G12/1000000</f>
        <v>39.870817000000002</v>
      </c>
      <c r="H18" s="79">
        <f>[30]historico_ciiu!H12/1000000</f>
        <v>43.653243000000003</v>
      </c>
      <c r="I18" s="77">
        <f t="shared" si="0"/>
        <v>9.486703018902265</v>
      </c>
      <c r="J18" s="77">
        <f t="shared" si="1"/>
        <v>109.48670301890226</v>
      </c>
      <c r="K18" s="77">
        <f t="shared" si="2"/>
        <v>10.930821846441452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[30]historico_ciiu!C13/1000000</f>
        <v>17.515864000000001</v>
      </c>
      <c r="D19" s="77">
        <f>[30]historico_ciiu!D13/1000000</f>
        <v>19.281672</v>
      </c>
      <c r="E19" s="77">
        <f>[30]historico_ciiu!E13/1000000</f>
        <v>29.094804</v>
      </c>
      <c r="F19" s="77">
        <f>[30]historico_ciiu!F13/1000000</f>
        <v>49.812007999999999</v>
      </c>
      <c r="G19" s="77">
        <f>[30]historico_ciiu!G13/1000000</f>
        <v>42.439560999999998</v>
      </c>
      <c r="H19" s="79">
        <f>[30]historico_ciiu!H13/1000000</f>
        <v>34.320559000000003</v>
      </c>
      <c r="I19" s="77">
        <f>IF(OR(OR(H19=0,G19=0),H19=""),"",(H19/G19-1)*100)</f>
        <v>-19.130739830225853</v>
      </c>
      <c r="J19" s="77">
        <f t="shared" si="1"/>
        <v>80.869260169774151</v>
      </c>
      <c r="K19" s="77">
        <f t="shared" si="2"/>
        <v>-14.800541668587218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[30]historico_ciiu!C14/1000000</f>
        <v>16.182371</v>
      </c>
      <c r="D20" s="77">
        <f>[30]historico_ciiu!D14/1000000</f>
        <v>23.901731000000002</v>
      </c>
      <c r="E20" s="77">
        <f>[30]historico_ciiu!E14/1000000</f>
        <v>29.856097999999999</v>
      </c>
      <c r="F20" s="77">
        <f>[30]historico_ciiu!F14/1000000</f>
        <v>41.293067999999998</v>
      </c>
      <c r="G20" s="77">
        <f>[30]historico_ciiu!G14/1000000</f>
        <v>39.108426999999999</v>
      </c>
      <c r="H20" s="79">
        <f>[30]historico_ciiu!H14/1000000</f>
        <v>37.471637999999999</v>
      </c>
      <c r="I20" s="77">
        <f t="shared" si="0"/>
        <v>-4.1852591002957018</v>
      </c>
      <c r="J20" s="77">
        <f t="shared" si="1"/>
        <v>95.814740899704304</v>
      </c>
      <c r="K20" s="77">
        <f t="shared" si="2"/>
        <v>-5.2905756481935402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[30]historico_ciiu!C15/1000000</f>
        <v>17.267690999999999</v>
      </c>
      <c r="D21" s="77">
        <f>[30]historico_ciiu!D15/1000000</f>
        <v>26.107364</v>
      </c>
      <c r="E21" s="77">
        <f>[30]historico_ciiu!E15/1000000</f>
        <v>32.316465999999998</v>
      </c>
      <c r="F21" s="77">
        <f>[30]historico_ciiu!F15/1000000</f>
        <v>29.569058999999999</v>
      </c>
      <c r="G21" s="77">
        <f>[30]historico_ciiu!G15/1000000</f>
        <v>61.286197999999999</v>
      </c>
      <c r="H21" s="79">
        <f>[30]historico_ciiu!H15/1000000</f>
        <v>38.894010999999999</v>
      </c>
      <c r="I21" s="77">
        <f t="shared" ref="I21" si="4">IF(OR(OR(H21=0,G21=0),H21=""),"",(H21/G21-1)*100)</f>
        <v>-36.537079686359398</v>
      </c>
      <c r="J21" s="77">
        <f t="shared" ref="J21" si="5">IF(OR(OR(H21=0,G21=0),H21=""),"",H21/G21*100)</f>
        <v>63.462920313640602</v>
      </c>
      <c r="K21" s="77">
        <f t="shared" ref="K21" si="6">IF(OR(OR(H21=0,G21=0),H21=""),"",(G21/F21-1)*100)</f>
        <v>107.26462076456338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[30]historico_ciiu!C16/1000000</f>
        <v>18.380407999999999</v>
      </c>
      <c r="D22" s="77">
        <f>[30]historico_ciiu!D16/1000000</f>
        <v>26.592503000000001</v>
      </c>
      <c r="E22" s="77">
        <f>[30]historico_ciiu!E16/1000000</f>
        <v>29.922704</v>
      </c>
      <c r="F22" s="77">
        <f>[30]historico_ciiu!F16/1000000</f>
        <v>67.260819999999995</v>
      </c>
      <c r="G22" s="77">
        <f>[30]historico_ciiu!G16/1000000</f>
        <v>47.120089999999998</v>
      </c>
      <c r="H22" s="79">
        <f>[30]historico_ciiu!H16/1000000</f>
        <v>38.001061999999997</v>
      </c>
      <c r="I22" s="77">
        <f t="shared" ref="I22" si="7">IF(OR(OR(H22=0,G22=0),H22=""),"",(H22/G22-1)*100)</f>
        <v>-19.352738927281333</v>
      </c>
      <c r="J22" s="77">
        <f t="shared" ref="J22" si="8">IF(OR(OR(H22=0,G22=0),H22=""),"",H22/G22*100)</f>
        <v>80.647261072718663</v>
      </c>
      <c r="K22" s="77">
        <f t="shared" ref="K22" si="9">IF(OR(OR(H22=0,G22=0),H22=""),"",(G22/F22-1)*100)</f>
        <v>-29.944223100461752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[30]historico_ciiu!C17/1000000</f>
        <v>20.305209999999999</v>
      </c>
      <c r="D23" s="77">
        <f>[30]historico_ciiu!D17/1000000</f>
        <v>22.893007000000001</v>
      </c>
      <c r="E23" s="77">
        <f>[30]historico_ciiu!E17/1000000</f>
        <v>34.225842</v>
      </c>
      <c r="F23" s="77">
        <f>[30]historico_ciiu!F17/1000000</f>
        <v>44.710366999999998</v>
      </c>
      <c r="G23" s="77">
        <f>[30]historico_ciiu!G17/1000000</f>
        <v>50.283766</v>
      </c>
      <c r="H23" s="79">
        <f>[30]historico_ciiu!H17/1000000</f>
        <v>37.400294000000002</v>
      </c>
      <c r="I23" s="77">
        <f t="shared" ref="I23:I24" si="10">IF(OR(OR(H23=0,G23=0),H23=""),"",(H23/G23-1)*100)</f>
        <v>-25.621533597940925</v>
      </c>
      <c r="J23" s="77">
        <f t="shared" ref="J23:J24" si="11">IF(OR(OR(H23=0,G23=0),H23=""),"",H23/G23*100)</f>
        <v>74.378466402059075</v>
      </c>
      <c r="K23" s="77">
        <f t="shared" ref="K23:K24" si="12">IF(OR(OR(H23=0,G23=0),H23=""),"",(G23/F23-1)*100)</f>
        <v>12.46556307623241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[30]historico_ciiu!C18/1000000</f>
        <v>15.061422</v>
      </c>
      <c r="D24" s="77">
        <f>[30]historico_ciiu!D18/1000000</f>
        <v>17.299733</v>
      </c>
      <c r="E24" s="77">
        <f>[30]historico_ciiu!E18/1000000</f>
        <v>29.481753999999999</v>
      </c>
      <c r="F24" s="77">
        <f>[30]historico_ciiu!F18/1000000</f>
        <v>53.754289</v>
      </c>
      <c r="G24" s="77">
        <f>[30]historico_ciiu!G18/1000000</f>
        <v>44.462260999999998</v>
      </c>
      <c r="H24" s="31">
        <f>[30]historico_ciiu!H18/1000000</f>
        <v>42.492615000000001</v>
      </c>
      <c r="I24" s="25">
        <f t="shared" si="10"/>
        <v>-4.4299276638225749</v>
      </c>
      <c r="J24" s="25">
        <f t="shared" si="11"/>
        <v>95.570072336177418</v>
      </c>
      <c r="K24" s="25">
        <f t="shared" si="12"/>
        <v>-17.28611460194367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189.15890699999997</v>
      </c>
      <c r="D25" s="79">
        <f t="shared" si="13"/>
        <v>250.14731800000001</v>
      </c>
      <c r="E25" s="79">
        <f t="shared" si="13"/>
        <v>320.81635800000004</v>
      </c>
      <c r="F25" s="79">
        <f t="shared" si="13"/>
        <v>507.15776700000004</v>
      </c>
      <c r="G25" s="79">
        <f>SUM(G13:G24)</f>
        <v>540.17002200000002</v>
      </c>
      <c r="H25" s="107">
        <f>SUM(H13:H24)</f>
        <v>485.09350999999992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32.241892262572676</v>
      </c>
      <c r="E26" s="79">
        <f>(E25/D25-1)*100</f>
        <v>28.250968495292849</v>
      </c>
      <c r="F26" s="79">
        <f>(F25/E25-1)*100</f>
        <v>58.083512375014237</v>
      </c>
      <c r="G26" s="79">
        <f>(G25/F25-1)*100</f>
        <v>6.5092673617675123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189.15890699999997</v>
      </c>
      <c r="D28" s="76">
        <f t="shared" ref="D28:E28" si="14">SUMPRODUCT(D13:D24,$N$13:$N$24)</f>
        <v>250.14731800000001</v>
      </c>
      <c r="E28" s="76">
        <f t="shared" si="14"/>
        <v>320.81635800000004</v>
      </c>
      <c r="F28" s="76">
        <f>SUMPRODUCT(F13:F24,$N$13:$N$24)</f>
        <v>507.15776700000004</v>
      </c>
      <c r="G28" s="76">
        <f>SUMPRODUCT(G13:G24,$N$13:$N$24)</f>
        <v>540.17002200000002</v>
      </c>
      <c r="H28" s="72">
        <f>SUMPRODUCT(H13:H24,$N$13:$N$24)</f>
        <v>485.09350999999992</v>
      </c>
      <c r="I28" s="73">
        <f>IF(OR(OR(H28=0,G28=0),H28=""),"",(H28/G28-1)*100)</f>
        <v>-10.196143761565523</v>
      </c>
      <c r="J28" s="31">
        <f>IF(OR(OR(H28=0,G28=0),H28=""),"",H28/G28*100)</f>
        <v>89.803856238434477</v>
      </c>
      <c r="K28" s="31">
        <f>IF(OR(OR(H28=0,G28=0),G28=""),"",(G28/F28-1)*100)</f>
        <v>6.5092673617675123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32.241892262572676</v>
      </c>
      <c r="E29" s="79">
        <f t="shared" ref="E29:H29" si="15">(E28/D28-1)*100</f>
        <v>28.250968495292849</v>
      </c>
      <c r="F29" s="79">
        <f t="shared" si="15"/>
        <v>58.083512375014237</v>
      </c>
      <c r="G29" s="79">
        <f t="shared" si="15"/>
        <v>6.5092673617675123</v>
      </c>
      <c r="H29" s="31">
        <f t="shared" si="15"/>
        <v>-10.196143761565523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 s="120" customFormat="1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  <c r="M45" s="43"/>
      <c r="N45" s="44"/>
      <c r="O45" s="43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100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116">
        <f>[30]historico_ciiu!C32/1000000</f>
        <v>4.0811299999999999</v>
      </c>
      <c r="D13" s="116">
        <f>[30]historico_ciiu!D32/1000000</f>
        <v>2.7408229999999998</v>
      </c>
      <c r="E13" s="116">
        <f>[30]historico_ciiu!E32/1000000</f>
        <v>9.9662019999999991</v>
      </c>
      <c r="F13" s="116">
        <f>[30]historico_ciiu!F32/1000000</f>
        <v>5.2012679999999998</v>
      </c>
      <c r="G13" s="116">
        <f>[30]historico_ciiu!G32/1000000</f>
        <v>3.4512909999999999</v>
      </c>
      <c r="H13" s="117">
        <f>[30]historico_ciiu!H32/1000000</f>
        <v>19.90296</v>
      </c>
      <c r="I13" s="77">
        <f t="shared" ref="I13:I20" si="0">IF(OR(OR(H13=0,G13=0),H13=""),"",(H13/G13-1)*100)</f>
        <v>476.68159537981592</v>
      </c>
      <c r="J13" s="77">
        <f t="shared" ref="J13:J20" si="1">IF(OR(OR(H13=0,G13=0),H13=""),"",H13/G13*100)</f>
        <v>576.68159537981592</v>
      </c>
      <c r="K13" s="77">
        <f t="shared" ref="K13:K20" si="2">IF(OR(OR(H13=0,G13=0),H13=""),"",(G13/F13-1)*100)</f>
        <v>-33.645199593637557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116">
        <f>[30]historico_ciiu!C33/1000000</f>
        <v>3.478761</v>
      </c>
      <c r="D14" s="116">
        <f>[30]historico_ciiu!D33/1000000</f>
        <v>7.600886</v>
      </c>
      <c r="E14" s="116">
        <f>[30]historico_ciiu!E33/1000000</f>
        <v>10.61778</v>
      </c>
      <c r="F14" s="116">
        <f>[30]historico_ciiu!F33/1000000</f>
        <v>7.4158739999999996</v>
      </c>
      <c r="G14" s="116">
        <f>[30]historico_ciiu!G33/1000000</f>
        <v>5.0292620000000001</v>
      </c>
      <c r="H14" s="117">
        <f>[30]historico_ciiu!H33/1000000</f>
        <v>27.320996000000001</v>
      </c>
      <c r="I14" s="77">
        <f t="shared" si="0"/>
        <v>443.24065837094986</v>
      </c>
      <c r="J14" s="77">
        <f t="shared" si="1"/>
        <v>543.24065837094986</v>
      </c>
      <c r="K14" s="77">
        <f t="shared" si="2"/>
        <v>-32.182477749756799</v>
      </c>
      <c r="L14" s="65"/>
      <c r="N14" s="43">
        <f t="shared" si="3"/>
        <v>1</v>
      </c>
    </row>
    <row r="15" spans="1:15">
      <c r="A15" s="63"/>
      <c r="B15" s="74" t="s">
        <v>13</v>
      </c>
      <c r="C15" s="116">
        <f>[30]historico_ciiu!C34/1000000</f>
        <v>7.3880100000000004</v>
      </c>
      <c r="D15" s="116">
        <f>[30]historico_ciiu!D34/1000000</f>
        <v>6.8024430000000002</v>
      </c>
      <c r="E15" s="116">
        <f>[30]historico_ciiu!E34/1000000</f>
        <v>18.497018000000001</v>
      </c>
      <c r="F15" s="116">
        <f>[30]historico_ciiu!F34/1000000</f>
        <v>7.3169870000000001</v>
      </c>
      <c r="G15" s="116">
        <f>[30]historico_ciiu!G34/1000000</f>
        <v>10.044805999999999</v>
      </c>
      <c r="H15" s="117">
        <f>[30]historico_ciiu!H34/1000000</f>
        <v>40.189205000000001</v>
      </c>
      <c r="I15" s="77">
        <f t="shared" si="0"/>
        <v>300.09936478613923</v>
      </c>
      <c r="J15" s="77">
        <f>IF(OR(OR(H15=0,G15=0),H15=""),"",H15/G15*100)</f>
        <v>400.09936478613923</v>
      </c>
      <c r="K15" s="77">
        <f t="shared" si="2"/>
        <v>37.280632041576652</v>
      </c>
      <c r="L15" s="65"/>
      <c r="N15" s="43">
        <f t="shared" si="3"/>
        <v>1</v>
      </c>
    </row>
    <row r="16" spans="1:15">
      <c r="A16" s="63"/>
      <c r="B16" s="74" t="s">
        <v>14</v>
      </c>
      <c r="C16" s="116">
        <f>[30]historico_ciiu!C35/1000000</f>
        <v>14.865957999999999</v>
      </c>
      <c r="D16" s="116">
        <f>[30]historico_ciiu!D35/1000000</f>
        <v>3.757968</v>
      </c>
      <c r="E16" s="116">
        <f>[30]historico_ciiu!E35/1000000</f>
        <v>11.873377</v>
      </c>
      <c r="F16" s="116">
        <f>[30]historico_ciiu!F35/1000000</f>
        <v>8.2643540000000009</v>
      </c>
      <c r="G16" s="116">
        <f>[30]historico_ciiu!G35/1000000</f>
        <v>9.4808350000000008</v>
      </c>
      <c r="H16" s="117">
        <f>[30]historico_ciiu!H35/1000000</f>
        <v>26.175540000000002</v>
      </c>
      <c r="I16" s="77">
        <f t="shared" si="0"/>
        <v>176.08897317588585</v>
      </c>
      <c r="J16" s="77">
        <f t="shared" si="1"/>
        <v>276.08897317588583</v>
      </c>
      <c r="K16" s="77">
        <f t="shared" si="2"/>
        <v>14.71961389843659</v>
      </c>
      <c r="L16" s="65"/>
      <c r="N16" s="43">
        <f t="shared" si="3"/>
        <v>1</v>
      </c>
    </row>
    <row r="17" spans="1:15">
      <c r="A17" s="63"/>
      <c r="B17" s="74" t="s">
        <v>15</v>
      </c>
      <c r="C17" s="116">
        <f>[30]historico_ciiu!C36/1000000</f>
        <v>14.751733</v>
      </c>
      <c r="D17" s="116">
        <f>[30]historico_ciiu!D36/1000000</f>
        <v>5.9747370000000002</v>
      </c>
      <c r="E17" s="116">
        <f>[30]historico_ciiu!E36/1000000</f>
        <v>10.540921000000001</v>
      </c>
      <c r="F17" s="116">
        <f>[30]historico_ciiu!F36/1000000</f>
        <v>8.5768489999999993</v>
      </c>
      <c r="G17" s="116">
        <f>[30]historico_ciiu!G36/1000000</f>
        <v>16.189813000000001</v>
      </c>
      <c r="H17" s="117">
        <f>[30]historico_ciiu!H36/1000000</f>
        <v>71.439451000000005</v>
      </c>
      <c r="I17" s="77">
        <f t="shared" si="0"/>
        <v>341.26174280085877</v>
      </c>
      <c r="J17" s="77">
        <f t="shared" si="1"/>
        <v>441.26174280085877</v>
      </c>
      <c r="K17" s="77">
        <f t="shared" si="2"/>
        <v>88.761781861846956</v>
      </c>
      <c r="L17" s="65"/>
      <c r="N17" s="43">
        <f t="shared" si="3"/>
        <v>1</v>
      </c>
    </row>
    <row r="18" spans="1:15">
      <c r="A18" s="63"/>
      <c r="B18" s="74" t="s">
        <v>16</v>
      </c>
      <c r="C18" s="116">
        <f>[30]historico_ciiu!C37/1000000</f>
        <v>8.0596399999999999</v>
      </c>
      <c r="D18" s="116">
        <f>[30]historico_ciiu!D37/1000000</f>
        <v>12.662872</v>
      </c>
      <c r="E18" s="116">
        <f>[30]historico_ciiu!E37/1000000</f>
        <v>12.189218</v>
      </c>
      <c r="F18" s="116">
        <f>[30]historico_ciiu!F37/1000000</f>
        <v>9.9691829999999992</v>
      </c>
      <c r="G18" s="116">
        <f>[30]historico_ciiu!G37/1000000</f>
        <v>8.8173929999999991</v>
      </c>
      <c r="H18" s="117">
        <f>[30]historico_ciiu!H37/1000000</f>
        <v>25.778009999999998</v>
      </c>
      <c r="I18" s="77">
        <f t="shared" si="0"/>
        <v>192.35410058279129</v>
      </c>
      <c r="J18" s="77">
        <f t="shared" si="1"/>
        <v>292.35410058279132</v>
      </c>
      <c r="K18" s="77">
        <f t="shared" si="2"/>
        <v>-11.553504434616158</v>
      </c>
      <c r="L18" s="65"/>
      <c r="N18" s="43">
        <f t="shared" si="3"/>
        <v>1</v>
      </c>
    </row>
    <row r="19" spans="1:15">
      <c r="A19" s="63"/>
      <c r="B19" s="74" t="s">
        <v>17</v>
      </c>
      <c r="C19" s="116">
        <f>[30]historico_ciiu!C38/1000000</f>
        <v>5.5121830000000003</v>
      </c>
      <c r="D19" s="116">
        <f>[30]historico_ciiu!D38/1000000</f>
        <v>14.318306</v>
      </c>
      <c r="E19" s="116">
        <f>[30]historico_ciiu!E38/1000000</f>
        <v>11.982619</v>
      </c>
      <c r="F19" s="116">
        <f>[30]historico_ciiu!F38/1000000</f>
        <v>19.109221000000002</v>
      </c>
      <c r="G19" s="116">
        <f>[30]historico_ciiu!G38/1000000</f>
        <v>16.810918000000001</v>
      </c>
      <c r="H19" s="117">
        <f>[30]historico_ciiu!H38/1000000</f>
        <v>17.825308</v>
      </c>
      <c r="I19" s="77">
        <f>IF(OR(OR(H19=0,G19=0),H19=""),"",(H19/G19-1)*100)</f>
        <v>6.0341142583647089</v>
      </c>
      <c r="J19" s="77">
        <f t="shared" si="1"/>
        <v>106.03411425836471</v>
      </c>
      <c r="K19" s="77">
        <f t="shared" si="2"/>
        <v>-12.027193573196937</v>
      </c>
      <c r="L19" s="65"/>
      <c r="N19" s="43">
        <f t="shared" si="3"/>
        <v>1</v>
      </c>
    </row>
    <row r="20" spans="1:15">
      <c r="A20" s="63"/>
      <c r="B20" s="74" t="s">
        <v>18</v>
      </c>
      <c r="C20" s="116">
        <f>[30]historico_ciiu!C39/1000000</f>
        <v>5.2857070000000004</v>
      </c>
      <c r="D20" s="116">
        <f>[30]historico_ciiu!D39/1000000</f>
        <v>8.064311</v>
      </c>
      <c r="E20" s="116">
        <f>[30]historico_ciiu!E39/1000000</f>
        <v>12.47419</v>
      </c>
      <c r="F20" s="116">
        <f>[30]historico_ciiu!F39/1000000</f>
        <v>12.345181999999999</v>
      </c>
      <c r="G20" s="116">
        <f>[30]historico_ciiu!G39/1000000</f>
        <v>12.559161</v>
      </c>
      <c r="H20" s="117">
        <f>[30]historico_ciiu!H39/1000000</f>
        <v>30.136147999999999</v>
      </c>
      <c r="I20" s="77">
        <f t="shared" si="0"/>
        <v>139.95351281825273</v>
      </c>
      <c r="J20" s="77">
        <f t="shared" si="1"/>
        <v>239.95351281825273</v>
      </c>
      <c r="K20" s="77">
        <f t="shared" si="2"/>
        <v>1.7332996791784794</v>
      </c>
      <c r="L20" s="65"/>
      <c r="N20" s="43">
        <f t="shared" si="3"/>
        <v>1</v>
      </c>
    </row>
    <row r="21" spans="1:15">
      <c r="A21" s="63"/>
      <c r="B21" s="74" t="s">
        <v>19</v>
      </c>
      <c r="C21" s="116">
        <f>[30]historico_ciiu!C40/1000000</f>
        <v>4.9898429999999996</v>
      </c>
      <c r="D21" s="116">
        <f>[30]historico_ciiu!D40/1000000</f>
        <v>6.6874520000000004</v>
      </c>
      <c r="E21" s="116">
        <f>[30]historico_ciiu!E40/1000000</f>
        <v>9.4454910000000005</v>
      </c>
      <c r="F21" s="116">
        <f>[30]historico_ciiu!F40/1000000</f>
        <v>3.6879189999999999</v>
      </c>
      <c r="G21" s="116">
        <f>[30]historico_ciiu!G40/1000000</f>
        <v>18.967307999999999</v>
      </c>
      <c r="H21" s="117">
        <f>[30]historico_ciiu!H40/1000000</f>
        <v>32.177802999999997</v>
      </c>
      <c r="I21" s="77">
        <f t="shared" ref="I21" si="4">IF(OR(OR(H21=0,G21=0),H21=""),"",(H21/G21-1)*100)</f>
        <v>69.648760910088029</v>
      </c>
      <c r="J21" s="77">
        <f t="shared" ref="J21" si="5">IF(OR(OR(H21=0,G21=0),H21=""),"",H21/G21*100)</f>
        <v>169.64876091008801</v>
      </c>
      <c r="K21" s="77">
        <f t="shared" ref="K21" si="6">IF(OR(OR(H21=0,G21=0),H21=""),"",(G21/F21-1)*100)</f>
        <v>414.30923509979476</v>
      </c>
      <c r="L21" s="65"/>
      <c r="N21" s="43">
        <f t="shared" si="3"/>
        <v>1</v>
      </c>
    </row>
    <row r="22" spans="1:15">
      <c r="A22" s="63"/>
      <c r="B22" s="74" t="s">
        <v>20</v>
      </c>
      <c r="C22" s="116">
        <f>[30]historico_ciiu!C41/1000000</f>
        <v>7.2152120000000002</v>
      </c>
      <c r="D22" s="116">
        <f>[30]historico_ciiu!D41/1000000</f>
        <v>15.89883</v>
      </c>
      <c r="E22" s="116">
        <f>[30]historico_ciiu!E41/1000000</f>
        <v>6.9364869999999996</v>
      </c>
      <c r="F22" s="116">
        <f>[30]historico_ciiu!F41/1000000</f>
        <v>4.854311</v>
      </c>
      <c r="G22" s="116">
        <f>[30]historico_ciiu!G41/1000000</f>
        <v>20.79045</v>
      </c>
      <c r="H22" s="117">
        <f>[30]historico_ciiu!H41/1000000</f>
        <v>27.066264</v>
      </c>
      <c r="I22" s="77">
        <f t="shared" ref="I22" si="7">IF(OR(OR(H22=0,G22=0),H22=""),"",(H22/G22-1)*100)</f>
        <v>30.186042149159832</v>
      </c>
      <c r="J22" s="77">
        <f t="shared" ref="J22" si="8">IF(OR(OR(H22=0,G22=0),H22=""),"",H22/G22*100)</f>
        <v>130.18604214915982</v>
      </c>
      <c r="K22" s="77">
        <f t="shared" ref="K22" si="9">IF(OR(OR(H22=0,G22=0),H22=""),"",(G22/F22-1)*100)</f>
        <v>328.28838119354111</v>
      </c>
      <c r="L22" s="65"/>
      <c r="N22" s="43">
        <f t="shared" si="3"/>
        <v>1</v>
      </c>
    </row>
    <row r="23" spans="1:15">
      <c r="A23" s="63"/>
      <c r="B23" s="74" t="s">
        <v>21</v>
      </c>
      <c r="C23" s="116">
        <f>[30]historico_ciiu!C42/1000000</f>
        <v>4.329593</v>
      </c>
      <c r="D23" s="116">
        <f>[30]historico_ciiu!D42/1000000</f>
        <v>3.828694</v>
      </c>
      <c r="E23" s="116">
        <f>[30]historico_ciiu!E42/1000000</f>
        <v>8.2364840000000008</v>
      </c>
      <c r="F23" s="116">
        <f>[30]historico_ciiu!F42/1000000</f>
        <v>3.3479380000000001</v>
      </c>
      <c r="G23" s="116">
        <f>[30]historico_ciiu!G42/1000000</f>
        <v>18.894850999999999</v>
      </c>
      <c r="H23" s="117">
        <f>[30]historico_ciiu!H42/1000000</f>
        <v>45.112054000000001</v>
      </c>
      <c r="I23" s="77">
        <f t="shared" ref="I23:I24" si="10">IF(OR(OR(H23=0,G23=0),H23=""),"",(H23/G23-1)*100)</f>
        <v>138.75316084789452</v>
      </c>
      <c r="J23" s="77">
        <f t="shared" ref="J23:J24" si="11">IF(OR(OR(H23=0,G23=0),H23=""),"",H23/G23*100)</f>
        <v>238.75316084789452</v>
      </c>
      <c r="K23" s="77">
        <f t="shared" ref="K23:K24" si="12">IF(OR(OR(H23=0,G23=0),H23=""),"",(G23/F23-1)*100)</f>
        <v>464.37278707072824</v>
      </c>
      <c r="L23" s="65"/>
      <c r="N23" s="43">
        <f t="shared" si="3"/>
        <v>1</v>
      </c>
    </row>
    <row r="24" spans="1:15">
      <c r="A24" s="63"/>
      <c r="B24" s="74" t="s">
        <v>22</v>
      </c>
      <c r="C24" s="116">
        <f>[30]historico_ciiu!C43/1000000</f>
        <v>1.91089</v>
      </c>
      <c r="D24" s="116">
        <f>[30]historico_ciiu!D43/1000000</f>
        <v>4.718591</v>
      </c>
      <c r="E24" s="116">
        <f>[30]historico_ciiu!E43/1000000</f>
        <v>6.0207480000000002</v>
      </c>
      <c r="F24" s="116">
        <f>[30]historico_ciiu!F43/1000000</f>
        <v>4.621842</v>
      </c>
      <c r="G24" s="116">
        <f>[30]historico_ciiu!G43/1000000</f>
        <v>23.187387000000001</v>
      </c>
      <c r="H24" s="118">
        <f>[30]historico_ciiu!H43/1000000</f>
        <v>78.608446999999998</v>
      </c>
      <c r="I24" s="25">
        <f t="shared" si="10"/>
        <v>239.01382247167388</v>
      </c>
      <c r="J24" s="25">
        <f t="shared" si="11"/>
        <v>339.0138224716739</v>
      </c>
      <c r="K24" s="25">
        <f t="shared" si="12"/>
        <v>401.69146846646856</v>
      </c>
      <c r="L24" s="65"/>
      <c r="N24" s="43">
        <f t="shared" si="3"/>
        <v>1</v>
      </c>
    </row>
    <row r="25" spans="1:15">
      <c r="A25" s="63"/>
      <c r="B25" s="78" t="s">
        <v>42</v>
      </c>
      <c r="C25" s="117">
        <f t="shared" ref="C25:F25" si="13">SUM(C13:C24)</f>
        <v>81.868659999999991</v>
      </c>
      <c r="D25" s="117">
        <f t="shared" si="13"/>
        <v>93.05591299999999</v>
      </c>
      <c r="E25" s="117">
        <f t="shared" si="13"/>
        <v>128.78053500000001</v>
      </c>
      <c r="F25" s="117">
        <f t="shared" si="13"/>
        <v>94.710927999999981</v>
      </c>
      <c r="G25" s="117">
        <f>SUM(G13:G24)</f>
        <v>164.22347500000001</v>
      </c>
      <c r="H25" s="119">
        <f>SUM(H13:H24)</f>
        <v>441.73218600000001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13.664878599454289</v>
      </c>
      <c r="E26" s="79">
        <f>(E25/D25-1)*100</f>
        <v>38.39049110183899</v>
      </c>
      <c r="F26" s="79">
        <f>(F25/E25-1)*100</f>
        <v>-26.455556346306551</v>
      </c>
      <c r="G26" s="79">
        <f>(G25/F25-1)*100</f>
        <v>73.394431316310232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81.868659999999991</v>
      </c>
      <c r="D28" s="76">
        <f t="shared" ref="D28:E28" si="14">SUMPRODUCT(D13:D24,$N$13:$N$24)</f>
        <v>93.05591299999999</v>
      </c>
      <c r="E28" s="76">
        <f t="shared" si="14"/>
        <v>128.78053500000001</v>
      </c>
      <c r="F28" s="76">
        <f>SUMPRODUCT(F13:F24,$N$13:$N$24)</f>
        <v>94.710927999999981</v>
      </c>
      <c r="G28" s="76">
        <f>SUMPRODUCT(G13:G24,$N$13:$N$24)</f>
        <v>164.22347500000001</v>
      </c>
      <c r="H28" s="72">
        <f>SUMPRODUCT(H13:H24,$N$13:$N$24)</f>
        <v>441.73218600000001</v>
      </c>
      <c r="I28" s="73">
        <f>IF(OR(OR(H28=0,G28=0),H28=""),"",(H28/G28-1)*100)</f>
        <v>168.98236442749734</v>
      </c>
      <c r="J28" s="31">
        <f>IF(OR(OR(H28=0,G28=0),H28=""),"",H28/G28*100)</f>
        <v>268.98236442749737</v>
      </c>
      <c r="K28" s="31">
        <f>IF(OR(OR(H28=0,G28=0),G28=""),"",(G28/F28-1)*100)</f>
        <v>73.394431316310232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13.664878599454289</v>
      </c>
      <c r="E29" s="79">
        <f t="shared" ref="E29:H29" si="15">(E28/D28-1)*100</f>
        <v>38.39049110183899</v>
      </c>
      <c r="F29" s="79">
        <f t="shared" si="15"/>
        <v>-26.455556346306551</v>
      </c>
      <c r="G29" s="79">
        <f t="shared" si="15"/>
        <v>73.394431316310232</v>
      </c>
      <c r="H29" s="31">
        <f t="shared" si="15"/>
        <v>168.98236442749734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160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[30]historico_ciiu!C57/1000000</f>
        <v>7.8227440000000001</v>
      </c>
      <c r="D13" s="77">
        <f>[30]historico_ciiu!D57/1000000</f>
        <v>13.019004000000001</v>
      </c>
      <c r="E13" s="77">
        <f>[30]historico_ciiu!E57/1000000</f>
        <v>7.8875190000000002</v>
      </c>
      <c r="F13" s="77">
        <f>[30]historico_ciiu!F57/1000000</f>
        <v>13.914702</v>
      </c>
      <c r="G13" s="77">
        <f>[30]historico_ciiu!G57/1000000</f>
        <v>27.354028</v>
      </c>
      <c r="H13" s="79">
        <f>[30]historico_ciiu!H57/1000000</f>
        <v>17.467524000000001</v>
      </c>
      <c r="I13" s="77">
        <f t="shared" ref="I13:I20" si="0">IF(OR(OR(H13=0,G13=0),H13=""),"",(H13/G13-1)*100)</f>
        <v>-36.1427720992316</v>
      </c>
      <c r="J13" s="77">
        <f t="shared" ref="J13:J20" si="1">IF(OR(OR(H13=0,G13=0),H13=""),"",H13/G13*100)</f>
        <v>63.8572279007684</v>
      </c>
      <c r="K13" s="77">
        <f t="shared" ref="K13:K20" si="2">IF(OR(OR(H13=0,G13=0),H13=""),"",(G13/F13-1)*100)</f>
        <v>96.583642251195883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[30]historico_ciiu!C58/1000000</f>
        <v>6.5423809999999998</v>
      </c>
      <c r="D14" s="77">
        <f>[30]historico_ciiu!D58/1000000</f>
        <v>20.943162999999998</v>
      </c>
      <c r="E14" s="77">
        <f>[30]historico_ciiu!E58/1000000</f>
        <v>10.899108999999999</v>
      </c>
      <c r="F14" s="77">
        <f>[30]historico_ciiu!F58/1000000</f>
        <v>35.410741999999999</v>
      </c>
      <c r="G14" s="77">
        <f>[30]historico_ciiu!G58/1000000</f>
        <v>25.914359999999999</v>
      </c>
      <c r="H14" s="79">
        <f>[30]historico_ciiu!H58/1000000</f>
        <v>18.251664000000002</v>
      </c>
      <c r="I14" s="77">
        <f t="shared" si="0"/>
        <v>-29.569304431982879</v>
      </c>
      <c r="J14" s="77">
        <f t="shared" si="1"/>
        <v>70.430695568017114</v>
      </c>
      <c r="K14" s="77">
        <f t="shared" si="2"/>
        <v>-26.817800090153433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[30]historico_ciiu!C59/1000000</f>
        <v>7.8574859999999997</v>
      </c>
      <c r="D15" s="77">
        <f>[30]historico_ciiu!D59/1000000</f>
        <v>20.041855999999999</v>
      </c>
      <c r="E15" s="77">
        <f>[30]historico_ciiu!E59/1000000</f>
        <v>10.785917</v>
      </c>
      <c r="F15" s="77">
        <f>[30]historico_ciiu!F59/1000000</f>
        <v>37.962694999999997</v>
      </c>
      <c r="G15" s="77">
        <f>[30]historico_ciiu!G59/1000000</f>
        <v>28.671600999999999</v>
      </c>
      <c r="H15" s="79">
        <f>[30]historico_ciiu!H59/1000000</f>
        <v>25.272324000000001</v>
      </c>
      <c r="I15" s="77">
        <f t="shared" si="0"/>
        <v>-11.855902291609032</v>
      </c>
      <c r="J15" s="77">
        <f>IF(OR(OR(H15=0,G15=0),H15=""),"",H15/G15*100)</f>
        <v>88.144097708390973</v>
      </c>
      <c r="K15" s="77">
        <f t="shared" si="2"/>
        <v>-24.474274020851251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[30]historico_ciiu!C60/1000000</f>
        <v>11.919226</v>
      </c>
      <c r="D16" s="77">
        <f>[30]historico_ciiu!D60/1000000</f>
        <v>15.544005</v>
      </c>
      <c r="E16" s="77">
        <f>[30]historico_ciiu!E60/1000000</f>
        <v>13.72475</v>
      </c>
      <c r="F16" s="77">
        <f>[30]historico_ciiu!F60/1000000</f>
        <v>54.209409999999998</v>
      </c>
      <c r="G16" s="77">
        <f>[30]historico_ciiu!G60/1000000</f>
        <v>17.351476999999999</v>
      </c>
      <c r="H16" s="79">
        <f>[30]historico_ciiu!H60/1000000</f>
        <v>15.238353</v>
      </c>
      <c r="I16" s="77">
        <f t="shared" si="0"/>
        <v>-12.178352309719799</v>
      </c>
      <c r="J16" s="77">
        <f t="shared" si="1"/>
        <v>87.821647690280201</v>
      </c>
      <c r="K16" s="77">
        <f t="shared" si="2"/>
        <v>-67.991761946864941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[30]historico_ciiu!C61/1000000</f>
        <v>20.123346999999999</v>
      </c>
      <c r="D17" s="77">
        <f>[30]historico_ciiu!D61/1000000</f>
        <v>13.233886</v>
      </c>
      <c r="E17" s="77">
        <f>[30]historico_ciiu!E61/1000000</f>
        <v>12.137266</v>
      </c>
      <c r="F17" s="77">
        <f>[30]historico_ciiu!F61/1000000</f>
        <v>34.611818999999997</v>
      </c>
      <c r="G17" s="77">
        <f>[30]historico_ciiu!G61/1000000</f>
        <v>13.74095</v>
      </c>
      <c r="H17" s="79">
        <f>[30]historico_ciiu!H61/1000000</f>
        <v>24.409407999999999</v>
      </c>
      <c r="I17" s="77">
        <f t="shared" si="0"/>
        <v>77.639886616281984</v>
      </c>
      <c r="J17" s="77">
        <f t="shared" si="1"/>
        <v>177.63988661628198</v>
      </c>
      <c r="K17" s="77">
        <f t="shared" si="2"/>
        <v>-60.299832840336997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[30]historico_ciiu!C62/1000000</f>
        <v>17.706842999999999</v>
      </c>
      <c r="D18" s="77">
        <f>[30]historico_ciiu!D62/1000000</f>
        <v>12.032586</v>
      </c>
      <c r="E18" s="77">
        <f>[30]historico_ciiu!E62/1000000</f>
        <v>16.291829</v>
      </c>
      <c r="F18" s="77">
        <f>[30]historico_ciiu!F62/1000000</f>
        <v>42.208889999999997</v>
      </c>
      <c r="G18" s="77">
        <f>[30]historico_ciiu!G62/1000000</f>
        <v>21.573506999999999</v>
      </c>
      <c r="H18" s="79">
        <f>[30]historico_ciiu!H62/1000000</f>
        <v>21.830387000000002</v>
      </c>
      <c r="I18" s="77">
        <f t="shared" si="0"/>
        <v>1.190719710059196</v>
      </c>
      <c r="J18" s="77">
        <f t="shared" si="1"/>
        <v>101.1907197100592</v>
      </c>
      <c r="K18" s="77">
        <f t="shared" si="2"/>
        <v>-48.888712780648817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[30]historico_ciiu!C63/1000000</f>
        <v>15.115900999999999</v>
      </c>
      <c r="D19" s="77">
        <f>[30]historico_ciiu!D63/1000000</f>
        <v>14.71444</v>
      </c>
      <c r="E19" s="77">
        <f>[30]historico_ciiu!E63/1000000</f>
        <v>16.493798000000002</v>
      </c>
      <c r="F19" s="77">
        <f>[30]historico_ciiu!F63/1000000</f>
        <v>28.739377000000001</v>
      </c>
      <c r="G19" s="77">
        <f>[30]historico_ciiu!G63/1000000</f>
        <v>17.765388999999999</v>
      </c>
      <c r="H19" s="79">
        <f>[30]historico_ciiu!H63/1000000</f>
        <v>16.653055999999999</v>
      </c>
      <c r="I19" s="77">
        <f>IF(OR(OR(H19=0,G19=0),H19=""),"",(H19/G19-1)*100)</f>
        <v>-6.2612363849730457</v>
      </c>
      <c r="J19" s="77">
        <f t="shared" si="1"/>
        <v>93.738763615026954</v>
      </c>
      <c r="K19" s="77">
        <f t="shared" si="2"/>
        <v>-38.184502050966529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[30]historico_ciiu!C64/1000000</f>
        <v>11.753885</v>
      </c>
      <c r="D20" s="77">
        <f>[30]historico_ciiu!D64/1000000</f>
        <v>16.057214999999999</v>
      </c>
      <c r="E20" s="77">
        <f>[30]historico_ciiu!E64/1000000</f>
        <v>15.205119</v>
      </c>
      <c r="F20" s="77">
        <f>[30]historico_ciiu!F64/1000000</f>
        <v>33.777723000000002</v>
      </c>
      <c r="G20" s="77">
        <f>[30]historico_ciiu!G64/1000000</f>
        <v>15.582929999999999</v>
      </c>
      <c r="H20" s="79">
        <f>[30]historico_ciiu!H64/1000000</f>
        <v>21.271598000000001</v>
      </c>
      <c r="I20" s="77">
        <f t="shared" si="0"/>
        <v>36.505766245500702</v>
      </c>
      <c r="J20" s="77">
        <f t="shared" si="1"/>
        <v>136.50576624550069</v>
      </c>
      <c r="K20" s="77">
        <f t="shared" si="2"/>
        <v>-53.866250842308119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[30]historico_ciiu!C65/1000000</f>
        <v>11.261752</v>
      </c>
      <c r="D21" s="77">
        <f>[30]historico_ciiu!D65/1000000</f>
        <v>12.766768000000001</v>
      </c>
      <c r="E21" s="77">
        <f>[30]historico_ciiu!E65/1000000</f>
        <v>15.780875</v>
      </c>
      <c r="F21" s="77">
        <f>[30]historico_ciiu!F65/1000000</f>
        <v>15.410209</v>
      </c>
      <c r="G21" s="77">
        <f>[30]historico_ciiu!G65/1000000</f>
        <v>13.392564999999999</v>
      </c>
      <c r="H21" s="79">
        <f>[30]historico_ciiu!H65/1000000</f>
        <v>19.56887</v>
      </c>
      <c r="I21" s="77">
        <f t="shared" ref="I21" si="4">IF(OR(OR(H21=0,G21=0),H21=""),"",(H21/G21-1)*100)</f>
        <v>46.117416641248354</v>
      </c>
      <c r="J21" s="77">
        <f t="shared" ref="J21" si="5">IF(OR(OR(H21=0,G21=0),H21=""),"",H21/G21*100)</f>
        <v>146.11741664124835</v>
      </c>
      <c r="K21" s="77">
        <f t="shared" ref="K21" si="6">IF(OR(OR(H21=0,G21=0),H21=""),"",(G21/F21-1)*100)</f>
        <v>-13.092904839901919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[30]historico_ciiu!C66/1000000</f>
        <v>13.483383</v>
      </c>
      <c r="D22" s="77">
        <f>[30]historico_ciiu!D66/1000000</f>
        <v>16.957977</v>
      </c>
      <c r="E22" s="77">
        <f>[30]historico_ciiu!E66/1000000</f>
        <v>17.679445999999999</v>
      </c>
      <c r="F22" s="77">
        <f>[30]historico_ciiu!F66/1000000</f>
        <v>29.935988999999999</v>
      </c>
      <c r="G22" s="77">
        <f>[30]historico_ciiu!G66/1000000</f>
        <v>15.190681</v>
      </c>
      <c r="H22" s="79">
        <f>[30]historico_ciiu!H66/1000000</f>
        <v>21.549043000000001</v>
      </c>
      <c r="I22" s="77">
        <f t="shared" ref="I22" si="7">IF(OR(OR(H22=0,G22=0),H22=""),"",(H22/G22-1)*100)</f>
        <v>41.856991138185329</v>
      </c>
      <c r="J22" s="77">
        <f t="shared" ref="J22" si="8">IF(OR(OR(H22=0,G22=0),H22=""),"",H22/G22*100)</f>
        <v>141.85699113818532</v>
      </c>
      <c r="K22" s="77">
        <f t="shared" ref="K22" si="9">IF(OR(OR(H22=0,G22=0),H22=""),"",(G22/F22-1)*100)</f>
        <v>-49.256124459425742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[30]historico_ciiu!C67/1000000</f>
        <v>17.425504</v>
      </c>
      <c r="D23" s="77">
        <f>[30]historico_ciiu!D67/1000000</f>
        <v>15.24248</v>
      </c>
      <c r="E23" s="77">
        <f>[30]historico_ciiu!E67/1000000</f>
        <v>17.351845000000001</v>
      </c>
      <c r="F23" s="77">
        <f>[30]historico_ciiu!F67/1000000</f>
        <v>19.940559</v>
      </c>
      <c r="G23" s="77">
        <f>[30]historico_ciiu!G67/1000000</f>
        <v>21.608720000000002</v>
      </c>
      <c r="H23" s="79">
        <f>[30]historico_ciiu!H67/1000000</f>
        <v>32.105547999999999</v>
      </c>
      <c r="I23" s="77">
        <f t="shared" ref="I23:I24" si="10">IF(OR(OR(H23=0,G23=0),H23=""),"",(H23/G23-1)*100)</f>
        <v>48.576815285680944</v>
      </c>
      <c r="J23" s="77">
        <f t="shared" ref="J23:J24" si="11">IF(OR(OR(H23=0,G23=0),H23=""),"",H23/G23*100)</f>
        <v>148.57681528568094</v>
      </c>
      <c r="K23" s="77">
        <f t="shared" ref="K23:K24" si="12">IF(OR(OR(H23=0,G23=0),H23=""),"",(G23/F23-1)*100)</f>
        <v>8.3656681841266511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[30]historico_ciiu!C68/1000000</f>
        <v>16.881657000000001</v>
      </c>
      <c r="D24" s="77">
        <f>[30]historico_ciiu!D68/1000000</f>
        <v>12.609757999999999</v>
      </c>
      <c r="E24" s="77">
        <f>[30]historico_ciiu!E68/1000000</f>
        <v>14.097898000000001</v>
      </c>
      <c r="F24" s="77">
        <f>[30]historico_ciiu!F68/1000000</f>
        <v>23.999006999999999</v>
      </c>
      <c r="G24" s="77">
        <f>[30]historico_ciiu!G68/1000000</f>
        <v>21.033372</v>
      </c>
      <c r="H24" s="31">
        <f>[30]historico_ciiu!H68/1000000</f>
        <v>29.928041</v>
      </c>
      <c r="I24" s="25">
        <f t="shared" si="10"/>
        <v>42.288364414417231</v>
      </c>
      <c r="J24" s="25">
        <f t="shared" si="11"/>
        <v>142.28836441441723</v>
      </c>
      <c r="K24" s="25">
        <f t="shared" si="12"/>
        <v>-12.357323784271568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157.89410899999999</v>
      </c>
      <c r="D25" s="79">
        <f t="shared" si="13"/>
        <v>183.163138</v>
      </c>
      <c r="E25" s="79">
        <f t="shared" si="13"/>
        <v>168.33537100000001</v>
      </c>
      <c r="F25" s="79">
        <f t="shared" si="13"/>
        <v>370.12112200000001</v>
      </c>
      <c r="G25" s="79">
        <f>SUM(G13:G24)</f>
        <v>239.17957999999999</v>
      </c>
      <c r="H25" s="107">
        <f>SUM(H13:H24)</f>
        <v>263.545816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16.003782003038513</v>
      </c>
      <c r="E26" s="79">
        <f>(E25/D25-1)*100</f>
        <v>-8.0953881670229872</v>
      </c>
      <c r="F26" s="79">
        <f>(F25/E25-1)*100</f>
        <v>119.8712723305193</v>
      </c>
      <c r="G26" s="79">
        <f>(G25/F25-1)*100</f>
        <v>-35.378024710516257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157.89410899999999</v>
      </c>
      <c r="D28" s="76">
        <f t="shared" ref="D28:E28" si="14">SUMPRODUCT(D13:D24,$N$13:$N$24)</f>
        <v>183.163138</v>
      </c>
      <c r="E28" s="76">
        <f t="shared" si="14"/>
        <v>168.33537100000001</v>
      </c>
      <c r="F28" s="76">
        <f>SUMPRODUCT(F13:F24,$N$13:$N$24)</f>
        <v>370.12112200000001</v>
      </c>
      <c r="G28" s="76">
        <f>SUMPRODUCT(G13:G24,$N$13:$N$24)</f>
        <v>239.17957999999999</v>
      </c>
      <c r="H28" s="72">
        <f>SUMPRODUCT(H13:H24,$N$13:$N$24)</f>
        <v>263.545816</v>
      </c>
      <c r="I28" s="73">
        <f>IF(OR(OR(H28=0,G28=0),H28=""),"",(H28/G28-1)*100)</f>
        <v>10.18742319055832</v>
      </c>
      <c r="J28" s="31">
        <f>IF(OR(OR(H28=0,G28=0),H28=""),"",H28/G28*100)</f>
        <v>110.18742319055832</v>
      </c>
      <c r="K28" s="31">
        <f>IF(OR(OR(H28=0,G28=0),G28=""),"",(G28/F28-1)*100)</f>
        <v>-35.378024710516257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16.003782003038513</v>
      </c>
      <c r="E29" s="79">
        <f t="shared" ref="E29:H29" si="15">(E28/D28-1)*100</f>
        <v>-8.0953881670229872</v>
      </c>
      <c r="F29" s="79">
        <f t="shared" si="15"/>
        <v>119.8712723305193</v>
      </c>
      <c r="G29" s="79">
        <f t="shared" si="15"/>
        <v>-35.378024710516257</v>
      </c>
      <c r="H29" s="31">
        <f t="shared" si="15"/>
        <v>10.18742319055832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101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[30]historico_ciiu!C82/1000000</f>
        <v>3.495206</v>
      </c>
      <c r="D13" s="77">
        <f>[30]historico_ciiu!D82/1000000</f>
        <v>2.5222410000000002</v>
      </c>
      <c r="E13" s="77">
        <f>[30]historico_ciiu!E82/1000000</f>
        <v>0.47106799999999999</v>
      </c>
      <c r="F13" s="77">
        <f>[30]historico_ciiu!F82/1000000</f>
        <v>7.3643799999999997</v>
      </c>
      <c r="G13" s="77">
        <f>[30]historico_ciiu!G82/1000000</f>
        <v>6.9692980000000002</v>
      </c>
      <c r="H13" s="79">
        <f>[30]historico_ciiu!H82/1000000</f>
        <v>11.866103000000001</v>
      </c>
      <c r="I13" s="77">
        <f t="shared" ref="I13:I20" si="0">IF(OR(OR(H13=0,G13=0),H13=""),"",(H13/G13-1)*100)</f>
        <v>70.26252859326722</v>
      </c>
      <c r="J13" s="77">
        <f t="shared" ref="J13:J20" si="1">IF(OR(OR(H13=0,G13=0),H13=""),"",H13/G13*100)</f>
        <v>170.26252859326723</v>
      </c>
      <c r="K13" s="77">
        <f t="shared" ref="K13:K20" si="2">IF(OR(OR(H13=0,G13=0),H13=""),"",(G13/F13-1)*100)</f>
        <v>-5.3647693356399291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[30]historico_ciiu!C83/1000000</f>
        <v>3.0220639999999999</v>
      </c>
      <c r="D14" s="77">
        <f>[30]historico_ciiu!D83/1000000</f>
        <v>3.9189500000000002</v>
      </c>
      <c r="E14" s="77">
        <f>[30]historico_ciiu!E83/1000000</f>
        <v>9.8241999999999996E-2</v>
      </c>
      <c r="F14" s="77">
        <f>[30]historico_ciiu!F83/1000000</f>
        <v>9.162509</v>
      </c>
      <c r="G14" s="77">
        <f>[30]historico_ciiu!G83/1000000</f>
        <v>3.6002529999999999</v>
      </c>
      <c r="H14" s="79">
        <f>[30]historico_ciiu!H83/1000000</f>
        <v>8.5173839999999998</v>
      </c>
      <c r="I14" s="77">
        <f t="shared" si="0"/>
        <v>136.57737386789205</v>
      </c>
      <c r="J14" s="77">
        <f t="shared" si="1"/>
        <v>236.57737386789205</v>
      </c>
      <c r="K14" s="77">
        <f t="shared" si="2"/>
        <v>-60.706690711026859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[30]historico_ciiu!C84/1000000</f>
        <v>2.5906099999999999</v>
      </c>
      <c r="D15" s="77">
        <f>[30]historico_ciiu!D84/1000000</f>
        <v>6.1343059999999996</v>
      </c>
      <c r="E15" s="77">
        <f>[30]historico_ciiu!E84/1000000</f>
        <v>0.81307499999999999</v>
      </c>
      <c r="F15" s="77">
        <f>[30]historico_ciiu!F84/1000000</f>
        <v>7.9103079999999997</v>
      </c>
      <c r="G15" s="77">
        <f>[30]historico_ciiu!G84/1000000</f>
        <v>11.199630000000001</v>
      </c>
      <c r="H15" s="79">
        <f>[30]historico_ciiu!H84/1000000</f>
        <v>37.643210000000003</v>
      </c>
      <c r="I15" s="77">
        <f t="shared" si="0"/>
        <v>236.11119295905308</v>
      </c>
      <c r="J15" s="77">
        <f>IF(OR(OR(H15=0,G15=0),H15=""),"",H15/G15*100)</f>
        <v>336.11119295905308</v>
      </c>
      <c r="K15" s="77">
        <f t="shared" si="2"/>
        <v>41.582729774870984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[30]historico_ciiu!C85/1000000</f>
        <v>3.7737379999999998</v>
      </c>
      <c r="D16" s="77">
        <f>[30]historico_ciiu!D85/1000000</f>
        <v>7.3416410000000001</v>
      </c>
      <c r="E16" s="77">
        <f>[30]historico_ciiu!E85/1000000</f>
        <v>0.18015800000000001</v>
      </c>
      <c r="F16" s="77">
        <f>[30]historico_ciiu!F85/1000000</f>
        <v>19.919221</v>
      </c>
      <c r="G16" s="77">
        <f>[30]historico_ciiu!G85/1000000</f>
        <v>5.1283760000000003</v>
      </c>
      <c r="H16" s="79">
        <f>[30]historico_ciiu!H85/1000000</f>
        <v>4.9129880000000004</v>
      </c>
      <c r="I16" s="77">
        <f t="shared" si="0"/>
        <v>-4.1999260584637321</v>
      </c>
      <c r="J16" s="77">
        <f t="shared" si="1"/>
        <v>95.800073941536269</v>
      </c>
      <c r="K16" s="77">
        <f t="shared" si="2"/>
        <v>-74.2541337334427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[30]historico_ciiu!C86/1000000</f>
        <v>3.8784969999999999</v>
      </c>
      <c r="D17" s="77">
        <f>[30]historico_ciiu!D86/1000000</f>
        <v>7.9694349999999998</v>
      </c>
      <c r="E17" s="77">
        <f>[30]historico_ciiu!E86/1000000</f>
        <v>21.649982000000001</v>
      </c>
      <c r="F17" s="77">
        <f>[30]historico_ciiu!F86/1000000</f>
        <v>7.7202299999999999</v>
      </c>
      <c r="G17" s="77">
        <f>[30]historico_ciiu!G86/1000000</f>
        <v>12.899760000000001</v>
      </c>
      <c r="H17" s="79">
        <f>[30]historico_ciiu!H86/1000000</f>
        <v>72.607371999999998</v>
      </c>
      <c r="I17" s="77">
        <f t="shared" si="0"/>
        <v>462.85831674387737</v>
      </c>
      <c r="J17" s="77">
        <f t="shared" si="1"/>
        <v>562.85831674387737</v>
      </c>
      <c r="K17" s="77">
        <f t="shared" si="2"/>
        <v>67.09035870692972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[30]historico_ciiu!C87/1000000</f>
        <v>4.0234259999999997</v>
      </c>
      <c r="D18" s="77">
        <f>[30]historico_ciiu!D87/1000000</f>
        <v>6.5652540000000004</v>
      </c>
      <c r="E18" s="77">
        <f>[30]historico_ciiu!E87/1000000</f>
        <v>9.1297969999999999</v>
      </c>
      <c r="F18" s="77">
        <f>[30]historico_ciiu!F87/1000000</f>
        <v>12.041281</v>
      </c>
      <c r="G18" s="77">
        <f>[30]historico_ciiu!G87/1000000</f>
        <v>3.8801450000000002</v>
      </c>
      <c r="H18" s="79">
        <f>[30]historico_ciiu!H87/1000000</f>
        <v>7.3506689999999999</v>
      </c>
      <c r="I18" s="77">
        <f t="shared" si="0"/>
        <v>89.443152253330723</v>
      </c>
      <c r="J18" s="77">
        <f t="shared" si="1"/>
        <v>189.44315225333074</v>
      </c>
      <c r="K18" s="77">
        <f t="shared" si="2"/>
        <v>-67.77631051048472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[30]historico_ciiu!C88/1000000</f>
        <v>3.8056939999999999</v>
      </c>
      <c r="D19" s="77">
        <f>[30]historico_ciiu!D88/1000000</f>
        <v>7.1089510000000002</v>
      </c>
      <c r="E19" s="77">
        <f>[30]historico_ciiu!E88/1000000</f>
        <v>5.249879</v>
      </c>
      <c r="F19" s="77">
        <f>[30]historico_ciiu!F88/1000000</f>
        <v>19.332421</v>
      </c>
      <c r="G19" s="77">
        <f>[30]historico_ciiu!G88/1000000</f>
        <v>12.645607</v>
      </c>
      <c r="H19" s="79">
        <f>[30]historico_ciiu!H88/1000000</f>
        <v>2.8752170000000001</v>
      </c>
      <c r="I19" s="77">
        <f>IF(OR(OR(H19=0,G19=0),H19=""),"",(H19/G19-1)*100)</f>
        <v>-77.263115957976552</v>
      </c>
      <c r="J19" s="77">
        <f t="shared" si="1"/>
        <v>22.736884042023448</v>
      </c>
      <c r="K19" s="77">
        <f t="shared" si="2"/>
        <v>-34.588601189680276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[30]historico_ciiu!C89/1000000</f>
        <v>3.8102269999999998</v>
      </c>
      <c r="D20" s="77">
        <f>[30]historico_ciiu!D89/1000000</f>
        <v>7.0931749999999996</v>
      </c>
      <c r="E20" s="77">
        <f>[30]historico_ciiu!E89/1000000</f>
        <v>10.088126000000001</v>
      </c>
      <c r="F20" s="77">
        <f>[30]historico_ciiu!F89/1000000</f>
        <v>7.5629999999999997</v>
      </c>
      <c r="G20" s="77">
        <f>[30]historico_ciiu!G89/1000000</f>
        <v>8.2521520000000006</v>
      </c>
      <c r="H20" s="79">
        <f>[30]historico_ciiu!H89/1000000</f>
        <v>15.694654</v>
      </c>
      <c r="I20" s="77">
        <f t="shared" si="0"/>
        <v>90.188619889696639</v>
      </c>
      <c r="J20" s="77">
        <f t="shared" si="1"/>
        <v>190.18861988969664</v>
      </c>
      <c r="K20" s="77">
        <f t="shared" si="2"/>
        <v>9.1121512627264423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[30]historico_ciiu!C90/1000000</f>
        <v>2.595011</v>
      </c>
      <c r="D21" s="77">
        <f>[30]historico_ciiu!D90/1000000</f>
        <v>8.2442510000000002</v>
      </c>
      <c r="E21" s="77">
        <f>[30]historico_ciiu!E90/1000000</f>
        <v>26.583290000000002</v>
      </c>
      <c r="F21" s="77">
        <f>[30]historico_ciiu!F90/1000000</f>
        <v>19.243310999999999</v>
      </c>
      <c r="G21" s="77">
        <f>[30]historico_ciiu!G90/1000000</f>
        <v>2.938275</v>
      </c>
      <c r="H21" s="79">
        <f>[30]historico_ciiu!H90/1000000</f>
        <v>30.408331</v>
      </c>
      <c r="I21" s="77">
        <f t="shared" ref="I21" si="4">IF(OR(OR(H21=0,G21=0),H21=""),"",(H21/G21-1)*100)</f>
        <v>934.90418698045619</v>
      </c>
      <c r="J21" s="77">
        <f t="shared" ref="J21" si="5">IF(OR(OR(H21=0,G21=0),H21=""),"",H21/G21*100)</f>
        <v>1034.9041869804562</v>
      </c>
      <c r="K21" s="77">
        <f t="shared" ref="K21" si="6">IF(OR(OR(H21=0,G21=0),H21=""),"",(G21/F21-1)*100)</f>
        <v>-84.730928061184471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[30]historico_ciiu!C91/1000000</f>
        <v>3.01667</v>
      </c>
      <c r="D22" s="77">
        <f>[30]historico_ciiu!D91/1000000</f>
        <v>8.2469479999999997</v>
      </c>
      <c r="E22" s="77">
        <f>[30]historico_ciiu!E91/1000000</f>
        <v>11.460763999999999</v>
      </c>
      <c r="F22" s="77">
        <f>[30]historico_ciiu!F91/1000000</f>
        <v>36.60633</v>
      </c>
      <c r="G22" s="77">
        <f>[30]historico_ciiu!G91/1000000</f>
        <v>3.70966</v>
      </c>
      <c r="H22" s="79">
        <f>[30]historico_ciiu!H91/1000000</f>
        <v>26.871929999999999</v>
      </c>
      <c r="I22" s="77">
        <f t="shared" ref="I22" si="7">IF(OR(OR(H22=0,G22=0),H22=""),"",(H22/G22-1)*100)</f>
        <v>624.37716664060861</v>
      </c>
      <c r="J22" s="77">
        <f t="shared" ref="J22" si="8">IF(OR(OR(H22=0,G22=0),H22=""),"",H22/G22*100)</f>
        <v>724.37716664060861</v>
      </c>
      <c r="K22" s="77">
        <f t="shared" ref="K22" si="9">IF(OR(OR(H22=0,G22=0),H22=""),"",(G22/F22-1)*100)</f>
        <v>-89.866069611457917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[30]historico_ciiu!C92/1000000</f>
        <v>4.2146910000000002</v>
      </c>
      <c r="D23" s="77">
        <f>[30]historico_ciiu!D92/1000000</f>
        <v>8.0116519999999998</v>
      </c>
      <c r="E23" s="77">
        <f>[30]historico_ciiu!E92/1000000</f>
        <v>8.846031</v>
      </c>
      <c r="F23" s="77">
        <f>[30]historico_ciiu!F92/1000000</f>
        <v>4.1522379999999997</v>
      </c>
      <c r="G23" s="77">
        <f>[30]historico_ciiu!G92/1000000</f>
        <v>3.1700119999999998</v>
      </c>
      <c r="H23" s="79">
        <f>[30]historico_ciiu!H92/1000000</f>
        <v>3.7127620000000001</v>
      </c>
      <c r="I23" s="77">
        <f t="shared" ref="I23:I24" si="10">IF(OR(OR(H23=0,G23=0),H23=""),"",(H23/G23-1)*100)</f>
        <v>17.121386291282192</v>
      </c>
      <c r="J23" s="77">
        <f t="shared" ref="J23:J24" si="11">IF(OR(OR(H23=0,G23=0),H23=""),"",H23/G23*100)</f>
        <v>117.12138629128219</v>
      </c>
      <c r="K23" s="77">
        <f t="shared" ref="K23:K24" si="12">IF(OR(OR(H23=0,G23=0),H23=""),"",(G23/F23-1)*100)</f>
        <v>-23.655339602402371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[30]historico_ciiu!C93/1000000</f>
        <v>3.8834059999999999</v>
      </c>
      <c r="D24" s="77">
        <f>[30]historico_ciiu!D93/1000000</f>
        <v>0.33573799999999998</v>
      </c>
      <c r="E24" s="77">
        <f>[30]historico_ciiu!E93/1000000</f>
        <v>9.1853590000000001</v>
      </c>
      <c r="F24" s="77">
        <f>[30]historico_ciiu!F93/1000000</f>
        <v>2.9817900000000002</v>
      </c>
      <c r="G24" s="77">
        <f>[30]historico_ciiu!G93/1000000</f>
        <v>14.411545</v>
      </c>
      <c r="H24" s="31">
        <f>[30]historico_ciiu!H93/1000000</f>
        <v>0.80169699999999999</v>
      </c>
      <c r="I24" s="25">
        <f t="shared" si="10"/>
        <v>-94.437119684253148</v>
      </c>
      <c r="J24" s="25">
        <f t="shared" si="11"/>
        <v>5.5628803157468543</v>
      </c>
      <c r="K24" s="25">
        <f t="shared" si="12"/>
        <v>383.31857709630793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42.10924</v>
      </c>
      <c r="D25" s="79">
        <f t="shared" si="13"/>
        <v>73.492542</v>
      </c>
      <c r="E25" s="79">
        <f t="shared" si="13"/>
        <v>103.75577100000001</v>
      </c>
      <c r="F25" s="79">
        <f t="shared" si="13"/>
        <v>153.99701900000002</v>
      </c>
      <c r="G25" s="79">
        <f>SUM(G13:G24)</f>
        <v>88.804713000000007</v>
      </c>
      <c r="H25" s="107">
        <f>SUM(H13:H24)</f>
        <v>223.262317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74.52830305177676</v>
      </c>
      <c r="E26" s="79">
        <f>(E25/D25-1)*100</f>
        <v>41.178639595838185</v>
      </c>
      <c r="F26" s="79">
        <f>(F25/E25-1)*100</f>
        <v>48.422605813415444</v>
      </c>
      <c r="G26" s="79">
        <f>(G25/F25-1)*100</f>
        <v>-42.333485689096364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42.10924</v>
      </c>
      <c r="D28" s="76">
        <f t="shared" ref="D28:E28" si="14">SUMPRODUCT(D13:D24,$N$13:$N$24)</f>
        <v>73.492542</v>
      </c>
      <c r="E28" s="76">
        <f t="shared" si="14"/>
        <v>103.75577100000001</v>
      </c>
      <c r="F28" s="76">
        <f>SUMPRODUCT(F13:F24,$N$13:$N$24)</f>
        <v>153.99701900000002</v>
      </c>
      <c r="G28" s="76">
        <f>SUMPRODUCT(G13:G24,$N$13:$N$24)</f>
        <v>88.804713000000007</v>
      </c>
      <c r="H28" s="72">
        <f>SUMPRODUCT(H13:H24,$N$13:$N$24)</f>
        <v>223.262317</v>
      </c>
      <c r="I28" s="73">
        <f>IF(OR(OR(H28=0,G28=0),H28=""),"",(H28/G28-1)*100)</f>
        <v>151.40818483361346</v>
      </c>
      <c r="J28" s="31">
        <f>IF(OR(OR(H28=0,G28=0),H28=""),"",H28/G28*100)</f>
        <v>251.40818483361346</v>
      </c>
      <c r="K28" s="31">
        <f>IF(OR(OR(H28=0,G28=0),G28=""),"",(G28/F28-1)*100)</f>
        <v>-42.333485689096364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74.52830305177676</v>
      </c>
      <c r="E29" s="79">
        <f t="shared" ref="E29:H29" si="15">(E28/D28-1)*100</f>
        <v>41.178639595838185</v>
      </c>
      <c r="F29" s="79">
        <f t="shared" si="15"/>
        <v>48.422605813415444</v>
      </c>
      <c r="G29" s="79">
        <f t="shared" si="15"/>
        <v>-42.333485689096364</v>
      </c>
      <c r="H29" s="31">
        <f t="shared" si="15"/>
        <v>151.40818483361346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7" width="11.42578125" style="43"/>
    <col min="18" max="18" width="3.28515625" style="43" customWidth="1"/>
    <col min="19" max="16384" width="11.42578125" style="43"/>
  </cols>
  <sheetData>
    <row r="1" spans="1:15">
      <c r="A1" s="60"/>
      <c r="B1" s="61"/>
      <c r="C1" s="61"/>
      <c r="D1" s="61"/>
      <c r="E1" s="61"/>
      <c r="F1" s="61"/>
      <c r="G1" s="61"/>
      <c r="H1" s="61"/>
      <c r="I1" s="61"/>
      <c r="J1" s="61"/>
      <c r="K1" s="61"/>
      <c r="L1" s="62"/>
    </row>
    <row r="2" spans="1:15">
      <c r="A2" s="63"/>
      <c r="B2" s="45"/>
      <c r="C2" s="45"/>
      <c r="D2" s="45"/>
      <c r="E2" s="45"/>
      <c r="F2" s="45"/>
      <c r="G2" s="45"/>
      <c r="H2" s="45"/>
      <c r="I2" s="45"/>
      <c r="J2" s="45"/>
      <c r="K2" s="45"/>
      <c r="L2" s="64"/>
    </row>
    <row r="3" spans="1:15">
      <c r="A3" s="63"/>
      <c r="B3" s="45"/>
      <c r="C3" s="45"/>
      <c r="D3" s="45"/>
      <c r="E3" s="45"/>
      <c r="F3" s="45"/>
      <c r="G3" s="45"/>
      <c r="H3" s="45"/>
      <c r="I3" s="45"/>
      <c r="J3" s="45"/>
      <c r="K3" s="45"/>
      <c r="L3" s="64"/>
    </row>
    <row r="4" spans="1:15">
      <c r="A4" s="63"/>
      <c r="B4" s="45"/>
      <c r="C4" s="45"/>
      <c r="D4" s="45"/>
      <c r="E4" s="45"/>
      <c r="F4" s="45"/>
      <c r="G4" s="45"/>
      <c r="H4" s="45"/>
      <c r="I4" s="45"/>
      <c r="J4" s="45"/>
      <c r="K4" s="45"/>
      <c r="L4" s="65"/>
    </row>
    <row r="5" spans="1:15">
      <c r="A5" s="63"/>
      <c r="B5" s="45"/>
      <c r="C5" s="45"/>
      <c r="D5" s="45"/>
      <c r="E5" s="45"/>
      <c r="F5" s="45"/>
      <c r="G5" s="45"/>
      <c r="H5" s="45"/>
      <c r="I5" s="45"/>
      <c r="J5" s="45"/>
      <c r="K5" s="45"/>
      <c r="L5" s="65"/>
    </row>
    <row r="6" spans="1:15">
      <c r="A6" s="63"/>
      <c r="B6" s="45"/>
      <c r="C6" s="45"/>
      <c r="D6" s="45"/>
      <c r="E6" s="45"/>
      <c r="F6" s="45"/>
      <c r="G6" s="45"/>
      <c r="H6" s="45"/>
      <c r="I6" s="45"/>
      <c r="J6" s="45"/>
      <c r="K6" s="45"/>
      <c r="L6" s="65"/>
    </row>
    <row r="7" spans="1:15">
      <c r="A7" s="63"/>
      <c r="B7" s="45"/>
      <c r="C7" s="125" t="s">
        <v>159</v>
      </c>
      <c r="D7" s="125"/>
      <c r="E7" s="125"/>
      <c r="F7" s="125"/>
      <c r="G7" s="125"/>
      <c r="H7" s="125"/>
      <c r="I7" s="125"/>
      <c r="J7" s="125"/>
      <c r="K7" s="125"/>
      <c r="L7" s="65"/>
    </row>
    <row r="8" spans="1:15">
      <c r="A8" s="63"/>
      <c r="B8" s="45"/>
      <c r="C8" s="125" t="s">
        <v>99</v>
      </c>
      <c r="D8" s="125"/>
      <c r="E8" s="125"/>
      <c r="F8" s="125"/>
      <c r="G8" s="125"/>
      <c r="H8" s="125"/>
      <c r="I8" s="125"/>
      <c r="J8" s="125"/>
      <c r="K8" s="125"/>
      <c r="L8" s="65"/>
    </row>
    <row r="9" spans="1:15">
      <c r="A9" s="63"/>
      <c r="B9" s="45"/>
      <c r="C9" s="46"/>
      <c r="D9" s="46"/>
      <c r="E9" s="46"/>
      <c r="F9" s="46"/>
      <c r="G9" s="46"/>
      <c r="H9" s="46"/>
      <c r="I9" s="45"/>
      <c r="J9" s="45"/>
      <c r="K9" s="45"/>
      <c r="L9" s="65"/>
    </row>
    <row r="10" spans="1:15" ht="15.75" customHeight="1">
      <c r="A10" s="63"/>
      <c r="B10" s="47"/>
      <c r="C10" s="126" t="s">
        <v>2</v>
      </c>
      <c r="D10" s="126"/>
      <c r="E10" s="126"/>
      <c r="F10" s="126"/>
      <c r="G10" s="126"/>
      <c r="H10" s="126"/>
      <c r="I10" s="123" t="s">
        <v>1</v>
      </c>
      <c r="J10" s="123" t="s">
        <v>10</v>
      </c>
      <c r="K10" s="123" t="s">
        <v>3</v>
      </c>
      <c r="L10" s="65"/>
    </row>
    <row r="11" spans="1:15">
      <c r="A11" s="63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3"/>
      <c r="J11" s="123"/>
      <c r="K11" s="123"/>
      <c r="L11" s="65"/>
      <c r="O11" s="48"/>
    </row>
    <row r="12" spans="1:15" ht="12" customHeight="1">
      <c r="A12" s="63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5"/>
    </row>
    <row r="13" spans="1:15">
      <c r="A13" s="63"/>
      <c r="B13" s="74" t="s">
        <v>11</v>
      </c>
      <c r="C13" s="77">
        <f>[30]historico_ciiu!C107/1000000</f>
        <v>4.5160989999999996</v>
      </c>
      <c r="D13" s="77">
        <f>[30]historico_ciiu!D107/1000000</f>
        <v>6.8288089999999997</v>
      </c>
      <c r="E13" s="77">
        <f>[30]historico_ciiu!E107/1000000</f>
        <v>9.4483479999999993</v>
      </c>
      <c r="F13" s="77">
        <f>[30]historico_ciiu!F107/1000000</f>
        <v>34.746639000000002</v>
      </c>
      <c r="G13" s="77">
        <f>[30]historico_ciiu!G107/1000000</f>
        <v>17.464483000000001</v>
      </c>
      <c r="H13" s="79">
        <f>[30]historico_ciiu!H107/1000000</f>
        <v>7.9100659999999996</v>
      </c>
      <c r="I13" s="77">
        <f t="shared" ref="I13:I20" si="0">IF(OR(OR(H13=0,G13=0),H13=""),"",(H13/G13-1)*100)</f>
        <v>-54.707700193587186</v>
      </c>
      <c r="J13" s="77">
        <f t="shared" ref="J13:J20" si="1">IF(OR(OR(H13=0,G13=0),H13=""),"",H13/G13*100)</f>
        <v>45.292299806412814</v>
      </c>
      <c r="K13" s="77">
        <f t="shared" ref="K13:K20" si="2">IF(OR(OR(H13=0,G13=0),H13=""),"",(G13/F13-1)*100)</f>
        <v>-49.737633616880181</v>
      </c>
      <c r="L13" s="65"/>
      <c r="N13" s="43">
        <f t="shared" ref="N13:N24" si="3">IF(H13="","",1)</f>
        <v>1</v>
      </c>
    </row>
    <row r="14" spans="1:15">
      <c r="A14" s="63"/>
      <c r="B14" s="74" t="s">
        <v>12</v>
      </c>
      <c r="C14" s="77">
        <f>[30]historico_ciiu!C108/1000000</f>
        <v>6.0590149999999996</v>
      </c>
      <c r="D14" s="77">
        <f>[30]historico_ciiu!D108/1000000</f>
        <v>9.4867600000000003</v>
      </c>
      <c r="E14" s="77">
        <f>[30]historico_ciiu!E108/1000000</f>
        <v>14.496942000000001</v>
      </c>
      <c r="F14" s="77">
        <f>[30]historico_ciiu!F108/1000000</f>
        <v>25.488788</v>
      </c>
      <c r="G14" s="77">
        <f>[30]historico_ciiu!G108/1000000</f>
        <v>24.209057000000001</v>
      </c>
      <c r="H14" s="79">
        <f>[30]historico_ciiu!H108/1000000</f>
        <v>13.327294</v>
      </c>
      <c r="I14" s="77">
        <f t="shared" si="0"/>
        <v>-44.949140315543886</v>
      </c>
      <c r="J14" s="77">
        <f t="shared" si="1"/>
        <v>55.050859684456114</v>
      </c>
      <c r="K14" s="77">
        <f t="shared" si="2"/>
        <v>-5.0207605006562073</v>
      </c>
      <c r="L14" s="65"/>
      <c r="N14" s="43">
        <f t="shared" si="3"/>
        <v>1</v>
      </c>
    </row>
    <row r="15" spans="1:15">
      <c r="A15" s="63"/>
      <c r="B15" s="74" t="s">
        <v>13</v>
      </c>
      <c r="C15" s="77">
        <f>[30]historico_ciiu!C109/1000000</f>
        <v>7.8542240000000003</v>
      </c>
      <c r="D15" s="77">
        <f>[30]historico_ciiu!D109/1000000</f>
        <v>9.9294709999999995</v>
      </c>
      <c r="E15" s="77">
        <f>[30]historico_ciiu!E109/1000000</f>
        <v>14.77289</v>
      </c>
      <c r="F15" s="77">
        <f>[30]historico_ciiu!F109/1000000</f>
        <v>24.026855999999999</v>
      </c>
      <c r="G15" s="77">
        <f>[30]historico_ciiu!G109/1000000</f>
        <v>26.166912</v>
      </c>
      <c r="H15" s="79">
        <f>[30]historico_ciiu!H109/1000000</f>
        <v>16.611671000000001</v>
      </c>
      <c r="I15" s="77">
        <f t="shared" si="0"/>
        <v>-36.516502214705348</v>
      </c>
      <c r="J15" s="77">
        <f>IF(OR(OR(H15=0,G15=0),H15=""),"",H15/G15*100)</f>
        <v>63.483497785294652</v>
      </c>
      <c r="K15" s="77">
        <f t="shared" si="2"/>
        <v>8.9069331418143207</v>
      </c>
      <c r="L15" s="65"/>
      <c r="N15" s="43">
        <f t="shared" si="3"/>
        <v>1</v>
      </c>
    </row>
    <row r="16" spans="1:15">
      <c r="A16" s="63"/>
      <c r="B16" s="74" t="s">
        <v>14</v>
      </c>
      <c r="C16" s="77">
        <f>[30]historico_ciiu!C110/1000000</f>
        <v>8.2894699999999997</v>
      </c>
      <c r="D16" s="77">
        <f>[30]historico_ciiu!D110/1000000</f>
        <v>8.2632860000000008</v>
      </c>
      <c r="E16" s="77">
        <f>[30]historico_ciiu!E110/1000000</f>
        <v>15.384784</v>
      </c>
      <c r="F16" s="77">
        <f>[30]historico_ciiu!F110/1000000</f>
        <v>50.986640999999999</v>
      </c>
      <c r="G16" s="77">
        <f>[30]historico_ciiu!G110/1000000</f>
        <v>19.132868999999999</v>
      </c>
      <c r="H16" s="79">
        <f>[30]historico_ciiu!H110/1000000</f>
        <v>14.443977</v>
      </c>
      <c r="I16" s="77">
        <f t="shared" si="0"/>
        <v>-24.506998924207334</v>
      </c>
      <c r="J16" s="77">
        <f t="shared" si="1"/>
        <v>75.493001075792662</v>
      </c>
      <c r="K16" s="77">
        <f t="shared" si="2"/>
        <v>-62.474741177792041</v>
      </c>
      <c r="L16" s="65"/>
      <c r="N16" s="43">
        <f t="shared" si="3"/>
        <v>1</v>
      </c>
    </row>
    <row r="17" spans="1:15">
      <c r="A17" s="63"/>
      <c r="B17" s="74" t="s">
        <v>15</v>
      </c>
      <c r="C17" s="77">
        <f>[30]historico_ciiu!C111/1000000</f>
        <v>8.2502510000000004</v>
      </c>
      <c r="D17" s="77">
        <f>[30]historico_ciiu!D111/1000000</f>
        <v>11.616099</v>
      </c>
      <c r="E17" s="77">
        <f>[30]historico_ciiu!E111/1000000</f>
        <v>18.449217999999998</v>
      </c>
      <c r="F17" s="77">
        <f>[30]historico_ciiu!F111/1000000</f>
        <v>36.104660000000003</v>
      </c>
      <c r="G17" s="77">
        <f>[30]historico_ciiu!G111/1000000</f>
        <v>52.389125</v>
      </c>
      <c r="H17" s="79">
        <f>[30]historico_ciiu!H111/1000000</f>
        <v>14.452806000000001</v>
      </c>
      <c r="I17" s="77">
        <f t="shared" si="0"/>
        <v>-72.412583718472106</v>
      </c>
      <c r="J17" s="77">
        <f t="shared" si="1"/>
        <v>27.587416281527894</v>
      </c>
      <c r="K17" s="77">
        <f t="shared" si="2"/>
        <v>45.103499105101655</v>
      </c>
      <c r="L17" s="65"/>
      <c r="N17" s="43">
        <f t="shared" si="3"/>
        <v>1</v>
      </c>
    </row>
    <row r="18" spans="1:15">
      <c r="A18" s="63"/>
      <c r="B18" s="74" t="s">
        <v>16</v>
      </c>
      <c r="C18" s="77">
        <f>[30]historico_ciiu!C112/1000000</f>
        <v>7.6614639999999996</v>
      </c>
      <c r="D18" s="77">
        <f>[30]historico_ciiu!D112/1000000</f>
        <v>10.39733</v>
      </c>
      <c r="E18" s="77">
        <f>[30]historico_ciiu!E112/1000000</f>
        <v>18.626179</v>
      </c>
      <c r="F18" s="77">
        <f>[30]historico_ciiu!F112/1000000</f>
        <v>21.294730000000001</v>
      </c>
      <c r="G18" s="77">
        <f>[30]historico_ciiu!G112/1000000</f>
        <v>43.736389000000003</v>
      </c>
      <c r="H18" s="79">
        <f>[30]historico_ciiu!H112/1000000</f>
        <v>15.640114000000001</v>
      </c>
      <c r="I18" s="77">
        <f t="shared" si="0"/>
        <v>-64.240042770792073</v>
      </c>
      <c r="J18" s="77">
        <f t="shared" si="1"/>
        <v>35.75995722920792</v>
      </c>
      <c r="K18" s="77">
        <f t="shared" si="2"/>
        <v>105.38597577898381</v>
      </c>
      <c r="L18" s="65"/>
      <c r="N18" s="43">
        <f t="shared" si="3"/>
        <v>1</v>
      </c>
    </row>
    <row r="19" spans="1:15">
      <c r="A19" s="63"/>
      <c r="B19" s="74" t="s">
        <v>17</v>
      </c>
      <c r="C19" s="77">
        <f>[30]historico_ciiu!C113/1000000</f>
        <v>10.023552</v>
      </c>
      <c r="D19" s="77">
        <f>[30]historico_ciiu!D113/1000000</f>
        <v>11.273265</v>
      </c>
      <c r="E19" s="77">
        <f>[30]historico_ciiu!E113/1000000</f>
        <v>23.965816</v>
      </c>
      <c r="F19" s="77">
        <f>[30]historico_ciiu!F113/1000000</f>
        <v>28.672234</v>
      </c>
      <c r="G19" s="77">
        <f>[30]historico_ciiu!G113/1000000</f>
        <v>17.542522999999999</v>
      </c>
      <c r="H19" s="79">
        <f>[30]historico_ciiu!H113/1000000</f>
        <v>14.547666</v>
      </c>
      <c r="I19" s="77">
        <f>IF(OR(OR(H19=0,G19=0),H19=""),"",(H19/G19-1)*100)</f>
        <v>-17.071985597510686</v>
      </c>
      <c r="J19" s="77">
        <f t="shared" si="1"/>
        <v>82.92801440248931</v>
      </c>
      <c r="K19" s="77">
        <f t="shared" si="2"/>
        <v>-38.81703462660078</v>
      </c>
      <c r="L19" s="65"/>
      <c r="N19" s="43">
        <f t="shared" si="3"/>
        <v>1</v>
      </c>
    </row>
    <row r="20" spans="1:15">
      <c r="A20" s="63"/>
      <c r="B20" s="74" t="s">
        <v>18</v>
      </c>
      <c r="C20" s="77">
        <f>[30]historico_ciiu!C114/1000000</f>
        <v>8.6811129999999999</v>
      </c>
      <c r="D20" s="77">
        <f>[30]historico_ciiu!D114/1000000</f>
        <v>10.244726</v>
      </c>
      <c r="E20" s="77">
        <f>[30]historico_ciiu!E114/1000000</f>
        <v>22.166713999999999</v>
      </c>
      <c r="F20" s="77">
        <f>[30]historico_ciiu!F114/1000000</f>
        <v>25.745571000000002</v>
      </c>
      <c r="G20" s="77">
        <f>[30]historico_ciiu!G114/1000000</f>
        <v>14.145574999999999</v>
      </c>
      <c r="H20" s="79">
        <f>[30]historico_ciiu!H114/1000000</f>
        <v>13.106870000000001</v>
      </c>
      <c r="I20" s="77">
        <f t="shared" si="0"/>
        <v>-7.342967677171119</v>
      </c>
      <c r="J20" s="77">
        <f t="shared" si="1"/>
        <v>92.657032322828883</v>
      </c>
      <c r="K20" s="77">
        <f t="shared" si="2"/>
        <v>-45.056277835127453</v>
      </c>
      <c r="L20" s="65"/>
      <c r="N20" s="43">
        <f t="shared" si="3"/>
        <v>1</v>
      </c>
    </row>
    <row r="21" spans="1:15">
      <c r="A21" s="63"/>
      <c r="B21" s="74" t="s">
        <v>19</v>
      </c>
      <c r="C21" s="77">
        <f>[30]historico_ciiu!C115/1000000</f>
        <v>8.7985579999999999</v>
      </c>
      <c r="D21" s="77">
        <f>[30]historico_ciiu!D115/1000000</f>
        <v>14.308128999999999</v>
      </c>
      <c r="E21" s="77">
        <f>[30]historico_ciiu!E115/1000000</f>
        <v>21.394971999999999</v>
      </c>
      <c r="F21" s="77">
        <f>[30]historico_ciiu!F115/1000000</f>
        <v>22.872177000000001</v>
      </c>
      <c r="G21" s="77">
        <f>[30]historico_ciiu!G115/1000000</f>
        <v>16.195378999999999</v>
      </c>
      <c r="H21" s="79">
        <f>[30]historico_ciiu!H115/1000000</f>
        <v>19.416846</v>
      </c>
      <c r="I21" s="77">
        <f t="shared" ref="I21" si="4">IF(OR(OR(H21=0,G21=0),H21=""),"",(H21/G21-1)*100)</f>
        <v>19.891272689573981</v>
      </c>
      <c r="J21" s="77">
        <f t="shared" ref="J21" si="5">IF(OR(OR(H21=0,G21=0),H21=""),"",H21/G21*100)</f>
        <v>119.89127268957398</v>
      </c>
      <c r="K21" s="77">
        <f t="shared" ref="K21" si="6">IF(OR(OR(H21=0,G21=0),H21=""),"",(G21/F21-1)*100)</f>
        <v>-29.191790532226126</v>
      </c>
      <c r="L21" s="65"/>
      <c r="N21" s="43">
        <f t="shared" si="3"/>
        <v>1</v>
      </c>
    </row>
    <row r="22" spans="1:15">
      <c r="A22" s="63"/>
      <c r="B22" s="74" t="s">
        <v>20</v>
      </c>
      <c r="C22" s="77">
        <f>[30]historico_ciiu!C116/1000000</f>
        <v>8.3415680000000005</v>
      </c>
      <c r="D22" s="77">
        <f>[30]historico_ciiu!D116/1000000</f>
        <v>14.124781</v>
      </c>
      <c r="E22" s="77">
        <f>[30]historico_ciiu!E116/1000000</f>
        <v>34.802069000000003</v>
      </c>
      <c r="F22" s="77">
        <f>[30]historico_ciiu!F116/1000000</f>
        <v>52.123728999999997</v>
      </c>
      <c r="G22" s="77">
        <f>[30]historico_ciiu!G116/1000000</f>
        <v>16.995073999999999</v>
      </c>
      <c r="H22" s="79">
        <f>[30]historico_ciiu!H116/1000000</f>
        <v>16.210315999999999</v>
      </c>
      <c r="I22" s="77">
        <f t="shared" ref="I22" si="7">IF(OR(OR(H22=0,G22=0),H22=""),"",(H22/G22-1)*100)</f>
        <v>-4.6175615357720741</v>
      </c>
      <c r="J22" s="77">
        <f t="shared" ref="J22" si="8">IF(OR(OR(H22=0,G22=0),H22=""),"",H22/G22*100)</f>
        <v>95.382438464227931</v>
      </c>
      <c r="K22" s="77">
        <f t="shared" ref="K22" si="9">IF(OR(OR(H22=0,G22=0),H22=""),"",(G22/F22-1)*100)</f>
        <v>-67.394746450316319</v>
      </c>
      <c r="L22" s="65"/>
      <c r="N22" s="43">
        <f t="shared" si="3"/>
        <v>1</v>
      </c>
    </row>
    <row r="23" spans="1:15">
      <c r="A23" s="63"/>
      <c r="B23" s="74" t="s">
        <v>21</v>
      </c>
      <c r="C23" s="77">
        <f>[30]historico_ciiu!C117/1000000</f>
        <v>10.387366999999999</v>
      </c>
      <c r="D23" s="77">
        <f>[30]historico_ciiu!D117/1000000</f>
        <v>14.154355000000001</v>
      </c>
      <c r="E23" s="77">
        <f>[30]historico_ciiu!E117/1000000</f>
        <v>30.820098000000002</v>
      </c>
      <c r="F23" s="77">
        <f>[30]historico_ciiu!F117/1000000</f>
        <v>40.032169000000003</v>
      </c>
      <c r="G23" s="77">
        <f>[30]historico_ciiu!G117/1000000</f>
        <v>14.968559000000001</v>
      </c>
      <c r="H23" s="79">
        <f>[30]historico_ciiu!H117/1000000</f>
        <v>16.439160000000001</v>
      </c>
      <c r="I23" s="77">
        <f t="shared" ref="I23:I24" si="10">IF(OR(OR(H23=0,G23=0),H23=""),"",(H23/G23-1)*100)</f>
        <v>9.8245996825746538</v>
      </c>
      <c r="J23" s="77">
        <f t="shared" ref="J23:J24" si="11">IF(OR(OR(H23=0,G23=0),H23=""),"",H23/G23*100)</f>
        <v>109.82459968257466</v>
      </c>
      <c r="K23" s="77">
        <f t="shared" ref="K23:K24" si="12">IF(OR(OR(H23=0,G23=0),H23=""),"",(G23/F23-1)*100)</f>
        <v>-62.608673539522684</v>
      </c>
      <c r="L23" s="65"/>
      <c r="N23" s="43">
        <f t="shared" si="3"/>
        <v>1</v>
      </c>
    </row>
    <row r="24" spans="1:15">
      <c r="A24" s="63"/>
      <c r="B24" s="74" t="s">
        <v>22</v>
      </c>
      <c r="C24" s="77">
        <f>[30]historico_ciiu!C118/1000000</f>
        <v>8.8534089999999992</v>
      </c>
      <c r="D24" s="77">
        <f>[30]historico_ciiu!D118/1000000</f>
        <v>12.063266</v>
      </c>
      <c r="E24" s="77">
        <f>[30]historico_ciiu!E118/1000000</f>
        <v>30.93938</v>
      </c>
      <c r="F24" s="77">
        <f>[30]historico_ciiu!F118/1000000</f>
        <v>32.900227999999998</v>
      </c>
      <c r="G24" s="77">
        <f>[30]historico_ciiu!G118/1000000</f>
        <v>13.770144</v>
      </c>
      <c r="H24" s="31">
        <f>[30]historico_ciiu!H118/1000000</f>
        <v>16.759986000000001</v>
      </c>
      <c r="I24" s="25">
        <f t="shared" si="10"/>
        <v>21.712496252762502</v>
      </c>
      <c r="J24" s="25">
        <f t="shared" si="11"/>
        <v>121.71249625276251</v>
      </c>
      <c r="K24" s="25">
        <f t="shared" si="12"/>
        <v>-58.145749020341128</v>
      </c>
      <c r="L24" s="65"/>
      <c r="N24" s="43">
        <f t="shared" si="3"/>
        <v>1</v>
      </c>
    </row>
    <row r="25" spans="1:15">
      <c r="A25" s="63"/>
      <c r="B25" s="78" t="s">
        <v>42</v>
      </c>
      <c r="C25" s="79">
        <f t="shared" ref="C25:F25" si="13">SUM(C13:C24)</f>
        <v>97.716089999999994</v>
      </c>
      <c r="D25" s="79">
        <f t="shared" si="13"/>
        <v>132.69027699999998</v>
      </c>
      <c r="E25" s="79">
        <f t="shared" si="13"/>
        <v>255.26740999999998</v>
      </c>
      <c r="F25" s="79">
        <f t="shared" si="13"/>
        <v>394.99442199999999</v>
      </c>
      <c r="G25" s="79">
        <f>SUM(G13:G24)</f>
        <v>276.71608900000001</v>
      </c>
      <c r="H25" s="107">
        <f>SUM(H13:H24)</f>
        <v>178.866772</v>
      </c>
      <c r="I25" s="70"/>
      <c r="J25" s="53"/>
      <c r="K25" s="53"/>
      <c r="L25" s="65"/>
      <c r="N25" s="43"/>
    </row>
    <row r="26" spans="1:15" ht="18.75" customHeight="1">
      <c r="A26" s="63"/>
      <c r="B26" s="78" t="s">
        <v>23</v>
      </c>
      <c r="C26" s="79"/>
      <c r="D26" s="79">
        <f>(D25/C25-1)*100</f>
        <v>35.791635748012432</v>
      </c>
      <c r="E26" s="79">
        <f>(E25/D25-1)*100</f>
        <v>92.378383534461989</v>
      </c>
      <c r="F26" s="79">
        <f>(F25/E25-1)*100</f>
        <v>54.73750526947407</v>
      </c>
      <c r="G26" s="79">
        <f>(G25/F25-1)*100</f>
        <v>-29.944304631218309</v>
      </c>
      <c r="H26" s="52"/>
      <c r="I26" s="53"/>
      <c r="J26" s="53"/>
      <c r="K26" s="53"/>
      <c r="L26" s="65"/>
    </row>
    <row r="27" spans="1:15" ht="12" customHeight="1">
      <c r="A27" s="63"/>
      <c r="B27" s="74"/>
      <c r="C27" s="80"/>
      <c r="D27" s="80"/>
      <c r="E27" s="80"/>
      <c r="F27" s="80"/>
      <c r="G27" s="80"/>
      <c r="H27" s="55"/>
      <c r="I27" s="51"/>
      <c r="J27" s="51"/>
      <c r="K27" s="51"/>
      <c r="L27" s="65"/>
    </row>
    <row r="28" spans="1:15" ht="18.75" customHeight="1">
      <c r="A28" s="63"/>
      <c r="B28" s="78" t="s">
        <v>24</v>
      </c>
      <c r="C28" s="76">
        <f>SUMPRODUCT(C13:C24,$N$13:$N$24)</f>
        <v>97.716089999999994</v>
      </c>
      <c r="D28" s="76">
        <f t="shared" ref="D28:E28" si="14">SUMPRODUCT(D13:D24,$N$13:$N$24)</f>
        <v>132.69027699999998</v>
      </c>
      <c r="E28" s="76">
        <f t="shared" si="14"/>
        <v>255.26740999999998</v>
      </c>
      <c r="F28" s="76">
        <f>SUMPRODUCT(F13:F24,$N$13:$N$24)</f>
        <v>394.99442199999999</v>
      </c>
      <c r="G28" s="76">
        <f>SUMPRODUCT(G13:G24,$N$13:$N$24)</f>
        <v>276.71608900000001</v>
      </c>
      <c r="H28" s="72">
        <f>SUMPRODUCT(H13:H24,$N$13:$N$24)</f>
        <v>178.866772</v>
      </c>
      <c r="I28" s="73">
        <f>IF(OR(OR(H28=0,G28=0),H28=""),"",(H28/G28-1)*100)</f>
        <v>-35.360906318678133</v>
      </c>
      <c r="J28" s="31">
        <f>IF(OR(OR(H28=0,G28=0),H28=""),"",H28/G28*100)</f>
        <v>64.639093681321867</v>
      </c>
      <c r="K28" s="31">
        <f>IF(OR(OR(H28=0,G28=0),G28=""),"",(G28/F28-1)*100)</f>
        <v>-29.944304631218309</v>
      </c>
      <c r="L28" s="65"/>
    </row>
    <row r="29" spans="1:15" ht="18.75" customHeight="1">
      <c r="A29" s="63"/>
      <c r="B29" s="78" t="s">
        <v>23</v>
      </c>
      <c r="C29" s="79"/>
      <c r="D29" s="79">
        <f>(D28/C28-1)*100</f>
        <v>35.791635748012432</v>
      </c>
      <c r="E29" s="79">
        <f t="shared" ref="E29:H29" si="15">(E28/D28-1)*100</f>
        <v>92.378383534461989</v>
      </c>
      <c r="F29" s="79">
        <f t="shared" si="15"/>
        <v>54.73750526947407</v>
      </c>
      <c r="G29" s="79">
        <f t="shared" si="15"/>
        <v>-29.944304631218309</v>
      </c>
      <c r="H29" s="31">
        <f t="shared" si="15"/>
        <v>-35.360906318678133</v>
      </c>
      <c r="I29" s="53"/>
      <c r="J29" s="53"/>
      <c r="K29" s="53"/>
      <c r="L29" s="65"/>
    </row>
    <row r="30" spans="1:15" ht="12" customHeight="1">
      <c r="A30" s="63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5"/>
    </row>
    <row r="31" spans="1:15" ht="14.25" customHeight="1">
      <c r="A31" s="63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5"/>
    </row>
    <row r="32" spans="1:15" s="120" customFormat="1">
      <c r="A32" s="66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5"/>
      <c r="M32" s="43"/>
      <c r="N32" s="44" t="str">
        <f>IF(H32="","",1)</f>
        <v/>
      </c>
      <c r="O32" s="43"/>
    </row>
    <row r="33" spans="1:15" s="120" customFormat="1">
      <c r="A33" s="66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5"/>
      <c r="M33" s="43"/>
      <c r="N33" s="44" t="str">
        <f>IF(H33="","",1)</f>
        <v/>
      </c>
      <c r="O33" s="43"/>
    </row>
    <row r="34" spans="1:15" s="120" customFormat="1">
      <c r="A34" s="66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5"/>
      <c r="M34" s="43"/>
      <c r="N34" s="44" t="str">
        <f>IF(H34="","",1)</f>
        <v/>
      </c>
      <c r="O34" s="43"/>
    </row>
    <row r="35" spans="1:15" s="120" customFormat="1">
      <c r="A35" s="66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5"/>
      <c r="M35" s="43"/>
      <c r="N35" s="44" t="str">
        <f>IF(H35="","",1)</f>
        <v/>
      </c>
      <c r="O35" s="43"/>
    </row>
    <row r="36" spans="1:15" s="120" customFormat="1">
      <c r="A36" s="66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5"/>
      <c r="M36" s="43"/>
      <c r="N36" s="44" t="str">
        <f>IF(H36="","",1)</f>
        <v/>
      </c>
      <c r="O36" s="43"/>
    </row>
    <row r="37" spans="1:15" s="120" customFormat="1">
      <c r="A37" s="66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5"/>
      <c r="M37" s="43"/>
      <c r="N37" s="44"/>
      <c r="O37" s="43"/>
    </row>
    <row r="38" spans="1:15" s="120" customFormat="1">
      <c r="A38" s="66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5"/>
      <c r="M38" s="43"/>
      <c r="N38" s="44" t="str">
        <f>IF(H38="","",1)</f>
        <v/>
      </c>
      <c r="O38" s="43"/>
    </row>
    <row r="39" spans="1:15" s="120" customFormat="1">
      <c r="A39" s="66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5"/>
      <c r="M39" s="43"/>
      <c r="N39" s="44" t="str">
        <f>IF(H39="","",1)</f>
        <v/>
      </c>
      <c r="O39" s="43"/>
    </row>
    <row r="40" spans="1:15" s="120" customFormat="1">
      <c r="A40" s="66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5"/>
      <c r="M40" s="43"/>
      <c r="N40" s="44" t="str">
        <f>IF(H40="","",1)</f>
        <v/>
      </c>
      <c r="O40" s="43"/>
    </row>
    <row r="41" spans="1:15" s="120" customFormat="1">
      <c r="A41" s="66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5"/>
      <c r="M41" s="43"/>
      <c r="N41" s="44" t="str">
        <f>IF(H41="","",1)</f>
        <v/>
      </c>
      <c r="O41" s="43"/>
    </row>
    <row r="42" spans="1:15" s="120" customFormat="1">
      <c r="A42" s="66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5"/>
      <c r="M42" s="43"/>
      <c r="N42" s="44"/>
      <c r="O42" s="43"/>
    </row>
    <row r="43" spans="1:15" s="120" customFormat="1">
      <c r="A43" s="66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5"/>
      <c r="M43" s="43"/>
      <c r="N43" s="44"/>
      <c r="O43" s="43"/>
    </row>
    <row r="44" spans="1:15" s="120" customFormat="1">
      <c r="A44" s="66"/>
      <c r="B44" s="49"/>
      <c r="C44" s="57"/>
      <c r="D44" s="57"/>
      <c r="E44" s="57"/>
      <c r="F44" s="57"/>
      <c r="G44" s="57"/>
      <c r="H44" s="57"/>
      <c r="I44" s="59"/>
      <c r="J44" s="59"/>
      <c r="K44" s="59"/>
      <c r="L44" s="65"/>
      <c r="M44" s="43"/>
      <c r="N44" s="44"/>
      <c r="O44" s="43"/>
    </row>
    <row r="45" spans="1:15">
      <c r="A45" s="67"/>
      <c r="B45" s="82" t="s">
        <v>26</v>
      </c>
      <c r="C45" s="68"/>
      <c r="D45" s="68"/>
      <c r="E45" s="68"/>
      <c r="F45" s="68"/>
      <c r="G45" s="68"/>
      <c r="H45" s="68"/>
      <c r="I45" s="68"/>
      <c r="J45" s="68"/>
      <c r="K45" s="68"/>
      <c r="L45" s="69"/>
    </row>
    <row r="46" spans="1:15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20"/>
      <c r="O46" s="120"/>
    </row>
    <row r="47" spans="1:15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20"/>
      <c r="O47" s="120"/>
    </row>
    <row r="48" spans="1:15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20"/>
      <c r="O48" s="120"/>
    </row>
    <row r="49" spans="2:15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20"/>
      <c r="O49" s="120"/>
    </row>
    <row r="50" spans="2:15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20"/>
      <c r="O50" s="120"/>
    </row>
    <row r="51" spans="2:15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20"/>
      <c r="O51" s="120"/>
    </row>
    <row r="52" spans="2:15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120"/>
      <c r="N52" s="20"/>
      <c r="O52" s="120"/>
    </row>
    <row r="53" spans="2:15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20"/>
      <c r="O53" s="120"/>
    </row>
    <row r="54" spans="2:15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20"/>
      <c r="O54" s="120"/>
    </row>
    <row r="55" spans="2:15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120"/>
      <c r="N55" s="20"/>
      <c r="O55" s="120"/>
    </row>
    <row r="56" spans="2:15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120"/>
      <c r="N56" s="20"/>
      <c r="O56" s="120"/>
    </row>
    <row r="57" spans="2:15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N57" s="20"/>
      <c r="O57" s="120"/>
    </row>
    <row r="58" spans="2:15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120"/>
      <c r="N58" s="20"/>
      <c r="O5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59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42">
        <v>2009</v>
      </c>
      <c r="D11" s="42">
        <v>2010</v>
      </c>
      <c r="E11" s="123"/>
      <c r="F11" s="123"/>
      <c r="G11" s="42">
        <v>2009</v>
      </c>
      <c r="H11" s="42">
        <v>2010</v>
      </c>
      <c r="I11" s="123"/>
      <c r="J11" s="123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40</v>
      </c>
      <c r="C13" s="99">
        <f>SUM(C14:C47)</f>
        <v>32852.948152089979</v>
      </c>
      <c r="D13" s="99">
        <f>SUM(D14:D47)</f>
        <v>39819.528641670047</v>
      </c>
      <c r="E13" s="98">
        <f>IF(OR(OR(D13=0,C13=0),D13=""),"",(D13/C13-1)*100)</f>
        <v>21.205343451457882</v>
      </c>
      <c r="F13" s="98">
        <f>(D13/D$13)*100</f>
        <v>100</v>
      </c>
      <c r="G13" s="99">
        <f t="shared" ref="G13:H13" si="0">SUM(G14:G47)</f>
        <v>3189.6400714200017</v>
      </c>
      <c r="H13" s="99">
        <f t="shared" si="0"/>
        <v>3845.5312127999991</v>
      </c>
      <c r="I13" s="98">
        <f>IF(OR(OR(H13=0,G13=0),H13=""),"",(H13/G13-1)*100)</f>
        <v>20.563170975212898</v>
      </c>
      <c r="J13" s="98">
        <f>(H13/H$13)*100</f>
        <v>100</v>
      </c>
      <c r="K13" s="16"/>
    </row>
    <row r="14" spans="1:14">
      <c r="A14" s="14"/>
      <c r="B14" s="9" t="str">
        <f>+[31]XX!A2</f>
        <v>Sin definir</v>
      </c>
      <c r="C14" s="21">
        <f>[31]XX!B2/1000000</f>
        <v>9731.8658408999945</v>
      </c>
      <c r="D14" s="21">
        <f>[31]XX!C2/1000000</f>
        <v>10757.290918650007</v>
      </c>
      <c r="E14" s="22">
        <f>IF(OR(OR(D14=0,C14=0),D14=""),"",(D14/C14-1)*100)</f>
        <v>10.536777782534479</v>
      </c>
      <c r="F14" s="22">
        <f>(D14/D$13)*100</f>
        <v>27.015113653035051</v>
      </c>
      <c r="G14" s="22">
        <f>[31]XX!D2/1000000</f>
        <v>1145.6043223299998</v>
      </c>
      <c r="H14" s="22">
        <f>[31]XX!E2/1000000</f>
        <v>1048.25422368</v>
      </c>
      <c r="I14" s="22">
        <f>IF(OR(OR(H14=0,G14=0),H14=""),"",(H14/G14-1)*100)</f>
        <v>-8.4977069964264125</v>
      </c>
      <c r="J14" s="22">
        <f>(H14/H$13)*100</f>
        <v>27.259022633618091</v>
      </c>
      <c r="K14" s="16"/>
    </row>
    <row r="15" spans="1:14">
      <c r="A15" s="14"/>
      <c r="B15" s="9" t="str">
        <f>+[31]XX!A3</f>
        <v>Antioquia</v>
      </c>
      <c r="C15" s="21">
        <f>[31]XX!B3/1000000</f>
        <v>4125.6192933299581</v>
      </c>
      <c r="D15" s="21">
        <f>[31]XX!C3/1000000</f>
        <v>4714.2482492800418</v>
      </c>
      <c r="E15" s="22">
        <f t="shared" ref="E15:E47" si="1">IF(OR(OR(D15=0,C15=0),D15=""),"",(D15/C15-1)*100)</f>
        <v>14.267650844607548</v>
      </c>
      <c r="F15" s="22">
        <f t="shared" ref="F15:F47" si="2">(D15/D$13)*100</f>
        <v>11.839035794981033</v>
      </c>
      <c r="G15" s="22">
        <f>[31]XX!D3/1000000</f>
        <v>417.79826748000073</v>
      </c>
      <c r="H15" s="22">
        <f>[31]XX!E3/1000000</f>
        <v>531.29398798999887</v>
      </c>
      <c r="I15" s="22">
        <f t="shared" ref="I15:I47" si="3">IF(OR(OR(H15=0,G15=0),H15=""),"",(H15/G15-1)*100)</f>
        <v>27.16519654199643</v>
      </c>
      <c r="J15" s="22">
        <f t="shared" ref="J15:J47" si="4">(H15/H$13)*100</f>
        <v>13.815880266985387</v>
      </c>
      <c r="K15" s="16"/>
    </row>
    <row r="16" spans="1:14">
      <c r="A16" s="14"/>
      <c r="B16" s="10" t="str">
        <f>+[31]XX!A4</f>
        <v>Bogotá</v>
      </c>
      <c r="C16" s="23">
        <f>[31]XX!B4/1000000</f>
        <v>2885.3491748199704</v>
      </c>
      <c r="D16" s="23">
        <f>[31]XX!C4/1000000</f>
        <v>2945.0571257999686</v>
      </c>
      <c r="E16" s="25">
        <f t="shared" si="1"/>
        <v>2.0693492316653073</v>
      </c>
      <c r="F16" s="25">
        <f t="shared" si="2"/>
        <v>7.396012022899856</v>
      </c>
      <c r="G16" s="25">
        <f>[31]XX!D4/1000000</f>
        <v>243.16203336000072</v>
      </c>
      <c r="H16" s="25">
        <f>[31]XX!E4/1000000</f>
        <v>281.09912178999991</v>
      </c>
      <c r="I16" s="25">
        <f t="shared" si="3"/>
        <v>15.601567360572876</v>
      </c>
      <c r="J16" s="25">
        <f t="shared" si="4"/>
        <v>7.3097605047217042</v>
      </c>
      <c r="K16" s="16"/>
    </row>
    <row r="17" spans="1:11">
      <c r="A17" s="14"/>
      <c r="B17" s="9" t="str">
        <f>+[31]XX!A5</f>
        <v>Cesar</v>
      </c>
      <c r="C17" s="21">
        <f>[31]XX!B5/1000000</f>
        <v>2455.9073022199991</v>
      </c>
      <c r="D17" s="21">
        <f>[31]XX!C5/1000000</f>
        <v>2816.5491418000001</v>
      </c>
      <c r="E17" s="22">
        <f t="shared" si="1"/>
        <v>14.684668238658748</v>
      </c>
      <c r="F17" s="22">
        <f t="shared" si="2"/>
        <v>7.0732859927743057</v>
      </c>
      <c r="G17" s="22">
        <f>[31]XX!D5/1000000</f>
        <v>225.80207662000007</v>
      </c>
      <c r="H17" s="22">
        <f>[31]XX!E5/1000000</f>
        <v>155.44744688</v>
      </c>
      <c r="I17" s="22">
        <f t="shared" si="3"/>
        <v>-31.157653991995449</v>
      </c>
      <c r="J17" s="22">
        <f t="shared" si="4"/>
        <v>4.0422880033475526</v>
      </c>
      <c r="K17" s="16"/>
    </row>
    <row r="18" spans="1:11">
      <c r="A18" s="14"/>
      <c r="B18" s="9" t="str">
        <f>+[31]XX!A6</f>
        <v>Guajira</v>
      </c>
      <c r="C18" s="21">
        <f>[31]XX!B6/1000000</f>
        <v>2865.5903944600032</v>
      </c>
      <c r="D18" s="21">
        <f>[31]XX!C6/1000000</f>
        <v>2578.1667005100016</v>
      </c>
      <c r="E18" s="22">
        <f t="shared" si="1"/>
        <v>-10.030173694945121</v>
      </c>
      <c r="F18" s="22">
        <f t="shared" si="2"/>
        <v>6.4746288779822994</v>
      </c>
      <c r="G18" s="22">
        <f>[31]XX!D6/1000000</f>
        <v>199.28162913000003</v>
      </c>
      <c r="H18" s="22">
        <f>[31]XX!E6/1000000</f>
        <v>212.75327062999997</v>
      </c>
      <c r="I18" s="22">
        <f t="shared" si="3"/>
        <v>6.7601020519617583</v>
      </c>
      <c r="J18" s="22">
        <f t="shared" si="4"/>
        <v>5.5324806601970229</v>
      </c>
      <c r="K18" s="16"/>
    </row>
    <row r="19" spans="1:11">
      <c r="A19" s="14"/>
      <c r="B19" s="9" t="str">
        <f>+[31]XX!A7</f>
        <v>Bolívar</v>
      </c>
      <c r="C19" s="21">
        <f>[31]XX!B7/1000000</f>
        <v>1263.5151943600015</v>
      </c>
      <c r="D19" s="21">
        <f>[31]XX!C7/1000000</f>
        <v>2445.1754499800118</v>
      </c>
      <c r="E19" s="22">
        <f t="shared" si="1"/>
        <v>93.521649830142934</v>
      </c>
      <c r="F19" s="22">
        <f t="shared" si="2"/>
        <v>6.1406438835170007</v>
      </c>
      <c r="G19" s="22">
        <f>[31]XX!D7/1000000</f>
        <v>107.35560288999993</v>
      </c>
      <c r="H19" s="22">
        <f>[31]XX!E7/1000000</f>
        <v>197.79436855000014</v>
      </c>
      <c r="I19" s="22">
        <f t="shared" si="3"/>
        <v>84.242240950075725</v>
      </c>
      <c r="J19" s="22">
        <f t="shared" si="4"/>
        <v>5.1434862338819132</v>
      </c>
      <c r="K19" s="16"/>
    </row>
    <row r="20" spans="1:11">
      <c r="A20" s="14"/>
      <c r="B20" s="9" t="str">
        <f>+[31]XX!A8</f>
        <v>Valle del Cauca</v>
      </c>
      <c r="C20" s="21">
        <f>[31]XX!B8/1000000</f>
        <v>2072.5613490300234</v>
      </c>
      <c r="D20" s="21">
        <f>[31]XX!C8/1000000</f>
        <v>2206.8194066400019</v>
      </c>
      <c r="E20" s="22">
        <f t="shared" si="1"/>
        <v>6.4778809887973798</v>
      </c>
      <c r="F20" s="22">
        <f t="shared" si="2"/>
        <v>5.5420530627040767</v>
      </c>
      <c r="G20" s="22">
        <f>[31]XX!D8/1000000</f>
        <v>243.36018154999974</v>
      </c>
      <c r="H20" s="22">
        <f>[31]XX!E8/1000000</f>
        <v>207.98436256999966</v>
      </c>
      <c r="I20" s="22">
        <f t="shared" si="3"/>
        <v>-14.536403923881814</v>
      </c>
      <c r="J20" s="22">
        <f t="shared" si="4"/>
        <v>5.4084689750460404</v>
      </c>
      <c r="K20" s="16"/>
    </row>
    <row r="21" spans="1:11">
      <c r="A21" s="14"/>
      <c r="B21" s="9" t="str">
        <f>+[31]XX!A9</f>
        <v>Cundinamarca</v>
      </c>
      <c r="C21" s="21">
        <f>[31]XX!B9/1000000</f>
        <v>1656.7263384400301</v>
      </c>
      <c r="D21" s="21">
        <f>[31]XX!C9/1000000</f>
        <v>1846.4292103300118</v>
      </c>
      <c r="E21" s="22">
        <f t="shared" si="1"/>
        <v>11.450465142517462</v>
      </c>
      <c r="F21" s="22">
        <f t="shared" si="2"/>
        <v>4.6369941416076284</v>
      </c>
      <c r="G21" s="22">
        <f>[31]XX!D9/1000000</f>
        <v>129.21771761000031</v>
      </c>
      <c r="H21" s="22">
        <f>[31]XX!E9/1000000</f>
        <v>190.86007154000077</v>
      </c>
      <c r="I21" s="22">
        <f t="shared" si="3"/>
        <v>47.704258417600997</v>
      </c>
      <c r="J21" s="22">
        <f t="shared" si="4"/>
        <v>4.9631653204300008</v>
      </c>
      <c r="K21" s="16"/>
    </row>
    <row r="22" spans="1:11">
      <c r="A22" s="14"/>
      <c r="B22" s="9" t="str">
        <f>+[31]XX!A10</f>
        <v>Meta</v>
      </c>
      <c r="C22" s="21">
        <f>[31]XX!B10/1000000</f>
        <v>3.9726172300000004</v>
      </c>
      <c r="D22" s="21">
        <f>[31]XX!C10/1000000</f>
        <v>1318.0346751799998</v>
      </c>
      <c r="E22" s="22">
        <f t="shared" si="1"/>
        <v>33077.993218843279</v>
      </c>
      <c r="F22" s="22">
        <f t="shared" si="2"/>
        <v>3.3100207866366165</v>
      </c>
      <c r="G22" s="22">
        <f>[31]XX!D10/1000000</f>
        <v>2.9999999999999997E-4</v>
      </c>
      <c r="H22" s="22">
        <f>[31]XX!E10/1000000</f>
        <v>177.32625955999998</v>
      </c>
      <c r="I22" s="22">
        <f t="shared" si="3"/>
        <v>59108653.18666666</v>
      </c>
      <c r="J22" s="22">
        <f t="shared" si="4"/>
        <v>4.6112292358923694</v>
      </c>
      <c r="K22" s="16"/>
    </row>
    <row r="23" spans="1:11">
      <c r="A23" s="14"/>
      <c r="B23" s="9" t="str">
        <f>+[31]XX!A11</f>
        <v>Casanare</v>
      </c>
      <c r="C23" s="21">
        <f>[31]XX!B11/1000000</f>
        <v>0.3069827</v>
      </c>
      <c r="D23" s="21">
        <f>[31]XX!C11/1000000</f>
        <v>1141.6451077000004</v>
      </c>
      <c r="E23" s="22">
        <f t="shared" si="1"/>
        <v>371792.32738522411</v>
      </c>
      <c r="F23" s="22">
        <f t="shared" si="2"/>
        <v>2.8670482716495544</v>
      </c>
      <c r="G23" s="22">
        <f>[31]XX!D11/1000000</f>
        <v>0</v>
      </c>
      <c r="H23" s="22">
        <f>[31]XX!E11/1000000</f>
        <v>103.46012061</v>
      </c>
      <c r="I23" s="22" t="str">
        <f t="shared" si="3"/>
        <v/>
      </c>
      <c r="J23" s="22">
        <f t="shared" si="4"/>
        <v>2.6903986701662697</v>
      </c>
      <c r="K23" s="16"/>
    </row>
    <row r="24" spans="1:11">
      <c r="A24" s="14"/>
      <c r="B24" s="9" t="str">
        <f>+[31]XX!A12</f>
        <v>Atlántico</v>
      </c>
      <c r="C24" s="21">
        <f>[31]XX!B12/1000000</f>
        <v>1088.2329711799994</v>
      </c>
      <c r="D24" s="21">
        <f>[31]XX!C12/1000000</f>
        <v>1050.2417724500003</v>
      </c>
      <c r="E24" s="22">
        <f t="shared" si="1"/>
        <v>-3.4910905785922153</v>
      </c>
      <c r="F24" s="22">
        <f t="shared" si="2"/>
        <v>2.6375042806281517</v>
      </c>
      <c r="G24" s="22">
        <f>[31]XX!D12/1000000</f>
        <v>80.829724239999933</v>
      </c>
      <c r="H24" s="22">
        <f>[31]XX!E12/1000000</f>
        <v>104.07703552999995</v>
      </c>
      <c r="I24" s="22">
        <f t="shared" si="3"/>
        <v>28.760844489551896</v>
      </c>
      <c r="J24" s="22">
        <f t="shared" si="4"/>
        <v>2.7064410551024918</v>
      </c>
      <c r="K24" s="16"/>
    </row>
    <row r="25" spans="1:11">
      <c r="A25" s="14"/>
      <c r="B25" s="9" t="str">
        <f>+[31]XX!A13</f>
        <v>Córdoba</v>
      </c>
      <c r="C25" s="21">
        <f>[31]XX!B13/1000000</f>
        <v>631.65673015999982</v>
      </c>
      <c r="D25" s="21">
        <f>[31]XX!C13/1000000</f>
        <v>990.46726833000002</v>
      </c>
      <c r="E25" s="22">
        <f t="shared" si="1"/>
        <v>56.804672702388984</v>
      </c>
      <c r="F25" s="22">
        <f t="shared" si="2"/>
        <v>2.4873907404657301</v>
      </c>
      <c r="G25" s="22">
        <f>[31]XX!D13/1000000</f>
        <v>88.567029009999999</v>
      </c>
      <c r="H25" s="22">
        <f>[31]XX!E13/1000000</f>
        <v>93.819682569999998</v>
      </c>
      <c r="I25" s="22">
        <f t="shared" si="3"/>
        <v>5.9307099026737475</v>
      </c>
      <c r="J25" s="22">
        <f t="shared" si="4"/>
        <v>2.4397066979385724</v>
      </c>
      <c r="K25" s="16"/>
    </row>
    <row r="26" spans="1:11">
      <c r="A26" s="14"/>
      <c r="B26" s="9" t="str">
        <f>+[31]XX!A14</f>
        <v>Aráuca</v>
      </c>
      <c r="C26" s="21">
        <f>[31]XX!B14/1000000</f>
        <v>1.1326247700000001</v>
      </c>
      <c r="D26" s="21">
        <f>[31]XX!C14/1000000</f>
        <v>795.16037560000007</v>
      </c>
      <c r="E26" s="22">
        <f t="shared" si="1"/>
        <v>70105.102048050743</v>
      </c>
      <c r="F26" s="22">
        <f t="shared" si="2"/>
        <v>1.9969105680670629</v>
      </c>
      <c r="G26" s="22">
        <f>[31]XX!D14/1000000</f>
        <v>2.8881770000000001E-2</v>
      </c>
      <c r="H26" s="22">
        <f>[31]XX!E14/1000000</f>
        <v>67.865067850000003</v>
      </c>
      <c r="I26" s="22">
        <f t="shared" si="3"/>
        <v>234875.44593007979</v>
      </c>
      <c r="J26" s="22">
        <f t="shared" si="4"/>
        <v>1.7647774545193784</v>
      </c>
      <c r="K26" s="16"/>
    </row>
    <row r="27" spans="1:11">
      <c r="A27" s="14"/>
      <c r="B27" s="9" t="str">
        <f>+[31]XX!A15</f>
        <v>Huila</v>
      </c>
      <c r="C27" s="21">
        <f>[31]XX!B15/1000000</f>
        <v>300.91102170999943</v>
      </c>
      <c r="D27" s="21">
        <f>[31]XX!C15/1000000</f>
        <v>738.866271140001</v>
      </c>
      <c r="E27" s="22">
        <f t="shared" si="1"/>
        <v>145.54310671015483</v>
      </c>
      <c r="F27" s="22">
        <f t="shared" si="2"/>
        <v>1.8555374620050062</v>
      </c>
      <c r="G27" s="22">
        <f>[31]XX!D15/1000000</f>
        <v>34.214997229999994</v>
      </c>
      <c r="H27" s="22">
        <f>[31]XX!E15/1000000</f>
        <v>122.93407044000004</v>
      </c>
      <c r="I27" s="22">
        <f t="shared" si="3"/>
        <v>259.29878822907057</v>
      </c>
      <c r="J27" s="22">
        <f t="shared" si="4"/>
        <v>3.1968033449009399</v>
      </c>
      <c r="K27" s="16"/>
    </row>
    <row r="28" spans="1:11">
      <c r="A28" s="14"/>
      <c r="B28" s="9" t="str">
        <f>+[31]XX!A16</f>
        <v>Caldas</v>
      </c>
      <c r="C28" s="21">
        <f>[31]XX!B16/1000000</f>
        <v>601.28042154999901</v>
      </c>
      <c r="D28" s="21">
        <f>[31]XX!C16/1000000</f>
        <v>620.03704076000156</v>
      </c>
      <c r="E28" s="22">
        <f t="shared" si="1"/>
        <v>3.1194461914544336</v>
      </c>
      <c r="F28" s="22">
        <f t="shared" si="2"/>
        <v>1.5571179818315322</v>
      </c>
      <c r="G28" s="22">
        <f>[31]XX!D16/1000000</f>
        <v>46.682141749999985</v>
      </c>
      <c r="H28" s="22">
        <f>[31]XX!E16/1000000</f>
        <v>63.698556870000019</v>
      </c>
      <c r="I28" s="22">
        <f t="shared" si="3"/>
        <v>36.45165899013201</v>
      </c>
      <c r="J28" s="22">
        <f t="shared" si="4"/>
        <v>1.656430629349124</v>
      </c>
      <c r="K28" s="16"/>
    </row>
    <row r="29" spans="1:11">
      <c r="A29" s="14"/>
      <c r="B29" s="9" t="str">
        <f>+[31]XX!A17</f>
        <v>Risaralda</v>
      </c>
      <c r="C29" s="21">
        <f>[31]XX!B17/1000000</f>
        <v>470.36550002000149</v>
      </c>
      <c r="D29" s="21">
        <f>[31]XX!C17/1000000</f>
        <v>568.42731777000574</v>
      </c>
      <c r="E29" s="22">
        <f t="shared" si="1"/>
        <v>20.848003891831858</v>
      </c>
      <c r="F29" s="22">
        <f t="shared" si="2"/>
        <v>1.4275089062083022</v>
      </c>
      <c r="G29" s="22">
        <f>[31]XX!D17/1000000</f>
        <v>49.108596270000021</v>
      </c>
      <c r="H29" s="22">
        <f>[31]XX!E17/1000000</f>
        <v>72.198491830000137</v>
      </c>
      <c r="I29" s="22">
        <f t="shared" si="3"/>
        <v>47.018032103893617</v>
      </c>
      <c r="J29" s="22">
        <f t="shared" si="4"/>
        <v>1.877464720340448</v>
      </c>
      <c r="K29" s="16"/>
    </row>
    <row r="30" spans="1:11">
      <c r="A30" s="14"/>
      <c r="B30" s="9" t="str">
        <f>+[31]XX!A18</f>
        <v>Santander</v>
      </c>
      <c r="C30" s="21">
        <f>[31]XX!B18/1000000</f>
        <v>678.94643216999941</v>
      </c>
      <c r="D30" s="21">
        <f>[31]XX!C18/1000000</f>
        <v>448.02078948000047</v>
      </c>
      <c r="E30" s="22">
        <f t="shared" si="1"/>
        <v>-34.012350864254657</v>
      </c>
      <c r="F30" s="22">
        <f t="shared" si="2"/>
        <v>1.1251283095580367</v>
      </c>
      <c r="G30" s="22">
        <f>[31]XX!D18/1000000</f>
        <v>38.400757559999981</v>
      </c>
      <c r="H30" s="22">
        <f>[31]XX!E18/1000000</f>
        <v>43.497552839999976</v>
      </c>
      <c r="I30" s="22">
        <f t="shared" si="3"/>
        <v>13.272642530649058</v>
      </c>
      <c r="J30" s="22">
        <f t="shared" si="4"/>
        <v>1.1311194847467807</v>
      </c>
      <c r="K30" s="16"/>
    </row>
    <row r="31" spans="1:11">
      <c r="A31" s="14"/>
      <c r="B31" s="9" t="str">
        <f>+[31]XX!A19</f>
        <v>Magdalena</v>
      </c>
      <c r="C31" s="21">
        <f>[31]XX!B19/1000000</f>
        <v>379.53507299000069</v>
      </c>
      <c r="D31" s="21">
        <f>[31]XX!C19/1000000</f>
        <v>375.7787749900001</v>
      </c>
      <c r="E31" s="22">
        <f t="shared" si="1"/>
        <v>-0.98971037654260741</v>
      </c>
      <c r="F31" s="22">
        <f t="shared" si="2"/>
        <v>0.94370472933413363</v>
      </c>
      <c r="G31" s="22">
        <f>[31]XX!D19/1000000</f>
        <v>31.442844800000003</v>
      </c>
      <c r="H31" s="22">
        <f>[31]XX!E19/1000000</f>
        <v>18.721308230000002</v>
      </c>
      <c r="I31" s="22">
        <f t="shared" si="3"/>
        <v>-40.459241684136671</v>
      </c>
      <c r="J31" s="22">
        <f t="shared" si="4"/>
        <v>0.48683282475215395</v>
      </c>
      <c r="K31" s="16"/>
    </row>
    <row r="32" spans="1:11">
      <c r="A32" s="14"/>
      <c r="B32" s="9" t="str">
        <f>+[31]XX!A20</f>
        <v>Boyacá</v>
      </c>
      <c r="C32" s="21">
        <f>[31]XX!B20/1000000</f>
        <v>196.49831827000008</v>
      </c>
      <c r="D32" s="21">
        <f>[31]XX!C20/1000000</f>
        <v>357.38947267999976</v>
      </c>
      <c r="E32" s="22">
        <f t="shared" si="1"/>
        <v>81.879150837782703</v>
      </c>
      <c r="F32" s="22">
        <f t="shared" si="2"/>
        <v>0.89752311207923607</v>
      </c>
      <c r="G32" s="22">
        <f>[31]XX!D20/1000000</f>
        <v>25.682052470000002</v>
      </c>
      <c r="H32" s="22">
        <f>[31]XX!E20/1000000</f>
        <v>23.526597830000004</v>
      </c>
      <c r="I32" s="22">
        <f t="shared" si="3"/>
        <v>-8.3928441565091045</v>
      </c>
      <c r="J32" s="22">
        <f t="shared" si="4"/>
        <v>0.6117905830978777</v>
      </c>
      <c r="K32" s="16"/>
    </row>
    <row r="33" spans="1:13">
      <c r="A33" s="14"/>
      <c r="B33" s="9" t="str">
        <f>+[31]XX!A21</f>
        <v>Cauca</v>
      </c>
      <c r="C33" s="21">
        <f>[31]XX!B21/1000000</f>
        <v>273.0658933200009</v>
      </c>
      <c r="D33" s="21">
        <f>[31]XX!C21/1000000</f>
        <v>304.09742363999965</v>
      </c>
      <c r="E33" s="22">
        <f t="shared" si="1"/>
        <v>11.364117994638567</v>
      </c>
      <c r="F33" s="22">
        <f t="shared" si="2"/>
        <v>0.76368915959936801</v>
      </c>
      <c r="G33" s="22">
        <f>[31]XX!D21/1000000</f>
        <v>37.281426219999958</v>
      </c>
      <c r="H33" s="22">
        <f>[31]XX!E21/1000000</f>
        <v>25.041386619999983</v>
      </c>
      <c r="I33" s="22">
        <f t="shared" si="3"/>
        <v>-32.831468216292905</v>
      </c>
      <c r="J33" s="22">
        <f t="shared" si="4"/>
        <v>0.65118146841842717</v>
      </c>
      <c r="K33" s="16"/>
    </row>
    <row r="34" spans="1:13">
      <c r="A34" s="14"/>
      <c r="B34" s="9" t="str">
        <f>+[31]XX!A22</f>
        <v>Norte de Santander</v>
      </c>
      <c r="C34" s="21">
        <f>[31]XX!B22/1000000</f>
        <v>736.10824073000128</v>
      </c>
      <c r="D34" s="21">
        <f>[31]XX!C22/1000000</f>
        <v>286.42664128000018</v>
      </c>
      <c r="E34" s="22">
        <f t="shared" si="1"/>
        <v>-61.089059267160238</v>
      </c>
      <c r="F34" s="22">
        <f t="shared" si="2"/>
        <v>0.71931198346798741</v>
      </c>
      <c r="G34" s="22">
        <f>[31]XX!D22/1000000</f>
        <v>15.952137829999998</v>
      </c>
      <c r="H34" s="22">
        <f>[31]XX!E22/1000000</f>
        <v>40.887533350000012</v>
      </c>
      <c r="I34" s="22">
        <f t="shared" si="3"/>
        <v>156.31381690487825</v>
      </c>
      <c r="J34" s="22">
        <f t="shared" si="4"/>
        <v>1.0632479906522221</v>
      </c>
      <c r="K34" s="16"/>
    </row>
    <row r="35" spans="1:13">
      <c r="A35" s="14"/>
      <c r="B35" s="9" t="str">
        <f>+[31]XX!A23</f>
        <v>Tolima</v>
      </c>
      <c r="C35" s="21">
        <f>[31]XX!B23/1000000</f>
        <v>112.32050733999989</v>
      </c>
      <c r="D35" s="21">
        <f>[31]XX!C23/1000000</f>
        <v>277.28949284999976</v>
      </c>
      <c r="E35" s="22">
        <f t="shared" si="1"/>
        <v>146.87343337101422</v>
      </c>
      <c r="F35" s="22">
        <f t="shared" si="2"/>
        <v>0.69636558319232311</v>
      </c>
      <c r="G35" s="22">
        <f>[31]XX!D23/1000000</f>
        <v>4.4537669400000004</v>
      </c>
      <c r="H35" s="22">
        <f>[31]XX!E23/1000000</f>
        <v>28.465749539999997</v>
      </c>
      <c r="I35" s="22">
        <f t="shared" si="3"/>
        <v>539.1387318529064</v>
      </c>
      <c r="J35" s="22">
        <f t="shared" si="4"/>
        <v>0.7402293198206441</v>
      </c>
      <c r="K35" s="16"/>
    </row>
    <row r="36" spans="1:13">
      <c r="A36" s="14"/>
      <c r="B36" s="9" t="str">
        <f>+[31]XX!A24</f>
        <v>Quindío</v>
      </c>
      <c r="C36" s="21">
        <f>[31]XX!B24/1000000</f>
        <v>162.15018790999972</v>
      </c>
      <c r="D36" s="21">
        <f>[31]XX!C24/1000000</f>
        <v>119.40514114</v>
      </c>
      <c r="E36" s="22">
        <f t="shared" si="1"/>
        <v>-26.361392065561496</v>
      </c>
      <c r="F36" s="22">
        <f t="shared" si="2"/>
        <v>0.29986578247700746</v>
      </c>
      <c r="G36" s="22">
        <f>[31]XX!D24/1000000</f>
        <v>12.189220840000004</v>
      </c>
      <c r="H36" s="22">
        <f>[31]XX!E24/1000000</f>
        <v>18.210063799999997</v>
      </c>
      <c r="I36" s="22">
        <f t="shared" si="3"/>
        <v>49.394813983860764</v>
      </c>
      <c r="J36" s="22">
        <f t="shared" si="4"/>
        <v>0.47353831739519092</v>
      </c>
      <c r="K36" s="16"/>
    </row>
    <row r="37" spans="1:13">
      <c r="A37" s="14"/>
      <c r="B37" s="9" t="str">
        <f>+[31]XX!A25</f>
        <v>Nariño</v>
      </c>
      <c r="C37" s="21">
        <f>[31]XX!B25/1000000</f>
        <v>55.689762230000007</v>
      </c>
      <c r="D37" s="21">
        <f>[31]XX!C25/1000000</f>
        <v>53.023019810000065</v>
      </c>
      <c r="E37" s="22">
        <f t="shared" si="1"/>
        <v>-4.7885685145974133</v>
      </c>
      <c r="F37" s="22">
        <f t="shared" si="2"/>
        <v>0.1331583311473781</v>
      </c>
      <c r="G37" s="22">
        <f>[31]XX!D25/1000000</f>
        <v>5.3182619399999993</v>
      </c>
      <c r="H37" s="22">
        <f>[31]XX!E25/1000000</f>
        <v>10.542862559999994</v>
      </c>
      <c r="I37" s="22">
        <f t="shared" si="3"/>
        <v>98.238873506858454</v>
      </c>
      <c r="J37" s="22">
        <f t="shared" si="4"/>
        <v>0.2741588086688172</v>
      </c>
      <c r="K37" s="16"/>
    </row>
    <row r="38" spans="1:13">
      <c r="A38" s="14"/>
      <c r="B38" s="9" t="str">
        <f>+[31]XX!A26</f>
        <v>Sucre</v>
      </c>
      <c r="C38" s="21">
        <f>[31]XX!B26/1000000</f>
        <v>86.602071859999995</v>
      </c>
      <c r="D38" s="21">
        <f>[31]XX!C26/1000000</f>
        <v>47.839451980000007</v>
      </c>
      <c r="E38" s="22">
        <f t="shared" si="1"/>
        <v>-44.759460192434233</v>
      </c>
      <c r="F38" s="22">
        <f t="shared" si="2"/>
        <v>0.12014067873705901</v>
      </c>
      <c r="G38" s="22">
        <f>[31]XX!D26/1000000</f>
        <v>6.460954720000001</v>
      </c>
      <c r="H38" s="22">
        <f>[31]XX!E26/1000000</f>
        <v>3.4467888700000002</v>
      </c>
      <c r="I38" s="22">
        <f t="shared" si="3"/>
        <v>-46.652019409292514</v>
      </c>
      <c r="J38" s="22">
        <f t="shared" si="4"/>
        <v>8.9631020508356044E-2</v>
      </c>
      <c r="K38" s="16"/>
    </row>
    <row r="39" spans="1:13">
      <c r="A39" s="14"/>
      <c r="B39" s="9" t="str">
        <f>+[31]XX!A27</f>
        <v>Chocó</v>
      </c>
      <c r="C39" s="21">
        <f>[31]XX!B27/1000000</f>
        <v>14.283654379999996</v>
      </c>
      <c r="D39" s="21">
        <f>[31]XX!C27/1000000</f>
        <v>11.928364639999995</v>
      </c>
      <c r="E39" s="22">
        <f t="shared" si="1"/>
        <v>-16.489405843492566</v>
      </c>
      <c r="F39" s="22">
        <f t="shared" si="2"/>
        <v>2.9956066902101116E-2</v>
      </c>
      <c r="G39" s="22">
        <f>[31]XX!D27/1000000</f>
        <v>0.88754235999999997</v>
      </c>
      <c r="H39" s="22">
        <f>[31]XX!E27/1000000</f>
        <v>0.4626883</v>
      </c>
      <c r="I39" s="22">
        <f t="shared" si="3"/>
        <v>-47.868595252174785</v>
      </c>
      <c r="J39" s="22">
        <f t="shared" si="4"/>
        <v>1.2031843571050058E-2</v>
      </c>
      <c r="K39" s="16"/>
    </row>
    <row r="40" spans="1:13">
      <c r="A40" s="14"/>
      <c r="B40" s="9" t="str">
        <f>+[31]XX!A28</f>
        <v>San Andrés</v>
      </c>
      <c r="C40" s="21">
        <f>[31]XX!B28/1000000</f>
        <v>1.4342432999999999</v>
      </c>
      <c r="D40" s="21">
        <f>[31]XX!C28/1000000</f>
        <v>3.7966525299999998</v>
      </c>
      <c r="E40" s="22">
        <f t="shared" si="1"/>
        <v>164.71467776771206</v>
      </c>
      <c r="F40" s="22">
        <f t="shared" si="2"/>
        <v>9.5346496041314437E-3</v>
      </c>
      <c r="G40" s="22">
        <f>[31]XX!D28/1000000</f>
        <v>0.36196800000000001</v>
      </c>
      <c r="H40" s="22">
        <f>[31]XX!E28/1000000</f>
        <v>0.52962589000000004</v>
      </c>
      <c r="I40" s="22">
        <f t="shared" si="3"/>
        <v>46.318428700879636</v>
      </c>
      <c r="J40" s="22">
        <f t="shared" si="4"/>
        <v>1.377250269708174E-2</v>
      </c>
      <c r="K40" s="16"/>
    </row>
    <row r="41" spans="1:13">
      <c r="A41" s="14"/>
      <c r="B41" s="9" t="str">
        <f>+[31]XX!A29</f>
        <v>Putumayo</v>
      </c>
      <c r="C41" s="21">
        <f>[31]XX!B29/1000000</f>
        <v>0.12294019</v>
      </c>
      <c r="D41" s="21">
        <f>[31]XX!C29/1000000</f>
        <v>1.4843006299999999</v>
      </c>
      <c r="E41" s="22">
        <f t="shared" si="1"/>
        <v>1107.3355588599625</v>
      </c>
      <c r="F41" s="22">
        <f t="shared" si="2"/>
        <v>3.727569563560127E-3</v>
      </c>
      <c r="G41" s="22">
        <f>[31]XX!D29/1000000</f>
        <v>8.3502670000000001E-2</v>
      </c>
      <c r="H41" s="22">
        <f>[31]XX!E29/1000000</f>
        <v>1.244208</v>
      </c>
      <c r="I41" s="22">
        <f t="shared" si="3"/>
        <v>1390.0218160688753</v>
      </c>
      <c r="J41" s="22">
        <f t="shared" si="4"/>
        <v>3.235464572121026E-2</v>
      </c>
      <c r="K41" s="16"/>
    </row>
    <row r="42" spans="1:13">
      <c r="A42" s="14"/>
      <c r="B42" s="9" t="str">
        <f>+[31]XX!A30</f>
        <v>Amazonas</v>
      </c>
      <c r="C42" s="21">
        <f>[31]XX!B30/1000000</f>
        <v>2.3957880000000001E-2</v>
      </c>
      <c r="D42" s="21">
        <f>[31]XX!C30/1000000</f>
        <v>0.13346541000000001</v>
      </c>
      <c r="E42" s="22">
        <f t="shared" si="1"/>
        <v>457.08355664190651</v>
      </c>
      <c r="F42" s="22">
        <f t="shared" si="2"/>
        <v>3.3517576564262016E-4</v>
      </c>
      <c r="G42" s="22">
        <f>[31]XX!D30/1000000</f>
        <v>0</v>
      </c>
      <c r="H42" s="22">
        <f>[31]XX!E30/1000000</f>
        <v>0</v>
      </c>
      <c r="I42" s="22" t="str">
        <f t="shared" si="3"/>
        <v/>
      </c>
      <c r="J42" s="22">
        <f t="shared" si="4"/>
        <v>0</v>
      </c>
      <c r="K42" s="16"/>
    </row>
    <row r="43" spans="1:13">
      <c r="A43" s="14"/>
      <c r="B43" s="9" t="str">
        <f>+[31]XX!A31</f>
        <v>Guainía</v>
      </c>
      <c r="C43" s="21">
        <f>[31]XX!B31/1000000</f>
        <v>0.93030883000000009</v>
      </c>
      <c r="D43" s="21">
        <f>[31]XX!C31/1000000</f>
        <v>0.11591393000000001</v>
      </c>
      <c r="E43" s="22">
        <f t="shared" si="1"/>
        <v>-87.540274125958788</v>
      </c>
      <c r="F43" s="22">
        <f t="shared" si="2"/>
        <v>2.910981971762952E-4</v>
      </c>
      <c r="G43" s="22">
        <f>[31]XX!D31/1000000</f>
        <v>2.1136240000000001E-2</v>
      </c>
      <c r="H43" s="22">
        <f>[31]XX!E31/1000000</f>
        <v>0</v>
      </c>
      <c r="I43" s="22" t="str">
        <f t="shared" si="3"/>
        <v/>
      </c>
      <c r="J43" s="22">
        <f t="shared" si="4"/>
        <v>0</v>
      </c>
      <c r="K43" s="16"/>
    </row>
    <row r="44" spans="1:13">
      <c r="A44" s="14"/>
      <c r="B44" s="9" t="str">
        <f>+[31]XX!A32</f>
        <v>Vaupés</v>
      </c>
      <c r="C44" s="21">
        <f>[31]XX!B32/1000000</f>
        <v>0.20857674000000001</v>
      </c>
      <c r="D44" s="21">
        <f>[31]XX!C32/1000000</f>
        <v>0.10453128</v>
      </c>
      <c r="E44" s="22">
        <f t="shared" si="1"/>
        <v>-49.883539267130175</v>
      </c>
      <c r="F44" s="22">
        <f t="shared" si="2"/>
        <v>2.6251260013814145E-4</v>
      </c>
      <c r="G44" s="22">
        <f>[31]XX!D32/1000000</f>
        <v>9.0997590000000003E-2</v>
      </c>
      <c r="H44" s="22">
        <f>[31]XX!E32/1000000</f>
        <v>8.8708080000000009E-2</v>
      </c>
      <c r="I44" s="22">
        <f t="shared" si="3"/>
        <v>-2.5160116877820604</v>
      </c>
      <c r="J44" s="22">
        <f t="shared" si="4"/>
        <v>2.3067835128923603E-3</v>
      </c>
      <c r="K44" s="16"/>
    </row>
    <row r="45" spans="1:13">
      <c r="A45" s="14"/>
      <c r="B45" s="9" t="str">
        <f>+[31]XX!A33</f>
        <v>Caquetá</v>
      </c>
      <c r="C45" s="21">
        <f>[31]XX!B33/1000000</f>
        <v>3.3848149999999994E-2</v>
      </c>
      <c r="D45" s="21">
        <f>[31]XX!C33/1000000</f>
        <v>6.1587209999999996E-2</v>
      </c>
      <c r="E45" s="22">
        <f t="shared" si="1"/>
        <v>81.95148036155598</v>
      </c>
      <c r="F45" s="22">
        <f t="shared" si="2"/>
        <v>1.5466584387327644E-4</v>
      </c>
      <c r="G45" s="22">
        <f>[31]XX!D33/1000000</f>
        <v>0</v>
      </c>
      <c r="H45" s="22">
        <f>[31]XX!E33/1000000</f>
        <v>0</v>
      </c>
      <c r="I45" s="22" t="str">
        <f t="shared" si="3"/>
        <v/>
      </c>
      <c r="J45" s="22">
        <f t="shared" si="4"/>
        <v>0</v>
      </c>
      <c r="K45" s="16"/>
    </row>
    <row r="46" spans="1:13">
      <c r="A46" s="14"/>
      <c r="B46" s="9" t="str">
        <f>+[31]XX!A34</f>
        <v>Vichada</v>
      </c>
      <c r="C46" s="21">
        <f>[31]XX!B34/1000000</f>
        <v>0</v>
      </c>
      <c r="D46" s="21">
        <f>[31]XX!C34/1000000</f>
        <v>1.301183E-2</v>
      </c>
      <c r="E46" s="22" t="str">
        <f t="shared" si="1"/>
        <v/>
      </c>
      <c r="F46" s="22">
        <f t="shared" si="2"/>
        <v>3.2677006594155098E-5</v>
      </c>
      <c r="G46" s="22">
        <f>[31]XX!D34/1000000</f>
        <v>0</v>
      </c>
      <c r="H46" s="22">
        <f>[31]XX!E34/1000000</f>
        <v>0</v>
      </c>
      <c r="I46" s="22" t="str">
        <f t="shared" si="3"/>
        <v/>
      </c>
      <c r="J46" s="22">
        <f t="shared" si="4"/>
        <v>0</v>
      </c>
      <c r="K46" s="16"/>
    </row>
    <row r="47" spans="1:13">
      <c r="A47" s="14"/>
      <c r="B47" s="9" t="str">
        <f>+[31]XX!A35</f>
        <v>Guaviare</v>
      </c>
      <c r="C47" s="21">
        <f>[31]XX!B35/1000000</f>
        <v>3.7892000000000004E-4</v>
      </c>
      <c r="D47" s="21">
        <f>[31]XX!C35/1000000</f>
        <v>4.5744399999999999E-3</v>
      </c>
      <c r="E47" s="22">
        <f t="shared" si="1"/>
        <v>1107.2310778000633</v>
      </c>
      <c r="F47" s="22">
        <f t="shared" si="2"/>
        <v>1.148793106308389E-5</v>
      </c>
      <c r="G47" s="22">
        <f>[31]XX!D35/1000000</f>
        <v>0</v>
      </c>
      <c r="H47" s="22">
        <f>[31]XX!E35/1000000</f>
        <v>0</v>
      </c>
      <c r="I47" s="22" t="str">
        <f t="shared" si="3"/>
        <v/>
      </c>
      <c r="J47" s="22">
        <f t="shared" si="4"/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tr">
        <f>IF(F48="","",1)</f>
        <v/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41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f>SUM(C14:C40)</f>
        <v>17952.518767420013</v>
      </c>
      <c r="D13" s="99">
        <f>SUM(D14:D40)</f>
        <v>25351.16116376</v>
      </c>
      <c r="E13" s="98">
        <f>IF(OR(OR(D13=0,C13=0),D13=""),"",(D13/C13-1)*100)</f>
        <v>41.212280528384369</v>
      </c>
      <c r="F13" s="98">
        <f>(D13/D$13)*100</f>
        <v>100</v>
      </c>
      <c r="G13" s="98">
        <f>SUM(G14:G40)</f>
        <v>1883.9836311399995</v>
      </c>
      <c r="H13" s="98">
        <f>SUM(H14:H40)</f>
        <v>2446.7085863200009</v>
      </c>
      <c r="I13" s="98">
        <f>IF(OR(OR(H13=0,G13=0),H13=""),"",(H13/G13-1)*100)</f>
        <v>29.868887705754442</v>
      </c>
      <c r="J13" s="98">
        <f>(H13/H$13)*100</f>
        <v>100</v>
      </c>
      <c r="K13" s="16"/>
    </row>
    <row r="14" spans="1:14">
      <c r="A14" s="14"/>
      <c r="B14" s="9" t="str">
        <f>+[32]XX!A2</f>
        <v>Sin definir</v>
      </c>
      <c r="C14" s="21">
        <f>[32]XX!B2/1000000</f>
        <v>9731.8458542999961</v>
      </c>
      <c r="D14" s="21">
        <f>[32]XX!E2/1000000</f>
        <v>10757.285928649995</v>
      </c>
      <c r="E14" s="22">
        <f>IF(OR(OR(D14=0,C14=0),D14=""),"",(D14/C14-1)*100)</f>
        <v>10.53695352045585</v>
      </c>
      <c r="F14" s="22">
        <f>(D14/D$13)*100</f>
        <v>42.433109312672251</v>
      </c>
      <c r="G14" s="22">
        <f>[32]XX!C2/1000000</f>
        <v>1145.6043223299998</v>
      </c>
      <c r="H14" s="22">
        <f>[32]XX!F2/1000000</f>
        <v>1048.2542236800002</v>
      </c>
      <c r="I14" s="22">
        <f>IF(OR(OR(H14=0,G14=0),H14=""),"",(H14/G14-1)*100)</f>
        <v>-8.4977069964264018</v>
      </c>
      <c r="J14" s="22">
        <f>(H14/H$13)*100</f>
        <v>42.843444026844182</v>
      </c>
      <c r="K14" s="16"/>
    </row>
    <row r="15" spans="1:14">
      <c r="A15" s="14"/>
      <c r="B15" s="9" t="str">
        <f>+[32]XX!A3</f>
        <v>Cesar</v>
      </c>
      <c r="C15" s="21">
        <f>[32]XX!B3/1000000</f>
        <v>2397.9737186500001</v>
      </c>
      <c r="D15" s="21">
        <f>[32]XX!E3/1000000</f>
        <v>2806.6262335699985</v>
      </c>
      <c r="E15" s="22">
        <f t="shared" ref="E15:E40" si="0">IF(OR(OR(D15=0,C15=0),D15=""),"",(D15/C15-1)*100)</f>
        <v>17.041576049885144</v>
      </c>
      <c r="F15" s="22">
        <f t="shared" ref="F15:F40" si="1">(D15/D$13)*100</f>
        <v>11.070996769892053</v>
      </c>
      <c r="G15" s="22">
        <f>[32]XX!C3/1000000</f>
        <v>225.16268857000006</v>
      </c>
      <c r="H15" s="22">
        <f>[32]XX!F3/1000000</f>
        <v>155.43394387999999</v>
      </c>
      <c r="I15" s="22">
        <f t="shared" ref="I15:I40" si="2">IF(OR(OR(H15=0,G15=0),H15=""),"",(H15/G15-1)*100)</f>
        <v>-30.968161347177347</v>
      </c>
      <c r="J15" s="22">
        <f t="shared" ref="J15:J40" si="3">(H15/H$13)*100</f>
        <v>6.3527771451434738</v>
      </c>
      <c r="K15" s="16"/>
    </row>
    <row r="16" spans="1:14">
      <c r="A16" s="14"/>
      <c r="B16" s="9" t="str">
        <f>+[32]XX!A4</f>
        <v>Guajira</v>
      </c>
      <c r="C16" s="21">
        <f>[32]XX!B4/1000000</f>
        <v>2853.9936236800054</v>
      </c>
      <c r="D16" s="21">
        <f>[32]XX!E4/1000000</f>
        <v>2571.9177080799996</v>
      </c>
      <c r="E16" s="22">
        <f t="shared" si="0"/>
        <v>-9.8835510093498549</v>
      </c>
      <c r="F16" s="22">
        <f t="shared" si="1"/>
        <v>10.14516728234369</v>
      </c>
      <c r="G16" s="22">
        <f>[32]XX!C4/1000000</f>
        <v>198.63511485000001</v>
      </c>
      <c r="H16" s="22">
        <f>[32]XX!F4/1000000</f>
        <v>212.63030330999993</v>
      </c>
      <c r="I16" s="22">
        <f t="shared" si="2"/>
        <v>7.0456769290608179</v>
      </c>
      <c r="J16" s="22">
        <f t="shared" si="3"/>
        <v>8.6904629549614203</v>
      </c>
      <c r="K16" s="16"/>
    </row>
    <row r="17" spans="1:11">
      <c r="A17" s="14"/>
      <c r="B17" s="9" t="str">
        <f>+[32]XX!A5</f>
        <v>Meta</v>
      </c>
      <c r="C17" s="21">
        <f>[32]XX!B5/1000000</f>
        <v>0</v>
      </c>
      <c r="D17" s="21">
        <f>[32]XX!E5/1000000</f>
        <v>1316.9581276299996</v>
      </c>
      <c r="E17" s="22" t="str">
        <f t="shared" si="0"/>
        <v/>
      </c>
      <c r="F17" s="22">
        <f t="shared" si="1"/>
        <v>5.1948631430445795</v>
      </c>
      <c r="G17" s="22">
        <f>[32]XX!C5/1000000</f>
        <v>0</v>
      </c>
      <c r="H17" s="22">
        <f>[32]XX!F5/1000000</f>
        <v>177.21242215999999</v>
      </c>
      <c r="I17" s="22" t="str">
        <f t="shared" si="2"/>
        <v/>
      </c>
      <c r="J17" s="22">
        <f t="shared" si="3"/>
        <v>7.2428904345547052</v>
      </c>
      <c r="K17" s="16"/>
    </row>
    <row r="18" spans="1:11">
      <c r="A18" s="14"/>
      <c r="B18" s="9" t="str">
        <f>+[32]XX!A6</f>
        <v>Bolívar</v>
      </c>
      <c r="C18" s="21">
        <f>[32]XX!B6/1000000</f>
        <v>204.38442813</v>
      </c>
      <c r="D18" s="21">
        <f>[32]XX!E6/1000000</f>
        <v>1262.5771808400004</v>
      </c>
      <c r="E18" s="22">
        <f t="shared" si="0"/>
        <v>517.74626980727237</v>
      </c>
      <c r="F18" s="22">
        <f t="shared" si="1"/>
        <v>4.9803524686075535</v>
      </c>
      <c r="G18" s="22">
        <f>[32]XX!C6/1000000</f>
        <v>3.7573089200000003</v>
      </c>
      <c r="H18" s="22">
        <f>[32]XX!F6/1000000</f>
        <v>107.91880887000001</v>
      </c>
      <c r="I18" s="22">
        <f t="shared" si="2"/>
        <v>2772.236783500889</v>
      </c>
      <c r="J18" s="22">
        <f t="shared" si="3"/>
        <v>4.4107749273204817</v>
      </c>
      <c r="K18" s="16"/>
    </row>
    <row r="19" spans="1:11">
      <c r="A19" s="14"/>
      <c r="B19" s="9" t="str">
        <f>+[32]XX!A7</f>
        <v>Casanare</v>
      </c>
      <c r="C19" s="21">
        <f>[32]XX!B7/1000000</f>
        <v>0</v>
      </c>
      <c r="D19" s="21">
        <f>[32]XX!E7/1000000</f>
        <v>1141.417821</v>
      </c>
      <c r="E19" s="22" t="str">
        <f t="shared" si="0"/>
        <v/>
      </c>
      <c r="F19" s="22">
        <f t="shared" si="1"/>
        <v>4.5024281673996063</v>
      </c>
      <c r="G19" s="22">
        <f>[32]XX!C7/1000000</f>
        <v>0</v>
      </c>
      <c r="H19" s="22">
        <f>[32]XX!F7/1000000</f>
        <v>103.46012061000002</v>
      </c>
      <c r="I19" s="22" t="str">
        <f t="shared" si="2"/>
        <v/>
      </c>
      <c r="J19" s="22">
        <f t="shared" si="3"/>
        <v>4.2285428345845775</v>
      </c>
      <c r="K19" s="16"/>
    </row>
    <row r="20" spans="1:11">
      <c r="A20" s="14"/>
      <c r="B20" s="9" t="str">
        <f>+[32]XX!A8</f>
        <v>Córdoba</v>
      </c>
      <c r="C20" s="21">
        <f>[32]XX!B8/1000000</f>
        <v>546.52362066000012</v>
      </c>
      <c r="D20" s="21">
        <f>[32]XX!E8/1000000</f>
        <v>962.95376027000009</v>
      </c>
      <c r="E20" s="22">
        <f t="shared" si="0"/>
        <v>76.196183269646255</v>
      </c>
      <c r="F20" s="22">
        <f t="shared" si="1"/>
        <v>3.798460173282169</v>
      </c>
      <c r="G20" s="22">
        <f>[32]XX!C8/1000000</f>
        <v>87.233767459999996</v>
      </c>
      <c r="H20" s="22">
        <f>[32]XX!F8/1000000</f>
        <v>93.404924310000013</v>
      </c>
      <c r="I20" s="22">
        <f t="shared" si="2"/>
        <v>7.0742752831691291</v>
      </c>
      <c r="J20" s="22">
        <f t="shared" si="3"/>
        <v>3.8175745502445277</v>
      </c>
      <c r="K20" s="16"/>
    </row>
    <row r="21" spans="1:11">
      <c r="A21" s="14"/>
      <c r="B21" s="9" t="str">
        <f>+[32]XX!A9</f>
        <v>Aráuca</v>
      </c>
      <c r="C21" s="21">
        <f>[32]XX!B9/1000000</f>
        <v>0</v>
      </c>
      <c r="D21" s="21">
        <f>[32]XX!E9/1000000</f>
        <v>795.00981159999992</v>
      </c>
      <c r="E21" s="22" t="str">
        <f t="shared" si="0"/>
        <v/>
      </c>
      <c r="F21" s="22">
        <f t="shared" si="1"/>
        <v>3.1359897342157357</v>
      </c>
      <c r="G21" s="22">
        <f>[32]XX!C9/1000000</f>
        <v>0</v>
      </c>
      <c r="H21" s="22">
        <f>[32]XX!F9/1000000</f>
        <v>67.862041219999995</v>
      </c>
      <c r="I21" s="22" t="str">
        <f t="shared" si="2"/>
        <v/>
      </c>
      <c r="J21" s="22">
        <f t="shared" si="3"/>
        <v>2.7736053896826611</v>
      </c>
      <c r="K21" s="16"/>
    </row>
    <row r="22" spans="1:11">
      <c r="A22" s="14"/>
      <c r="B22" s="9" t="str">
        <f>+[32]XX!A10</f>
        <v>Huila</v>
      </c>
      <c r="C22" s="21">
        <f>[32]XX!B10/1000000</f>
        <v>293.19382569999948</v>
      </c>
      <c r="D22" s="21">
        <f>[32]XX!E10/1000000</f>
        <v>726.64623210000173</v>
      </c>
      <c r="E22" s="22">
        <f t="shared" si="0"/>
        <v>147.83817679827868</v>
      </c>
      <c r="F22" s="22">
        <f t="shared" si="1"/>
        <v>2.8663232717669644</v>
      </c>
      <c r="G22" s="22">
        <f>[32]XX!C10/1000000</f>
        <v>33.256992640000014</v>
      </c>
      <c r="H22" s="22">
        <f>[32]XX!F10/1000000</f>
        <v>122.55776357000002</v>
      </c>
      <c r="I22" s="22">
        <f t="shared" si="2"/>
        <v>268.51727664212507</v>
      </c>
      <c r="J22" s="22">
        <f t="shared" si="3"/>
        <v>5.0090870753976624</v>
      </c>
      <c r="K22" s="16"/>
    </row>
    <row r="23" spans="1:11">
      <c r="A23" s="14"/>
      <c r="B23" s="9" t="str">
        <f>+[32]XX!A11</f>
        <v>Risaralda</v>
      </c>
      <c r="C23" s="21">
        <f>[32]XX!B11/1000000</f>
        <v>274.36179143000049</v>
      </c>
      <c r="D23" s="21">
        <f>[32]XX!E11/1000000</f>
        <v>403.26391657000022</v>
      </c>
      <c r="E23" s="22">
        <f t="shared" si="0"/>
        <v>46.982535165756588</v>
      </c>
      <c r="F23" s="22">
        <f t="shared" si="1"/>
        <v>1.5907118177548183</v>
      </c>
      <c r="G23" s="22">
        <f>[32]XX!C11/1000000</f>
        <v>26.589974459999983</v>
      </c>
      <c r="H23" s="22">
        <f>[32]XX!F11/1000000</f>
        <v>58.821845840000016</v>
      </c>
      <c r="I23" s="22">
        <f t="shared" si="2"/>
        <v>121.21813591241808</v>
      </c>
      <c r="J23" s="22">
        <f t="shared" si="3"/>
        <v>2.4041214458020788</v>
      </c>
      <c r="K23" s="16"/>
    </row>
    <row r="24" spans="1:11">
      <c r="A24" s="14"/>
      <c r="B24" s="9" t="str">
        <f>+[32]XX!A12</f>
        <v>Cundinamarca</v>
      </c>
      <c r="C24" s="21">
        <f>[32]XX!B12/1000000</f>
        <v>97.188206240000028</v>
      </c>
      <c r="D24" s="21">
        <f>[32]XX!E12/1000000</f>
        <v>320.64162905000012</v>
      </c>
      <c r="E24" s="22">
        <f t="shared" si="0"/>
        <v>229.91824981129523</v>
      </c>
      <c r="F24" s="22">
        <f t="shared" si="1"/>
        <v>1.2648005626991314</v>
      </c>
      <c r="G24" s="22">
        <f>[32]XX!C12/1000000</f>
        <v>14.168967700000005</v>
      </c>
      <c r="H24" s="22">
        <f>[32]XX!F12/1000000</f>
        <v>37.246281939999996</v>
      </c>
      <c r="I24" s="22">
        <f t="shared" si="2"/>
        <v>162.87223408660876</v>
      </c>
      <c r="J24" s="22">
        <f t="shared" si="3"/>
        <v>1.5223015175673487</v>
      </c>
      <c r="K24" s="16"/>
    </row>
    <row r="25" spans="1:11">
      <c r="A25" s="14"/>
      <c r="B25" s="9" t="str">
        <f>+[32]XX!A13</f>
        <v>Santander</v>
      </c>
      <c r="C25" s="21">
        <f>[32]XX!B13/1000000</f>
        <v>229.33516752999972</v>
      </c>
      <c r="D25" s="21">
        <f>[32]XX!E13/1000000</f>
        <v>314.00152635000143</v>
      </c>
      <c r="E25" s="22">
        <f t="shared" si="0"/>
        <v>36.918175145958102</v>
      </c>
      <c r="F25" s="22">
        <f t="shared" si="1"/>
        <v>1.2386080634400012</v>
      </c>
      <c r="G25" s="22">
        <f>[32]XX!C13/1000000</f>
        <v>23.341147519999982</v>
      </c>
      <c r="H25" s="22">
        <f>[32]XX!F13/1000000</f>
        <v>34.272188279999988</v>
      </c>
      <c r="I25" s="22">
        <f t="shared" si="2"/>
        <v>46.831633923026651</v>
      </c>
      <c r="J25" s="22">
        <f t="shared" si="3"/>
        <v>1.4007466386320837</v>
      </c>
      <c r="K25" s="16"/>
    </row>
    <row r="26" spans="1:11">
      <c r="A26" s="14"/>
      <c r="B26" s="9" t="str">
        <f>+[32]XX!A14</f>
        <v>Caldas</v>
      </c>
      <c r="C26" s="21">
        <f>[32]XX!B14/1000000</f>
        <v>186.46854488000002</v>
      </c>
      <c r="D26" s="21">
        <f>[32]XX!E14/1000000</f>
        <v>282.01805259999998</v>
      </c>
      <c r="E26" s="22">
        <f t="shared" si="0"/>
        <v>51.241622431005652</v>
      </c>
      <c r="F26" s="22">
        <f t="shared" si="1"/>
        <v>1.1124462930051129</v>
      </c>
      <c r="G26" s="22">
        <f>[32]XX!C14/1000000</f>
        <v>16.623525450000006</v>
      </c>
      <c r="H26" s="22">
        <f>[32]XX!F14/1000000</f>
        <v>34.235615380000013</v>
      </c>
      <c r="I26" s="22">
        <f t="shared" si="2"/>
        <v>105.94677995936178</v>
      </c>
      <c r="J26" s="22">
        <f t="shared" si="3"/>
        <v>1.3992518590655894</v>
      </c>
      <c r="K26" s="16"/>
    </row>
    <row r="27" spans="1:11">
      <c r="A27" s="14"/>
      <c r="B27" s="10" t="str">
        <f>+[32]XX!A15</f>
        <v>Bogotá</v>
      </c>
      <c r="C27" s="23">
        <f>[32]XX!B15/1000000</f>
        <v>276.87962572000038</v>
      </c>
      <c r="D27" s="23">
        <f>[32]XX!E15/1000000</f>
        <v>267.74012121000004</v>
      </c>
      <c r="E27" s="25">
        <f t="shared" si="0"/>
        <v>-3.3008945624777852</v>
      </c>
      <c r="F27" s="25">
        <f t="shared" si="1"/>
        <v>1.0561256720372241</v>
      </c>
      <c r="G27" s="25">
        <f>[32]XX!C15/1000000</f>
        <v>23.241848409999996</v>
      </c>
      <c r="H27" s="25">
        <f>[32]XX!F15/1000000</f>
        <v>30.091880680000006</v>
      </c>
      <c r="I27" s="25">
        <f t="shared" si="2"/>
        <v>29.472837741479839</v>
      </c>
      <c r="J27" s="25">
        <f t="shared" si="3"/>
        <v>1.2298923070875405</v>
      </c>
      <c r="K27" s="16"/>
    </row>
    <row r="28" spans="1:11">
      <c r="A28" s="14"/>
      <c r="B28" s="9" t="str">
        <f>+[32]XX!A16</f>
        <v>Tolima</v>
      </c>
      <c r="C28" s="21">
        <f>[32]XX!B16/1000000</f>
        <v>79.948962440000003</v>
      </c>
      <c r="D28" s="21">
        <f>[32]XX!E16/1000000</f>
        <v>253.7456718400002</v>
      </c>
      <c r="E28" s="22">
        <f t="shared" si="0"/>
        <v>217.38457147637274</v>
      </c>
      <c r="F28" s="22">
        <f t="shared" si="1"/>
        <v>1.0009232721171557</v>
      </c>
      <c r="G28" s="22">
        <f>[32]XX!C16/1000000</f>
        <v>2.6533680899999998</v>
      </c>
      <c r="H28" s="22">
        <f>[32]XX!F16/1000000</f>
        <v>24.8973184</v>
      </c>
      <c r="I28" s="22">
        <f t="shared" si="2"/>
        <v>838.32885432793455</v>
      </c>
      <c r="J28" s="22">
        <f t="shared" si="3"/>
        <v>1.0175841348334453</v>
      </c>
      <c r="K28" s="16"/>
    </row>
    <row r="29" spans="1:11">
      <c r="A29" s="14"/>
      <c r="B29" s="9" t="str">
        <f>+[32]XX!A17</f>
        <v>Boyacá</v>
      </c>
      <c r="C29" s="21">
        <f>[32]XX!B17/1000000</f>
        <v>101.23478569</v>
      </c>
      <c r="D29" s="21">
        <f>[32]XX!E17/1000000</f>
        <v>242.42467683000001</v>
      </c>
      <c r="E29" s="22">
        <f t="shared" si="0"/>
        <v>139.46776315835754</v>
      </c>
      <c r="F29" s="22">
        <f t="shared" si="1"/>
        <v>0.95626656019429601</v>
      </c>
      <c r="G29" s="22">
        <f>[32]XX!C17/1000000</f>
        <v>11.049451359999999</v>
      </c>
      <c r="H29" s="22">
        <f>[32]XX!F17/1000000</f>
        <v>9.3742214499999985</v>
      </c>
      <c r="I29" s="22">
        <f t="shared" si="2"/>
        <v>-15.161204438298926</v>
      </c>
      <c r="J29" s="22">
        <f t="shared" si="3"/>
        <v>0.38313600166415401</v>
      </c>
      <c r="K29" s="16"/>
    </row>
    <row r="30" spans="1:11">
      <c r="A30" s="14"/>
      <c r="B30" s="9" t="str">
        <f>+[32]XX!A18</f>
        <v>Antioquia</v>
      </c>
      <c r="C30" s="21">
        <f>[32]XX!B18/1000000</f>
        <v>183.67757842000029</v>
      </c>
      <c r="D30" s="21">
        <f>[32]XX!E18/1000000</f>
        <v>213.23724740000068</v>
      </c>
      <c r="E30" s="22">
        <f t="shared" si="0"/>
        <v>16.093237527559712</v>
      </c>
      <c r="F30" s="22">
        <f t="shared" si="1"/>
        <v>0.8411340451924848</v>
      </c>
      <c r="G30" s="22">
        <f>[32]XX!C18/1000000</f>
        <v>21.201612970000006</v>
      </c>
      <c r="H30" s="22">
        <f>[32]XX!F18/1000000</f>
        <v>34.531818219999998</v>
      </c>
      <c r="I30" s="22">
        <f t="shared" si="2"/>
        <v>62.873543012326707</v>
      </c>
      <c r="J30" s="22">
        <f t="shared" si="3"/>
        <v>1.4113580347522285</v>
      </c>
      <c r="K30" s="16"/>
    </row>
    <row r="31" spans="1:11">
      <c r="A31" s="14"/>
      <c r="B31" s="9" t="str">
        <f>+[32]XX!A19</f>
        <v>Norte de Santander</v>
      </c>
      <c r="C31" s="21">
        <f>[32]XX!B19/1000000</f>
        <v>100.22212279999994</v>
      </c>
      <c r="D31" s="21">
        <f>[32]XX!E19/1000000</f>
        <v>185.55669112000012</v>
      </c>
      <c r="E31" s="22">
        <f t="shared" si="0"/>
        <v>85.145440882639377</v>
      </c>
      <c r="F31" s="22">
        <f t="shared" si="1"/>
        <v>0.73194553070514645</v>
      </c>
      <c r="G31" s="22">
        <f>[32]XX!C19/1000000</f>
        <v>9.1882902300000033</v>
      </c>
      <c r="H31" s="22">
        <f>[32]XX!F19/1000000</f>
        <v>26.866267299999983</v>
      </c>
      <c r="I31" s="22">
        <f t="shared" si="2"/>
        <v>192.39680753967622</v>
      </c>
      <c r="J31" s="22">
        <f t="shared" si="3"/>
        <v>1.0980575067343223</v>
      </c>
      <c r="K31" s="16"/>
    </row>
    <row r="32" spans="1:11">
      <c r="A32" s="14"/>
      <c r="B32" s="9" t="str">
        <f>+[32]XX!A20</f>
        <v>Valle del Cauca</v>
      </c>
      <c r="C32" s="21">
        <f>[32]XX!B20/1000000</f>
        <v>131.92342351000011</v>
      </c>
      <c r="D32" s="21">
        <f>[32]XX!E20/1000000</f>
        <v>180.80608849000012</v>
      </c>
      <c r="E32" s="22">
        <f t="shared" si="0"/>
        <v>37.05381779778827</v>
      </c>
      <c r="F32" s="22">
        <f t="shared" si="1"/>
        <v>0.71320633923650845</v>
      </c>
      <c r="G32" s="22">
        <f>[32]XX!C20/1000000</f>
        <v>18.713505259999994</v>
      </c>
      <c r="H32" s="22">
        <f>[32]XX!F20/1000000</f>
        <v>24.512771389999997</v>
      </c>
      <c r="I32" s="22">
        <f t="shared" si="2"/>
        <v>30.989737355063561</v>
      </c>
      <c r="J32" s="22">
        <f t="shared" si="3"/>
        <v>1.0018672238719162</v>
      </c>
      <c r="K32" s="16"/>
    </row>
    <row r="33" spans="1:13">
      <c r="A33" s="14"/>
      <c r="B33" s="9" t="str">
        <f>+[32]XX!A21</f>
        <v>Cauca</v>
      </c>
      <c r="C33" s="21">
        <f>[32]XX!B21/1000000</f>
        <v>62.225965790000011</v>
      </c>
      <c r="D33" s="21">
        <f>[32]XX!E21/1000000</f>
        <v>104.12234713999992</v>
      </c>
      <c r="E33" s="22">
        <f t="shared" si="0"/>
        <v>67.329419187147181</v>
      </c>
      <c r="F33" s="22">
        <f t="shared" si="1"/>
        <v>0.41072022881872933</v>
      </c>
      <c r="G33" s="22">
        <f>[32]XX!C21/1000000</f>
        <v>6.7989881199999989</v>
      </c>
      <c r="H33" s="22">
        <f>[32]XX!F21/1000000</f>
        <v>11.218227019999997</v>
      </c>
      <c r="I33" s="22">
        <f t="shared" si="2"/>
        <v>64.998479509036102</v>
      </c>
      <c r="J33" s="22">
        <f t="shared" si="3"/>
        <v>0.45850278544503309</v>
      </c>
      <c r="K33" s="16"/>
    </row>
    <row r="34" spans="1:13">
      <c r="A34" s="14"/>
      <c r="B34" s="9" t="str">
        <f>+[32]XX!A22</f>
        <v>Quindío</v>
      </c>
      <c r="C34" s="21">
        <f>[32]XX!B22/1000000</f>
        <v>126.59077170999997</v>
      </c>
      <c r="D34" s="21">
        <f>[32]XX!E22/1000000</f>
        <v>103.92837622000006</v>
      </c>
      <c r="E34" s="22">
        <f t="shared" si="0"/>
        <v>-17.90209126927197</v>
      </c>
      <c r="F34" s="22">
        <f t="shared" si="1"/>
        <v>0.40995509258395546</v>
      </c>
      <c r="G34" s="22">
        <f>[32]XX!C22/1000000</f>
        <v>11.267078079999997</v>
      </c>
      <c r="H34" s="22">
        <f>[32]XX!F22/1000000</f>
        <v>17.163396640000002</v>
      </c>
      <c r="I34" s="22">
        <f t="shared" si="2"/>
        <v>52.33227743816262</v>
      </c>
      <c r="J34" s="22">
        <f t="shared" si="3"/>
        <v>0.7014892061916862</v>
      </c>
      <c r="K34" s="16"/>
    </row>
    <row r="35" spans="1:13">
      <c r="A35" s="14"/>
      <c r="B35" s="9" t="str">
        <f>+[32]XX!A23</f>
        <v>Magdalena</v>
      </c>
      <c r="C35" s="21">
        <f>[32]XX!B23/1000000</f>
        <v>31.759141049999997</v>
      </c>
      <c r="D35" s="21">
        <f>[32]XX!E23/1000000</f>
        <v>85.394610850000021</v>
      </c>
      <c r="E35" s="22">
        <f t="shared" si="0"/>
        <v>168.88199122123305</v>
      </c>
      <c r="F35" s="22">
        <f t="shared" si="1"/>
        <v>0.33684694084968919</v>
      </c>
      <c r="G35" s="22">
        <f>[32]XX!C23/1000000</f>
        <v>3.2824772799999997</v>
      </c>
      <c r="H35" s="22">
        <f>[32]XX!F23/1000000</f>
        <v>3.1619224900000003</v>
      </c>
      <c r="I35" s="22">
        <f t="shared" si="2"/>
        <v>-3.67267705810288</v>
      </c>
      <c r="J35" s="22">
        <f t="shared" si="3"/>
        <v>0.12923167506252656</v>
      </c>
      <c r="K35" s="16"/>
    </row>
    <row r="36" spans="1:13">
      <c r="A36" s="14"/>
      <c r="B36" s="9" t="str">
        <f>+[32]XX!A24</f>
        <v>Nariño</v>
      </c>
      <c r="C36" s="21">
        <f>[32]XX!B24/1000000</f>
        <v>38.242664249999997</v>
      </c>
      <c r="D36" s="21">
        <f>[32]XX!E24/1000000</f>
        <v>45.864488749999992</v>
      </c>
      <c r="E36" s="22">
        <f t="shared" si="0"/>
        <v>19.930160854313385</v>
      </c>
      <c r="F36" s="22">
        <f t="shared" si="1"/>
        <v>0.18091671799067024</v>
      </c>
      <c r="G36" s="22">
        <f>[32]XX!C24/1000000</f>
        <v>2.1142337100000002</v>
      </c>
      <c r="H36" s="22">
        <f>[32]XX!F24/1000000</f>
        <v>10.137820919999999</v>
      </c>
      <c r="I36" s="22">
        <f t="shared" si="2"/>
        <v>379.50332416183068</v>
      </c>
      <c r="J36" s="22">
        <f t="shared" si="3"/>
        <v>0.41434525454655396</v>
      </c>
      <c r="K36" s="16"/>
    </row>
    <row r="37" spans="1:13">
      <c r="A37" s="14"/>
      <c r="B37" s="9" t="str">
        <f>+[32]XX!A25</f>
        <v>Atlántico</v>
      </c>
      <c r="C37" s="21">
        <f>[32]XX!B25/1000000</f>
        <v>4.4261984300000004</v>
      </c>
      <c r="D37" s="21">
        <f>[32]XX!E25/1000000</f>
        <v>5.5670359399999993</v>
      </c>
      <c r="E37" s="22">
        <f t="shared" si="0"/>
        <v>25.774658051198095</v>
      </c>
      <c r="F37" s="22">
        <f t="shared" si="1"/>
        <v>2.195968817380322E-2</v>
      </c>
      <c r="G37" s="22">
        <f>[32]XX!C25/1000000</f>
        <v>9.896772999999999E-2</v>
      </c>
      <c r="H37" s="22">
        <f>[32]XX!F25/1000000</f>
        <v>0.19525076000000002</v>
      </c>
      <c r="I37" s="22">
        <f t="shared" si="2"/>
        <v>97.287297586799298</v>
      </c>
      <c r="J37" s="22">
        <f t="shared" si="3"/>
        <v>7.9801395675677539E-3</v>
      </c>
      <c r="K37" s="16"/>
    </row>
    <row r="38" spans="1:13">
      <c r="A38" s="14"/>
      <c r="B38" s="9" t="str">
        <f>+[32]XX!A26</f>
        <v>Putumayo</v>
      </c>
      <c r="C38" s="21">
        <f>[32]XX!B26/1000000</f>
        <v>0</v>
      </c>
      <c r="D38" s="21">
        <f>[32]XX!E26/1000000</f>
        <v>1.33732545</v>
      </c>
      <c r="E38" s="22" t="str">
        <f t="shared" si="0"/>
        <v/>
      </c>
      <c r="F38" s="22">
        <f t="shared" si="1"/>
        <v>5.2752039299554208E-3</v>
      </c>
      <c r="G38" s="22">
        <f>[32]XX!C26/1000000</f>
        <v>0</v>
      </c>
      <c r="H38" s="22">
        <f>[32]XX!F26/1000000</f>
        <v>1.244208</v>
      </c>
      <c r="I38" s="22" t="str">
        <f t="shared" si="2"/>
        <v/>
      </c>
      <c r="J38" s="22">
        <f t="shared" si="3"/>
        <v>5.085231673917346E-2</v>
      </c>
      <c r="K38" s="16"/>
    </row>
    <row r="39" spans="1:13">
      <c r="A39" s="14"/>
      <c r="B39" s="9" t="str">
        <f>+[32]XX!A27</f>
        <v>Guainía</v>
      </c>
      <c r="C39" s="21">
        <f>[32]XX!B27/1000000</f>
        <v>0</v>
      </c>
      <c r="D39" s="21">
        <f>[32]XX!E27/1000000</f>
        <v>8.980921E-2</v>
      </c>
      <c r="E39" s="22" t="str">
        <f t="shared" si="0"/>
        <v/>
      </c>
      <c r="F39" s="22">
        <f t="shared" si="1"/>
        <v>3.5426073551370144E-4</v>
      </c>
      <c r="G39" s="22">
        <f>[32]XX!C27/1000000</f>
        <v>0</v>
      </c>
      <c r="H39" s="22">
        <f>[32]XX!F27/1000000</f>
        <v>0</v>
      </c>
      <c r="I39" s="22" t="str">
        <f t="shared" si="2"/>
        <v/>
      </c>
      <c r="J39" s="22">
        <f t="shared" si="3"/>
        <v>0</v>
      </c>
      <c r="K39" s="16"/>
    </row>
    <row r="40" spans="1:13">
      <c r="A40" s="14"/>
      <c r="B40" s="9" t="str">
        <f>+[32]XX!A28</f>
        <v>San Andrés</v>
      </c>
      <c r="C40" s="21">
        <f>[32]XX!B28/1000000</f>
        <v>0.11874641</v>
      </c>
      <c r="D40" s="21">
        <f>[32]XX!E28/1000000</f>
        <v>2.8745E-2</v>
      </c>
      <c r="E40" s="22">
        <f t="shared" si="0"/>
        <v>-75.792952393255504</v>
      </c>
      <c r="F40" s="22">
        <f t="shared" si="1"/>
        <v>1.133873111938224E-4</v>
      </c>
      <c r="G40" s="22">
        <f>[32]XX!C28/1000000</f>
        <v>0</v>
      </c>
      <c r="H40" s="22">
        <f>[32]XX!F28/1000000</f>
        <v>3.0000000000000001E-3</v>
      </c>
      <c r="I40" s="22" t="str">
        <f t="shared" si="2"/>
        <v/>
      </c>
      <c r="J40" s="22">
        <f t="shared" si="3"/>
        <v>1.2261370302836853E-4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tr">
        <f>IF(F41="","",1)</f>
        <v/>
      </c>
    </row>
    <row r="42" spans="1:13">
      <c r="A42" s="17"/>
      <c r="B42" s="39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60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f>SUM(C14:C46)</f>
        <v>14900.429005749973</v>
      </c>
      <c r="D13" s="99">
        <f>SUM(D14:D46)</f>
        <v>14468.362903469861</v>
      </c>
      <c r="E13" s="98">
        <f>IF(OR(OR(D13=0,C13=0),D13=""),"",(D13/C13-1)*100)</f>
        <v>-2.8996890097149564</v>
      </c>
      <c r="F13" s="98">
        <f>(D13/D$13)*100</f>
        <v>100</v>
      </c>
      <c r="G13" s="98">
        <f t="shared" ref="G13:H13" si="0">SUM(G14:G46)</f>
        <v>1305.6564402800018</v>
      </c>
      <c r="H13" s="98">
        <f t="shared" si="0"/>
        <v>1398.822626480003</v>
      </c>
      <c r="I13" s="98">
        <f>IF(OR(OR(H13=0,G13=0),H13=""),"",(H13/G13-1)*100)</f>
        <v>7.1355820203377052</v>
      </c>
      <c r="J13" s="98">
        <f>(H13/H$13)*100</f>
        <v>100</v>
      </c>
      <c r="K13" s="16"/>
    </row>
    <row r="14" spans="1:14">
      <c r="A14" s="14"/>
      <c r="B14" s="9" t="str">
        <f>+[33]XX!A2</f>
        <v>Antioquia</v>
      </c>
      <c r="C14" s="21">
        <f>[33]XX!B2/1000000</f>
        <v>3941.9417149099695</v>
      </c>
      <c r="D14" s="21">
        <f>[33]XX!E2/1000000</f>
        <v>4501.0110018799514</v>
      </c>
      <c r="E14" s="22">
        <f>IF(OR(OR(D14=0,C14=0),D14=""),"",(D14/C14-1)*100)</f>
        <v>14.182586334429104</v>
      </c>
      <c r="F14" s="22">
        <f>(D14/D$13)*100</f>
        <v>31.109331663228474</v>
      </c>
      <c r="G14" s="22">
        <f>[33]XX!C2/1000000</f>
        <v>396.5966545100012</v>
      </c>
      <c r="H14" s="22">
        <f>[33]XX!F2/1000000</f>
        <v>496.76216977000081</v>
      </c>
      <c r="I14" s="22">
        <f>IF(OR(OR(H14=0,G14=0),H14=""),"",(H14/G14-1)*100)</f>
        <v>25.256268332307297</v>
      </c>
      <c r="J14" s="22">
        <f>(H14/H$13)*100</f>
        <v>35.512877784944976</v>
      </c>
      <c r="K14" s="16"/>
    </row>
    <row r="15" spans="1:14">
      <c r="A15" s="14"/>
      <c r="B15" s="10" t="str">
        <f>+[33]XX!A3</f>
        <v>Bogotá</v>
      </c>
      <c r="C15" s="23">
        <f>[33]XX!B3/1000000</f>
        <v>2608.4695490999834</v>
      </c>
      <c r="D15" s="23">
        <f>[33]XX!E3/1000000</f>
        <v>2677.3170045899178</v>
      </c>
      <c r="E15" s="25">
        <f t="shared" ref="E15:E47" si="1">IF(OR(OR(D15=0,C15=0),D15=""),"",(D15/C15-1)*100)</f>
        <v>2.6393812231271463</v>
      </c>
      <c r="F15" s="25">
        <f t="shared" ref="F15:F47" si="2">(D15/D$13)*100</f>
        <v>18.504629877287865</v>
      </c>
      <c r="G15" s="25">
        <f>[33]XX!C3/1000000</f>
        <v>219.92018495000093</v>
      </c>
      <c r="H15" s="25">
        <f>[33]XX!F3/1000000</f>
        <v>251.00724111000014</v>
      </c>
      <c r="I15" s="25">
        <f t="shared" ref="I15:I47" si="3">IF(OR(OR(H15=0,G15=0),H15=""),"",(H15/G15-1)*100)</f>
        <v>14.135608410418033</v>
      </c>
      <c r="J15" s="25">
        <f t="shared" ref="J15:J47" si="4">(H15/H$13)*100</f>
        <v>17.944179366159862</v>
      </c>
      <c r="K15" s="16"/>
    </row>
    <row r="16" spans="1:14">
      <c r="A16" s="14"/>
      <c r="B16" s="9" t="str">
        <f>+[33]XX!A4</f>
        <v>Valle del Cauca</v>
      </c>
      <c r="C16" s="21">
        <f>[33]XX!B4/1000000</f>
        <v>1940.6379255200113</v>
      </c>
      <c r="D16" s="21">
        <f>[33]XX!E4/1000000</f>
        <v>2026.0133181499903</v>
      </c>
      <c r="E16" s="22">
        <f t="shared" si="1"/>
        <v>4.3993468079369658</v>
      </c>
      <c r="F16" s="22">
        <f t="shared" si="2"/>
        <v>14.003058477777769</v>
      </c>
      <c r="G16" s="22">
        <f>[33]XX!C4/1000000</f>
        <v>224.64667628999982</v>
      </c>
      <c r="H16" s="22">
        <f>[33]XX!F4/1000000</f>
        <v>183.47159118000039</v>
      </c>
      <c r="I16" s="22">
        <f t="shared" si="3"/>
        <v>-18.328820078711459</v>
      </c>
      <c r="J16" s="22">
        <f t="shared" si="4"/>
        <v>13.116144084807111</v>
      </c>
      <c r="K16" s="16"/>
    </row>
    <row r="17" spans="1:11">
      <c r="A17" s="14"/>
      <c r="B17" s="9" t="str">
        <f>+[33]XX!A5</f>
        <v>Cundinamarca</v>
      </c>
      <c r="C17" s="21">
        <f>[33]XX!B5/1000000</f>
        <v>1559.5381322000071</v>
      </c>
      <c r="D17" s="21">
        <f>[33]XX!E5/1000000</f>
        <v>1525.7875812800044</v>
      </c>
      <c r="E17" s="22">
        <f t="shared" si="1"/>
        <v>-2.1641375881198632</v>
      </c>
      <c r="F17" s="22">
        <f t="shared" si="2"/>
        <v>10.545682268683514</v>
      </c>
      <c r="G17" s="22">
        <f>[33]XX!C5/1000000</f>
        <v>115.04874991000011</v>
      </c>
      <c r="H17" s="22">
        <f>[33]XX!F5/1000000</f>
        <v>153.61378960000096</v>
      </c>
      <c r="I17" s="22">
        <f t="shared" si="3"/>
        <v>33.520607325302841</v>
      </c>
      <c r="J17" s="22">
        <f t="shared" si="4"/>
        <v>10.981648901873617</v>
      </c>
      <c r="K17" s="16"/>
    </row>
    <row r="18" spans="1:11">
      <c r="A18" s="14"/>
      <c r="B18" s="9" t="str">
        <f>+[33]XX!A6</f>
        <v>Bolívar</v>
      </c>
      <c r="C18" s="21">
        <f>[33]XX!B6/1000000</f>
        <v>1059.1307662300014</v>
      </c>
      <c r="D18" s="21">
        <f>[33]XX!E6/1000000</f>
        <v>1182.5982691400006</v>
      </c>
      <c r="E18" s="22">
        <f t="shared" si="1"/>
        <v>11.657437102831448</v>
      </c>
      <c r="F18" s="22">
        <f t="shared" si="2"/>
        <v>8.1736840375795747</v>
      </c>
      <c r="G18" s="22">
        <f>[33]XX!C6/1000000</f>
        <v>103.5982939699999</v>
      </c>
      <c r="H18" s="22">
        <f>[33]XX!F6/1000000</f>
        <v>89.875559680000023</v>
      </c>
      <c r="I18" s="22">
        <f t="shared" si="3"/>
        <v>-13.246100649083781</v>
      </c>
      <c r="J18" s="22">
        <f t="shared" si="4"/>
        <v>6.4250862102626165</v>
      </c>
      <c r="K18" s="16"/>
    </row>
    <row r="19" spans="1:11">
      <c r="A19" s="14"/>
      <c r="B19" s="9" t="str">
        <f>+[33]XX!A7</f>
        <v>Atlántico</v>
      </c>
      <c r="C19" s="21">
        <f>[33]XX!B7/1000000</f>
        <v>1083.8067727500006</v>
      </c>
      <c r="D19" s="21">
        <f>[33]XX!E7/1000000</f>
        <v>1044.6747365099991</v>
      </c>
      <c r="E19" s="22">
        <f t="shared" si="1"/>
        <v>-3.6106100482016457</v>
      </c>
      <c r="F19" s="22">
        <f t="shared" si="2"/>
        <v>7.22040733619877</v>
      </c>
      <c r="G19" s="22">
        <f>[33]XX!C7/1000000</f>
        <v>80.730756509999907</v>
      </c>
      <c r="H19" s="22">
        <f>[33]XX!F7/1000000</f>
        <v>103.88178477000011</v>
      </c>
      <c r="I19" s="22">
        <f t="shared" si="3"/>
        <v>28.676837999322522</v>
      </c>
      <c r="J19" s="22">
        <f t="shared" si="4"/>
        <v>7.4263729227349016</v>
      </c>
      <c r="K19" s="16"/>
    </row>
    <row r="20" spans="1:11">
      <c r="A20" s="14"/>
      <c r="B20" s="9" t="str">
        <f>+[33]XX!A8</f>
        <v>Caldas</v>
      </c>
      <c r="C20" s="21">
        <f>[33]XX!B8/1000000</f>
        <v>414.81187666999978</v>
      </c>
      <c r="D20" s="21">
        <f>[33]XX!E8/1000000</f>
        <v>338.01898815999954</v>
      </c>
      <c r="E20" s="22">
        <f t="shared" si="1"/>
        <v>-18.512702463216158</v>
      </c>
      <c r="F20" s="22">
        <f t="shared" si="2"/>
        <v>2.3362628544445374</v>
      </c>
      <c r="G20" s="22">
        <f>[33]XX!C8/1000000</f>
        <v>30.058616300000015</v>
      </c>
      <c r="H20" s="22">
        <f>[33]XX!F8/1000000</f>
        <v>29.462941490000023</v>
      </c>
      <c r="I20" s="22">
        <f t="shared" si="3"/>
        <v>-1.9817106817388352</v>
      </c>
      <c r="J20" s="22">
        <f t="shared" si="4"/>
        <v>2.1062671515501981</v>
      </c>
      <c r="K20" s="16"/>
    </row>
    <row r="21" spans="1:11">
      <c r="A21" s="14"/>
      <c r="B21" s="9" t="str">
        <f>+[33]XX!A9</f>
        <v>Magdalena</v>
      </c>
      <c r="C21" s="21">
        <f>[33]XX!B9/1000000</f>
        <v>347.77593194000059</v>
      </c>
      <c r="D21" s="21">
        <f>[33]XX!E9/1000000</f>
        <v>290.38416413999954</v>
      </c>
      <c r="E21" s="22">
        <f t="shared" si="1"/>
        <v>-16.502512833436235</v>
      </c>
      <c r="F21" s="22">
        <f t="shared" si="2"/>
        <v>2.0070284805363738</v>
      </c>
      <c r="G21" s="22">
        <f>[33]XX!C9/1000000</f>
        <v>28.160367520000015</v>
      </c>
      <c r="H21" s="22">
        <f>[33]XX!F9/1000000</f>
        <v>15.559385739999996</v>
      </c>
      <c r="I21" s="22">
        <f t="shared" si="3"/>
        <v>-44.747220614399183</v>
      </c>
      <c r="J21" s="22">
        <f t="shared" si="4"/>
        <v>1.1123201359098425</v>
      </c>
      <c r="K21" s="16"/>
    </row>
    <row r="22" spans="1:11">
      <c r="A22" s="14"/>
      <c r="B22" s="9" t="str">
        <f>+[33]XX!A10</f>
        <v>Cauca</v>
      </c>
      <c r="C22" s="21">
        <f>[33]XX!B10/1000000</f>
        <v>210.83992753000067</v>
      </c>
      <c r="D22" s="21">
        <f>[33]XX!E10/1000000</f>
        <v>199.97507649999912</v>
      </c>
      <c r="E22" s="22">
        <f t="shared" si="1"/>
        <v>-5.1531278526243955</v>
      </c>
      <c r="F22" s="22">
        <f t="shared" si="2"/>
        <v>1.3821541375081232</v>
      </c>
      <c r="G22" s="22">
        <f>[33]XX!C10/1000000</f>
        <v>30.482438099999982</v>
      </c>
      <c r="H22" s="22">
        <f>[33]XX!F10/1000000</f>
        <v>13.823159599999993</v>
      </c>
      <c r="I22" s="22">
        <f t="shared" si="3"/>
        <v>-54.652053898536415</v>
      </c>
      <c r="J22" s="22">
        <f t="shared" si="4"/>
        <v>0.98819960002967566</v>
      </c>
      <c r="K22" s="16"/>
    </row>
    <row r="23" spans="1:11">
      <c r="A23" s="14"/>
      <c r="B23" s="9" t="str">
        <f>+[33]XX!A11</f>
        <v>Risaralda</v>
      </c>
      <c r="C23" s="21">
        <f>[33]XX!B11/1000000</f>
        <v>196.00370859000046</v>
      </c>
      <c r="D23" s="21">
        <f>[33]XX!E11/1000000</f>
        <v>165.16340119999981</v>
      </c>
      <c r="E23" s="22">
        <f t="shared" si="1"/>
        <v>-15.734552989766248</v>
      </c>
      <c r="F23" s="22">
        <f t="shared" si="2"/>
        <v>1.1415486486061921</v>
      </c>
      <c r="G23" s="22">
        <f>[33]XX!C11/1000000</f>
        <v>22.518621810000013</v>
      </c>
      <c r="H23" s="22">
        <f>[33]XX!F11/1000000</f>
        <v>13.376645989999998</v>
      </c>
      <c r="I23" s="22">
        <f t="shared" si="3"/>
        <v>-40.597403771576587</v>
      </c>
      <c r="J23" s="22">
        <f t="shared" si="4"/>
        <v>0.95627892606091081</v>
      </c>
      <c r="K23" s="16"/>
    </row>
    <row r="24" spans="1:11">
      <c r="A24" s="14"/>
      <c r="B24" s="9" t="str">
        <f>+[33]XX!A12</f>
        <v>Santander</v>
      </c>
      <c r="C24" s="21">
        <f>[33]XX!B12/1000000</f>
        <v>449.61126463999904</v>
      </c>
      <c r="D24" s="21">
        <f>[33]XX!E12/1000000</f>
        <v>134.01926313000013</v>
      </c>
      <c r="E24" s="22">
        <f t="shared" si="1"/>
        <v>-70.192191862161522</v>
      </c>
      <c r="F24" s="22">
        <f t="shared" si="2"/>
        <v>0.92629182737639992</v>
      </c>
      <c r="G24" s="22">
        <f>[33]XX!C12/1000000</f>
        <v>15.059610040000006</v>
      </c>
      <c r="H24" s="22">
        <f>[33]XX!F12/1000000</f>
        <v>9.2253645599999938</v>
      </c>
      <c r="I24" s="22">
        <f t="shared" si="3"/>
        <v>-38.741012977783654</v>
      </c>
      <c r="J24" s="22">
        <f t="shared" si="4"/>
        <v>0.65950924623050311</v>
      </c>
      <c r="K24" s="16"/>
    </row>
    <row r="25" spans="1:11">
      <c r="A25" s="14"/>
      <c r="B25" s="9" t="str">
        <f>+[33]XX!A13</f>
        <v>Boyacá</v>
      </c>
      <c r="C25" s="21">
        <f>[33]XX!B13/1000000</f>
        <v>95.263532580000017</v>
      </c>
      <c r="D25" s="21">
        <f>[33]XX!E13/1000000</f>
        <v>114.96479584999999</v>
      </c>
      <c r="E25" s="22">
        <f t="shared" si="1"/>
        <v>20.680802754669347</v>
      </c>
      <c r="F25" s="22">
        <f t="shared" si="2"/>
        <v>0.79459436162213404</v>
      </c>
      <c r="G25" s="22">
        <f>[33]XX!C13/1000000</f>
        <v>14.63260111</v>
      </c>
      <c r="H25" s="22">
        <f>[33]XX!F13/1000000</f>
        <v>14.152376380000002</v>
      </c>
      <c r="I25" s="22">
        <f t="shared" si="3"/>
        <v>-3.2818821916207996</v>
      </c>
      <c r="J25" s="22">
        <f t="shared" si="4"/>
        <v>1.0117348770382018</v>
      </c>
      <c r="K25" s="16"/>
    </row>
    <row r="26" spans="1:11">
      <c r="A26" s="14"/>
      <c r="B26" s="9" t="str">
        <f>+[33]XX!A14</f>
        <v>Norte de Santander</v>
      </c>
      <c r="C26" s="21">
        <f>[33]XX!B14/1000000</f>
        <v>635.88611793000098</v>
      </c>
      <c r="D26" s="21">
        <f>[33]XX!E14/1000000</f>
        <v>100.86995015999982</v>
      </c>
      <c r="E26" s="22">
        <f t="shared" si="1"/>
        <v>-84.137104535579169</v>
      </c>
      <c r="F26" s="22">
        <f t="shared" si="2"/>
        <v>0.69717597514649554</v>
      </c>
      <c r="G26" s="22">
        <f>[33]XX!C14/1000000</f>
        <v>6.7638476000000045</v>
      </c>
      <c r="H26" s="22">
        <f>[33]XX!F14/1000000</f>
        <v>14.02126605000001</v>
      </c>
      <c r="I26" s="22">
        <f t="shared" si="3"/>
        <v>107.29719058128988</v>
      </c>
      <c r="J26" s="22">
        <f t="shared" si="4"/>
        <v>1.0023619710301028</v>
      </c>
      <c r="K26" s="16"/>
    </row>
    <row r="27" spans="1:11">
      <c r="A27" s="14"/>
      <c r="B27" s="9" t="str">
        <f>+[33]XX!A15</f>
        <v>Sucre</v>
      </c>
      <c r="C27" s="21">
        <f>[33]XX!B15/1000000</f>
        <v>86.602071860000024</v>
      </c>
      <c r="D27" s="21">
        <f>[33]XX!E15/1000000</f>
        <v>47.839451980000035</v>
      </c>
      <c r="E27" s="22">
        <f t="shared" si="1"/>
        <v>-44.759460192434219</v>
      </c>
      <c r="F27" s="22">
        <f t="shared" si="2"/>
        <v>0.33064868706415285</v>
      </c>
      <c r="G27" s="22">
        <f>[33]XX!C15/1000000</f>
        <v>6.4609547200000002</v>
      </c>
      <c r="H27" s="22">
        <f>[33]XX!F15/1000000</f>
        <v>3.4467888700000002</v>
      </c>
      <c r="I27" s="22">
        <f t="shared" si="3"/>
        <v>-46.6520194092925</v>
      </c>
      <c r="J27" s="22">
        <f t="shared" si="4"/>
        <v>0.24640642814546823</v>
      </c>
      <c r="K27" s="16"/>
    </row>
    <row r="28" spans="1:11">
      <c r="A28" s="14"/>
      <c r="B28" s="9" t="str">
        <f>+[33]XX!A16</f>
        <v>Córdoba</v>
      </c>
      <c r="C28" s="21">
        <f>[33]XX!B16/1000000</f>
        <v>85.13310950000006</v>
      </c>
      <c r="D28" s="21">
        <f>[33]XX!E16/1000000</f>
        <v>27.513508059999992</v>
      </c>
      <c r="E28" s="22">
        <f t="shared" si="1"/>
        <v>-67.68177713513451</v>
      </c>
      <c r="F28" s="22">
        <f t="shared" si="2"/>
        <v>0.190163242680356</v>
      </c>
      <c r="G28" s="22">
        <f>[33]XX!C16/1000000</f>
        <v>1.3332615499999998</v>
      </c>
      <c r="H28" s="22">
        <f>[33]XX!F16/1000000</f>
        <v>0.41475825999999999</v>
      </c>
      <c r="I28" s="22">
        <f t="shared" si="3"/>
        <v>-68.891455693745911</v>
      </c>
      <c r="J28" s="22">
        <f t="shared" si="4"/>
        <v>2.9650525531153122E-2</v>
      </c>
      <c r="K28" s="16"/>
    </row>
    <row r="29" spans="1:11">
      <c r="A29" s="14"/>
      <c r="B29" s="9" t="str">
        <f>+[33]XX!A17</f>
        <v>Tolima</v>
      </c>
      <c r="C29" s="21">
        <f>[33]XX!B17/1000000</f>
        <v>32.371544899999996</v>
      </c>
      <c r="D29" s="21">
        <f>[33]XX!E17/1000000</f>
        <v>23.543821009999995</v>
      </c>
      <c r="E29" s="22">
        <f t="shared" si="1"/>
        <v>-27.27001110781093</v>
      </c>
      <c r="F29" s="22">
        <f t="shared" si="2"/>
        <v>0.16272622664416042</v>
      </c>
      <c r="G29" s="22">
        <f>[33]XX!C17/1000000</f>
        <v>1.8003988499999999</v>
      </c>
      <c r="H29" s="22">
        <f>[33]XX!F17/1000000</f>
        <v>3.5684311399999999</v>
      </c>
      <c r="I29" s="22">
        <f t="shared" si="3"/>
        <v>98.202256127857453</v>
      </c>
      <c r="J29" s="22">
        <f t="shared" si="4"/>
        <v>0.25510247492776117</v>
      </c>
      <c r="K29" s="16"/>
    </row>
    <row r="30" spans="1:11">
      <c r="A30" s="14"/>
      <c r="B30" s="9" t="str">
        <f>+[33]XX!A18</f>
        <v>Quindío</v>
      </c>
      <c r="C30" s="21">
        <f>[33]XX!B18/1000000</f>
        <v>35.559416200000008</v>
      </c>
      <c r="D30" s="21">
        <f>[33]XX!E18/1000000</f>
        <v>15.47676492000001</v>
      </c>
      <c r="E30" s="22">
        <f t="shared" si="1"/>
        <v>-56.476324490389104</v>
      </c>
      <c r="F30" s="22">
        <f t="shared" si="2"/>
        <v>0.1069697036441373</v>
      </c>
      <c r="G30" s="22">
        <f>[33]XX!C18/1000000</f>
        <v>0.92214276000000028</v>
      </c>
      <c r="H30" s="22">
        <f>[33]XX!F18/1000000</f>
        <v>1.0466671599999999</v>
      </c>
      <c r="I30" s="22">
        <f t="shared" si="3"/>
        <v>13.503809323406667</v>
      </c>
      <c r="J30" s="22">
        <f t="shared" si="4"/>
        <v>7.4824866297296955E-2</v>
      </c>
      <c r="K30" s="16"/>
    </row>
    <row r="31" spans="1:11">
      <c r="A31" s="14"/>
      <c r="B31" s="9" t="str">
        <f>+[33]XX!A19</f>
        <v>Huila</v>
      </c>
      <c r="C31" s="21">
        <f>[33]XX!B19/1000000</f>
        <v>7.7171960099999994</v>
      </c>
      <c r="D31" s="21">
        <f>[33]XX!E19/1000000</f>
        <v>12.220039039999998</v>
      </c>
      <c r="E31" s="22">
        <f t="shared" si="1"/>
        <v>58.348174961024469</v>
      </c>
      <c r="F31" s="22">
        <f t="shared" si="2"/>
        <v>8.4460412843731889E-2</v>
      </c>
      <c r="G31" s="22">
        <f>[33]XX!C19/1000000</f>
        <v>0.95800458999999982</v>
      </c>
      <c r="H31" s="22">
        <f>[33]XX!F19/1000000</f>
        <v>0.37630687000000002</v>
      </c>
      <c r="I31" s="22">
        <f t="shared" si="3"/>
        <v>-60.719721603839069</v>
      </c>
      <c r="J31" s="22">
        <f t="shared" si="4"/>
        <v>2.6901685951916474E-2</v>
      </c>
      <c r="K31" s="16"/>
    </row>
    <row r="32" spans="1:11">
      <c r="A32" s="14"/>
      <c r="B32" s="9" t="str">
        <f>+[33]XX!A20</f>
        <v>Chocó</v>
      </c>
      <c r="C32" s="21">
        <f>[33]XX!B20/1000000</f>
        <v>14.283654379999996</v>
      </c>
      <c r="D32" s="21">
        <f>[33]XX!E20/1000000</f>
        <v>11.928364639999998</v>
      </c>
      <c r="E32" s="22">
        <f t="shared" si="1"/>
        <v>-16.489405843492545</v>
      </c>
      <c r="F32" s="22">
        <f t="shared" si="2"/>
        <v>8.2444466727740778E-2</v>
      </c>
      <c r="G32" s="22">
        <f>[33]XX!C20/1000000</f>
        <v>0.88754236000000009</v>
      </c>
      <c r="H32" s="22">
        <f>[33]XX!F20/1000000</f>
        <v>0.46268830000000005</v>
      </c>
      <c r="I32" s="22">
        <f t="shared" si="3"/>
        <v>-47.868595252174785</v>
      </c>
      <c r="J32" s="22">
        <f t="shared" si="4"/>
        <v>3.3076981401445354E-2</v>
      </c>
      <c r="K32" s="16"/>
    </row>
    <row r="33" spans="1:13">
      <c r="A33" s="14"/>
      <c r="B33" s="9" t="str">
        <f>+[33]XX!A21</f>
        <v>Cesar</v>
      </c>
      <c r="C33" s="21">
        <f>[33]XX!B21/1000000</f>
        <v>57.933583569999982</v>
      </c>
      <c r="D33" s="21">
        <f>[33]XX!E21/1000000</f>
        <v>9.9229082300000009</v>
      </c>
      <c r="E33" s="22">
        <f t="shared" si="1"/>
        <v>-82.871923988595753</v>
      </c>
      <c r="F33" s="22">
        <f t="shared" si="2"/>
        <v>6.8583490034109185E-2</v>
      </c>
      <c r="G33" s="22">
        <f>[33]XX!C21/1000000</f>
        <v>0.6393880500000001</v>
      </c>
      <c r="H33" s="22">
        <f>[33]XX!F21/1000000</f>
        <v>1.3502999999999999E-2</v>
      </c>
      <c r="I33" s="22">
        <f t="shared" si="3"/>
        <v>-97.888136945943856</v>
      </c>
      <c r="J33" s="22">
        <f t="shared" si="4"/>
        <v>9.6531180897316098E-4</v>
      </c>
      <c r="K33" s="16"/>
    </row>
    <row r="34" spans="1:13">
      <c r="A34" s="14"/>
      <c r="B34" s="9" t="str">
        <f>+[33]XX!A22</f>
        <v>Nariño</v>
      </c>
      <c r="C34" s="21">
        <f>[33]XX!B22/1000000</f>
        <v>17.447097980000017</v>
      </c>
      <c r="D34" s="21">
        <f>[33]XX!E22/1000000</f>
        <v>7.1585310599999961</v>
      </c>
      <c r="E34" s="22">
        <f t="shared" si="1"/>
        <v>-58.970075893389406</v>
      </c>
      <c r="F34" s="22">
        <f t="shared" si="2"/>
        <v>4.9477132331835608E-2</v>
      </c>
      <c r="G34" s="22">
        <f>[33]XX!C22/1000000</f>
        <v>3.2040282300000005</v>
      </c>
      <c r="H34" s="22">
        <f>[33]XX!F22/1000000</f>
        <v>0.4050416400000002</v>
      </c>
      <c r="I34" s="22">
        <f t="shared" si="3"/>
        <v>-87.358362320047348</v>
      </c>
      <c r="J34" s="22">
        <f t="shared" si="4"/>
        <v>2.8955897076046511E-2</v>
      </c>
      <c r="K34" s="16"/>
    </row>
    <row r="35" spans="1:13">
      <c r="A35" s="14"/>
      <c r="B35" s="9" t="str">
        <f>+[33]XX!A23</f>
        <v>Guajira</v>
      </c>
      <c r="C35" s="21">
        <f>[33]XX!B23/1000000</f>
        <v>11.596770779999998</v>
      </c>
      <c r="D35" s="21">
        <f>[33]XX!E23/1000000</f>
        <v>6.2489924299999995</v>
      </c>
      <c r="E35" s="22">
        <f t="shared" si="1"/>
        <v>-46.114374867380107</v>
      </c>
      <c r="F35" s="22">
        <f t="shared" si="2"/>
        <v>4.3190736033455045E-2</v>
      </c>
      <c r="G35" s="22">
        <f>[33]XX!C23/1000000</f>
        <v>0.64651428</v>
      </c>
      <c r="H35" s="22">
        <f>[33]XX!F23/1000000</f>
        <v>0.12296732</v>
      </c>
      <c r="I35" s="22">
        <f t="shared" si="3"/>
        <v>-80.979952987271986</v>
      </c>
      <c r="J35" s="22">
        <f t="shared" si="4"/>
        <v>8.7907728737155865E-3</v>
      </c>
      <c r="K35" s="16"/>
    </row>
    <row r="36" spans="1:13">
      <c r="A36" s="14"/>
      <c r="B36" s="9" t="str">
        <f>+[33]XX!A24</f>
        <v>San Andrés</v>
      </c>
      <c r="C36" s="21">
        <f>[33]XX!B24/1000000</f>
        <v>1.3154968899999999</v>
      </c>
      <c r="D36" s="21">
        <f>[33]XX!E24/1000000</f>
        <v>3.76790753</v>
      </c>
      <c r="E36" s="22">
        <f t="shared" si="1"/>
        <v>186.42466269912657</v>
      </c>
      <c r="F36" s="22">
        <f t="shared" si="2"/>
        <v>2.6042390249254567E-2</v>
      </c>
      <c r="G36" s="22">
        <f>[33]XX!C24/1000000</f>
        <v>0.36196800000000001</v>
      </c>
      <c r="H36" s="22">
        <f>[33]XX!F24/1000000</f>
        <v>0.52662589000000004</v>
      </c>
      <c r="I36" s="22">
        <f t="shared" si="3"/>
        <v>45.489626154798216</v>
      </c>
      <c r="J36" s="22">
        <f t="shared" si="4"/>
        <v>3.7647796084425755E-2</v>
      </c>
      <c r="K36" s="16"/>
    </row>
    <row r="37" spans="1:13">
      <c r="A37" s="14"/>
      <c r="B37" s="9" t="str">
        <f>+[33]XX!A25</f>
        <v>Meta</v>
      </c>
      <c r="C37" s="21">
        <f>[33]XX!B25/1000000</f>
        <v>3.9726172299999996</v>
      </c>
      <c r="D37" s="21">
        <f>[33]XX!E25/1000000</f>
        <v>1.0765475500000001</v>
      </c>
      <c r="E37" s="22">
        <f t="shared" si="1"/>
        <v>-72.900798449187604</v>
      </c>
      <c r="F37" s="22">
        <f t="shared" si="2"/>
        <v>7.4407004937774831E-3</v>
      </c>
      <c r="G37" s="22">
        <f>[33]XX!C25/1000000</f>
        <v>2.9999999999999997E-4</v>
      </c>
      <c r="H37" s="22">
        <f>[33]XX!F25/1000000</f>
        <v>0.11383739999999999</v>
      </c>
      <c r="I37" s="22">
        <f t="shared" si="3"/>
        <v>37845.800000000003</v>
      </c>
      <c r="J37" s="22">
        <f t="shared" si="4"/>
        <v>8.1380868342443378E-3</v>
      </c>
      <c r="K37" s="16"/>
    </row>
    <row r="38" spans="1:13">
      <c r="A38" s="14"/>
      <c r="B38" s="9" t="str">
        <f>+[33]XX!A26</f>
        <v>Casanare</v>
      </c>
      <c r="C38" s="21">
        <f>[33]XX!B26/1000000</f>
        <v>0.3069827</v>
      </c>
      <c r="D38" s="21">
        <f>[33]XX!E26/1000000</f>
        <v>0.22728670000000001</v>
      </c>
      <c r="E38" s="22">
        <f t="shared" si="1"/>
        <v>-25.961072073442569</v>
      </c>
      <c r="F38" s="22">
        <f t="shared" si="2"/>
        <v>1.5709220284037195E-3</v>
      </c>
      <c r="G38" s="22">
        <f>[33]XX!C26/1000000</f>
        <v>0</v>
      </c>
      <c r="H38" s="22">
        <f>[33]XX!F26/1000000</f>
        <v>0</v>
      </c>
      <c r="I38" s="22" t="str">
        <f t="shared" si="3"/>
        <v/>
      </c>
      <c r="J38" s="22">
        <f t="shared" si="4"/>
        <v>0</v>
      </c>
      <c r="K38" s="16"/>
    </row>
    <row r="39" spans="1:13">
      <c r="A39" s="14"/>
      <c r="B39" s="9" t="str">
        <f>+[33]XX!A27</f>
        <v>Aráuca</v>
      </c>
      <c r="C39" s="21">
        <f>[33]XX!B27/1000000</f>
        <v>1.1326247700000001</v>
      </c>
      <c r="D39" s="21">
        <f>[33]XX!E27/1000000</f>
        <v>0.15056399999999998</v>
      </c>
      <c r="E39" s="22">
        <f t="shared" si="1"/>
        <v>-86.706630122525041</v>
      </c>
      <c r="F39" s="22">
        <f t="shared" si="2"/>
        <v>1.040642960122953E-3</v>
      </c>
      <c r="G39" s="22">
        <f>[33]XX!C27/1000000</f>
        <v>2.8881770000000001E-2</v>
      </c>
      <c r="H39" s="22">
        <f>[33]XX!F27/1000000</f>
        <v>3.0266300000000002E-3</v>
      </c>
      <c r="I39" s="22">
        <f t="shared" si="3"/>
        <v>-89.520621485456047</v>
      </c>
      <c r="J39" s="22">
        <f t="shared" si="4"/>
        <v>2.163698200690542E-4</v>
      </c>
      <c r="K39" s="16"/>
    </row>
    <row r="40" spans="1:13">
      <c r="A40" s="14"/>
      <c r="B40" s="9" t="str">
        <f>+[33]XX!A28</f>
        <v>Putumayo</v>
      </c>
      <c r="C40" s="21">
        <f>[33]XX!B28/1000000</f>
        <v>0.12294019</v>
      </c>
      <c r="D40" s="21">
        <f>[33]XX!E28/1000000</f>
        <v>0.14697517999999998</v>
      </c>
      <c r="E40" s="22">
        <f t="shared" si="1"/>
        <v>19.550148734925486</v>
      </c>
      <c r="F40" s="22">
        <f t="shared" si="2"/>
        <v>1.0158383569764608E-3</v>
      </c>
      <c r="G40" s="22">
        <f>[33]XX!C28/1000000</f>
        <v>8.3502670000000001E-2</v>
      </c>
      <c r="H40" s="22">
        <f>[33]XX!F28/1000000</f>
        <v>0</v>
      </c>
      <c r="I40" s="22" t="str">
        <f t="shared" si="3"/>
        <v/>
      </c>
      <c r="J40" s="22">
        <f t="shared" si="4"/>
        <v>0</v>
      </c>
      <c r="K40" s="16"/>
    </row>
    <row r="41" spans="1:13">
      <c r="A41" s="14"/>
      <c r="B41" s="9" t="str">
        <f>+[33]XX!A29</f>
        <v>Amazonas</v>
      </c>
      <c r="C41" s="21">
        <f>[33]XX!B29/1000000</f>
        <v>2.3957880000000001E-2</v>
      </c>
      <c r="D41" s="21">
        <f>[33]XX!E29/1000000</f>
        <v>0.13346541000000001</v>
      </c>
      <c r="E41" s="22">
        <f t="shared" si="1"/>
        <v>457.08355664190651</v>
      </c>
      <c r="F41" s="22">
        <f t="shared" si="2"/>
        <v>9.2246379836098669E-4</v>
      </c>
      <c r="G41" s="22">
        <f>[33]XX!C29/1000000</f>
        <v>0</v>
      </c>
      <c r="H41" s="22">
        <f>[33]XX!F29/1000000</f>
        <v>0</v>
      </c>
      <c r="I41" s="22" t="str">
        <f t="shared" si="3"/>
        <v/>
      </c>
      <c r="J41" s="22">
        <f t="shared" si="4"/>
        <v>0</v>
      </c>
      <c r="K41" s="16"/>
    </row>
    <row r="42" spans="1:13">
      <c r="A42" s="14"/>
      <c r="B42" s="9" t="str">
        <f>+[33]XX!A30</f>
        <v>Vaupés</v>
      </c>
      <c r="C42" s="21">
        <f>[33]XX!B30/1000000</f>
        <v>0.20857673999999998</v>
      </c>
      <c r="D42" s="21">
        <f>[33]XX!E30/1000000</f>
        <v>0.10453128</v>
      </c>
      <c r="E42" s="22">
        <f t="shared" si="1"/>
        <v>-49.883539267130161</v>
      </c>
      <c r="F42" s="22">
        <f t="shared" si="2"/>
        <v>7.224817396232914E-4</v>
      </c>
      <c r="G42" s="22">
        <f>[33]XX!C30/1000000</f>
        <v>9.0997590000000003E-2</v>
      </c>
      <c r="H42" s="22">
        <f>[33]XX!F30/1000000</f>
        <v>8.8708080000000009E-2</v>
      </c>
      <c r="I42" s="22">
        <f t="shared" si="3"/>
        <v>-2.5160116877820604</v>
      </c>
      <c r="J42" s="22">
        <f t="shared" si="4"/>
        <v>6.3416246149252675E-3</v>
      </c>
      <c r="K42" s="16"/>
    </row>
    <row r="43" spans="1:13">
      <c r="A43" s="14"/>
      <c r="B43" s="9" t="str">
        <f>+[33]XX!A31</f>
        <v>Caquetá</v>
      </c>
      <c r="C43" s="21">
        <f>[33]XX!B31/1000000</f>
        <v>3.3848149999999994E-2</v>
      </c>
      <c r="D43" s="21">
        <f>[33]XX!E31/1000000</f>
        <v>6.1587209999999996E-2</v>
      </c>
      <c r="E43" s="22">
        <f t="shared" si="1"/>
        <v>81.95148036155598</v>
      </c>
      <c r="F43" s="22">
        <f t="shared" si="2"/>
        <v>4.2566813129376165E-4</v>
      </c>
      <c r="G43" s="22">
        <f>[33]XX!C31/1000000</f>
        <v>0</v>
      </c>
      <c r="H43" s="22">
        <f>[33]XX!F31/1000000</f>
        <v>0</v>
      </c>
      <c r="I43" s="22" t="str">
        <f t="shared" si="3"/>
        <v/>
      </c>
      <c r="J43" s="22">
        <f t="shared" si="4"/>
        <v>0</v>
      </c>
      <c r="K43" s="16"/>
    </row>
    <row r="44" spans="1:13">
      <c r="A44" s="14"/>
      <c r="B44" s="9" t="str">
        <f>+[33]XX!A32</f>
        <v>Guainía</v>
      </c>
      <c r="C44" s="21">
        <f>[33]XX!B32/1000000</f>
        <v>0.93030883000000009</v>
      </c>
      <c r="D44" s="21">
        <f>[33]XX!E32/1000000</f>
        <v>2.6104720000000001E-2</v>
      </c>
      <c r="E44" s="22">
        <f t="shared" si="1"/>
        <v>-97.193972672494141</v>
      </c>
      <c r="F44" s="22">
        <f t="shared" si="2"/>
        <v>1.8042621804668352E-4</v>
      </c>
      <c r="G44" s="22">
        <f>[33]XX!C32/1000000</f>
        <v>2.1136240000000001E-2</v>
      </c>
      <c r="H44" s="22">
        <f>[33]XX!F32/1000000</f>
        <v>0</v>
      </c>
      <c r="I44" s="22" t="str">
        <f t="shared" si="3"/>
        <v/>
      </c>
      <c r="J44" s="22">
        <f t="shared" si="4"/>
        <v>0</v>
      </c>
      <c r="K44" s="16"/>
    </row>
    <row r="45" spans="1:13">
      <c r="A45" s="14"/>
      <c r="B45" s="9" t="str">
        <f>+[33]XX!A33</f>
        <v>Vichada</v>
      </c>
      <c r="C45" s="21">
        <f>[33]XX!B33/1000000</f>
        <v>0</v>
      </c>
      <c r="D45" s="21">
        <f>[33]XX!E33/1000000</f>
        <v>1.301183E-2</v>
      </c>
      <c r="E45" s="22" t="str">
        <f t="shared" si="1"/>
        <v/>
      </c>
      <c r="F45" s="22">
        <f t="shared" si="2"/>
        <v>8.9932980578469245E-5</v>
      </c>
      <c r="G45" s="22">
        <f>[33]XX!C33/1000000</f>
        <v>0</v>
      </c>
      <c r="H45" s="22">
        <f>[33]XX!F33/1000000</f>
        <v>0</v>
      </c>
      <c r="I45" s="22" t="str">
        <f t="shared" si="3"/>
        <v/>
      </c>
      <c r="J45" s="22">
        <f t="shared" si="4"/>
        <v>0</v>
      </c>
      <c r="K45" s="16"/>
    </row>
    <row r="46" spans="1:13">
      <c r="A46" s="14"/>
      <c r="B46" s="9" t="str">
        <f>+[33]XX!A34</f>
        <v>Sin definir</v>
      </c>
      <c r="C46" s="21">
        <f>[33]XX!B34/1000000</f>
        <v>1.99866E-2</v>
      </c>
      <c r="D46" s="21">
        <f>[33]XX!E34/1000000</f>
        <v>4.9899999999999996E-3</v>
      </c>
      <c r="E46" s="22">
        <f t="shared" si="1"/>
        <v>-75.033272292435939</v>
      </c>
      <c r="F46" s="22">
        <f t="shared" si="2"/>
        <v>3.448904366922728E-5</v>
      </c>
      <c r="G46" s="22">
        <f>[33]XX!C34/1000000</f>
        <v>0</v>
      </c>
      <c r="H46" s="22">
        <f>[33]XX!F34/1000000</f>
        <v>0</v>
      </c>
      <c r="I46" s="22" t="str">
        <f t="shared" si="3"/>
        <v/>
      </c>
      <c r="J46" s="22">
        <f t="shared" si="4"/>
        <v>0</v>
      </c>
      <c r="K46" s="16"/>
    </row>
    <row r="47" spans="1:13">
      <c r="A47" s="14"/>
      <c r="B47" s="9" t="str">
        <f>+[33]XX!A35</f>
        <v>Guaviare</v>
      </c>
      <c r="C47" s="21">
        <f>[33]XX!B35/1000000</f>
        <v>3.7892000000000004E-4</v>
      </c>
      <c r="D47" s="21">
        <f>[33]XX!E35/1000000</f>
        <v>4.5744399999999999E-3</v>
      </c>
      <c r="E47" s="22">
        <f t="shared" si="1"/>
        <v>1107.2310778000633</v>
      </c>
      <c r="F47" s="22">
        <f t="shared" si="2"/>
        <v>3.1616845876204418E-5</v>
      </c>
      <c r="G47" s="22">
        <f>[33]XX!C35/1000000</f>
        <v>0</v>
      </c>
      <c r="H47" s="22">
        <f>[33]XX!F35/1000000</f>
        <v>0</v>
      </c>
      <c r="I47" s="22" t="str">
        <f t="shared" si="3"/>
        <v/>
      </c>
      <c r="J47" s="22">
        <f t="shared" si="4"/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tr">
        <f>IF(F48="","",1)</f>
        <v/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6.5703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3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61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f>SUM(C14:C44)</f>
        <v>18535.545670750005</v>
      </c>
      <c r="D13" s="99">
        <f>SUM(D14:D44)</f>
        <v>23702.423246359995</v>
      </c>
      <c r="E13" s="98">
        <f>IF(OR(OR(D13=0,C13=0),D13=""),"",(D13/C13-1)*100)</f>
        <v>27.875508320014418</v>
      </c>
      <c r="F13" s="98">
        <f>(D13/D$13)*100</f>
        <v>100</v>
      </c>
      <c r="G13" s="98">
        <f>SUM(G14:G44)</f>
        <v>1773.1787255800002</v>
      </c>
      <c r="H13" s="98">
        <f>SUM(H14:H44)</f>
        <v>2313.6660666500011</v>
      </c>
      <c r="I13" s="98">
        <f>IF(OR(OR(H13=0,G13=0),H13=""),"",(H13/G13-1)*100)</f>
        <v>30.481266962708986</v>
      </c>
      <c r="J13" s="98">
        <f>(H13/H$13)*100</f>
        <v>100</v>
      </c>
      <c r="K13" s="16"/>
    </row>
    <row r="14" spans="1:14">
      <c r="A14" s="14"/>
      <c r="B14" s="9" t="str">
        <f>+[34]XX!A2</f>
        <v>Sin definir</v>
      </c>
      <c r="C14" s="21">
        <f>[34]XX!B2/1000000</f>
        <v>8056.8136471399957</v>
      </c>
      <c r="D14" s="21">
        <f>[34]XX!E2/1000000</f>
        <v>9433.7794279400041</v>
      </c>
      <c r="E14" s="22">
        <f>IF(OR(OR(D14=0,C14=0),D14=""),"",(D14/C14-1)*100)</f>
        <v>17.090699141202094</v>
      </c>
      <c r="F14" s="22">
        <f>(D14/D$13)*100</f>
        <v>39.8009069785249</v>
      </c>
      <c r="G14" s="22">
        <f>[34]XX!C2/1000000</f>
        <v>964.59496567999997</v>
      </c>
      <c r="H14" s="22">
        <f>[34]XX!F2/1000000</f>
        <v>943.71380973000009</v>
      </c>
      <c r="I14" s="22">
        <f>IF(OR(OR(H14=0,G14=0),H14=""),"",(H14/G14-1)*100)</f>
        <v>-2.1647589602833528</v>
      </c>
      <c r="J14" s="22">
        <f>(H14/H$13)*100</f>
        <v>40.78867833751049</v>
      </c>
      <c r="K14" s="16"/>
    </row>
    <row r="15" spans="1:14">
      <c r="A15" s="14"/>
      <c r="B15" s="9" t="str">
        <f>+[34]XX!A3</f>
        <v>Cesar</v>
      </c>
      <c r="C15" s="21">
        <f>[34]XX!B3/1000000</f>
        <v>2445.2865385700029</v>
      </c>
      <c r="D15" s="21">
        <f>[34]XX!E3/1000000</f>
        <v>2806.8132560499971</v>
      </c>
      <c r="E15" s="22">
        <f t="shared" ref="E15:E44" si="0">IF(OR(OR(D15=0,C15=0),D15=""),"",(D15/C15-1)*100)</f>
        <v>14.784636147034691</v>
      </c>
      <c r="F15" s="22">
        <f t="shared" ref="F15:F44" si="1">(D15/D$13)*100</f>
        <v>11.841883114128605</v>
      </c>
      <c r="G15" s="22">
        <f>[34]XX!C3/1000000</f>
        <v>225.16268857000003</v>
      </c>
      <c r="H15" s="22">
        <f>[34]XX!F3/1000000</f>
        <v>155.43394388000002</v>
      </c>
      <c r="I15" s="22">
        <f t="shared" ref="I15:I44" si="2">IF(OR(OR(H15=0,G15=0),H15=""),"",(H15/G15-1)*100)</f>
        <v>-30.968161347177325</v>
      </c>
      <c r="J15" s="22">
        <f t="shared" ref="J15:J44" si="3">(H15/H$13)*100</f>
        <v>6.7180802848120447</v>
      </c>
      <c r="K15" s="16"/>
    </row>
    <row r="16" spans="1:14">
      <c r="A16" s="14"/>
      <c r="B16" s="9" t="str">
        <f>+[34]XX!A4</f>
        <v>Guajira</v>
      </c>
      <c r="C16" s="21">
        <f>[34]XX!B4/1000000</f>
        <v>2857.6616621100056</v>
      </c>
      <c r="D16" s="21">
        <f>[34]XX!E4/1000000</f>
        <v>2574.9977608200043</v>
      </c>
      <c r="E16" s="22">
        <f t="shared" si="0"/>
        <v>-9.8914404401986289</v>
      </c>
      <c r="F16" s="22">
        <f t="shared" si="1"/>
        <v>10.863858661436439</v>
      </c>
      <c r="G16" s="22">
        <f>[34]XX!C4/1000000</f>
        <v>198.90382613000003</v>
      </c>
      <c r="H16" s="22">
        <f>[34]XX!F4/1000000</f>
        <v>212.74905430999996</v>
      </c>
      <c r="I16" s="22">
        <f t="shared" si="2"/>
        <v>6.9607651342769694</v>
      </c>
      <c r="J16" s="22">
        <f t="shared" si="3"/>
        <v>9.1953224096009318</v>
      </c>
      <c r="K16" s="16"/>
    </row>
    <row r="17" spans="1:11">
      <c r="A17" s="14"/>
      <c r="B17" s="9" t="str">
        <f>+[34]XX!A5</f>
        <v>Meta</v>
      </c>
      <c r="C17" s="21">
        <f>[34]XX!B5/1000000</f>
        <v>3.5098948399999998</v>
      </c>
      <c r="D17" s="21">
        <f>[34]XX!E5/1000000</f>
        <v>1317.3340745100002</v>
      </c>
      <c r="E17" s="22">
        <f t="shared" si="0"/>
        <v>37432.009776965286</v>
      </c>
      <c r="F17" s="22">
        <f t="shared" si="1"/>
        <v>5.5578033554535589</v>
      </c>
      <c r="G17" s="22">
        <f>[34]XX!C5/1000000</f>
        <v>2.9999999999999997E-4</v>
      </c>
      <c r="H17" s="22">
        <f>[34]XX!F5/1000000</f>
        <v>177.23142215999999</v>
      </c>
      <c r="I17" s="22">
        <f t="shared" si="2"/>
        <v>59077040.719999999</v>
      </c>
      <c r="J17" s="22">
        <f t="shared" si="3"/>
        <v>7.6601988815359414</v>
      </c>
      <c r="K17" s="16"/>
    </row>
    <row r="18" spans="1:11">
      <c r="A18" s="14"/>
      <c r="B18" s="9" t="str">
        <f>+[34]XX!A6</f>
        <v>Casanare</v>
      </c>
      <c r="C18" s="21">
        <f>[34]XX!B6/1000000</f>
        <v>3.9200000000000004E-5</v>
      </c>
      <c r="D18" s="21">
        <f>[34]XX!E6/1000000</f>
        <v>1141.4193210000001</v>
      </c>
      <c r="E18" s="22">
        <f t="shared" si="0"/>
        <v>2911783882.1428571</v>
      </c>
      <c r="F18" s="22">
        <f t="shared" si="1"/>
        <v>4.8156228970187218</v>
      </c>
      <c r="G18" s="22">
        <f>[34]XX!C6/1000000</f>
        <v>0</v>
      </c>
      <c r="H18" s="22">
        <f>[34]XX!F6/1000000</f>
        <v>103.46012061</v>
      </c>
      <c r="I18" s="22" t="str">
        <f t="shared" si="2"/>
        <v/>
      </c>
      <c r="J18" s="22">
        <f t="shared" si="3"/>
        <v>4.4716963308279745</v>
      </c>
      <c r="K18" s="16"/>
    </row>
    <row r="19" spans="1:11">
      <c r="A19" s="14"/>
      <c r="B19" s="9" t="str">
        <f>+[34]XX!A7</f>
        <v>Antioquia</v>
      </c>
      <c r="C19" s="21">
        <f>[34]XX!B7/1000000</f>
        <v>1164.896016130002</v>
      </c>
      <c r="D19" s="21">
        <f>[34]XX!E7/1000000</f>
        <v>1128.3323533600028</v>
      </c>
      <c r="E19" s="22">
        <f t="shared" si="0"/>
        <v>-3.1387919834656386</v>
      </c>
      <c r="F19" s="22">
        <f t="shared" si="1"/>
        <v>4.7604092696863045</v>
      </c>
      <c r="G19" s="22">
        <f>[34]XX!C7/1000000</f>
        <v>91.659896680000045</v>
      </c>
      <c r="H19" s="22">
        <f>[34]XX!F7/1000000</f>
        <v>104.13066572000008</v>
      </c>
      <c r="I19" s="22">
        <f t="shared" si="2"/>
        <v>13.605480140936187</v>
      </c>
      <c r="J19" s="22">
        <f t="shared" si="3"/>
        <v>4.5006782621302284</v>
      </c>
      <c r="K19" s="16"/>
    </row>
    <row r="20" spans="1:11">
      <c r="A20" s="14"/>
      <c r="B20" s="9" t="str">
        <f>+[34]XX!A8</f>
        <v>Cundinamarca</v>
      </c>
      <c r="C20" s="21">
        <f>[34]XX!B8/1000000</f>
        <v>876.72689610999748</v>
      </c>
      <c r="D20" s="21">
        <f>[34]XX!E8/1000000</f>
        <v>885.51211346999185</v>
      </c>
      <c r="E20" s="22">
        <f t="shared" si="0"/>
        <v>1.0020472052327811</v>
      </c>
      <c r="F20" s="22">
        <f t="shared" si="1"/>
        <v>3.7359560424100553</v>
      </c>
      <c r="G20" s="22">
        <f>[34]XX!C8/1000000</f>
        <v>55.158431610000008</v>
      </c>
      <c r="H20" s="22">
        <f>[34]XX!F8/1000000</f>
        <v>73.788708990000174</v>
      </c>
      <c r="I20" s="22">
        <f t="shared" si="2"/>
        <v>33.775937488082185</v>
      </c>
      <c r="J20" s="22">
        <f t="shared" si="3"/>
        <v>3.1892549254888882</v>
      </c>
      <c r="K20" s="16"/>
    </row>
    <row r="21" spans="1:11">
      <c r="A21" s="14"/>
      <c r="B21" s="9" t="str">
        <f>+[34]XX!A9</f>
        <v>Aráuca</v>
      </c>
      <c r="C21" s="21">
        <f>[34]XX!B9/1000000</f>
        <v>0.73294443999999992</v>
      </c>
      <c r="D21" s="21">
        <f>[34]XX!E9/1000000</f>
        <v>795.00981222000019</v>
      </c>
      <c r="E21" s="22">
        <f t="shared" si="0"/>
        <v>108367.95047930241</v>
      </c>
      <c r="F21" s="22">
        <f t="shared" si="1"/>
        <v>3.3541288329752978</v>
      </c>
      <c r="G21" s="22">
        <f>[34]XX!C9/1000000</f>
        <v>0</v>
      </c>
      <c r="H21" s="22">
        <f>[34]XX!F9/1000000</f>
        <v>67.862041219999995</v>
      </c>
      <c r="I21" s="22" t="str">
        <f t="shared" si="2"/>
        <v/>
      </c>
      <c r="J21" s="22">
        <f t="shared" si="3"/>
        <v>2.9330957564787501</v>
      </c>
      <c r="K21" s="16"/>
    </row>
    <row r="22" spans="1:11">
      <c r="A22" s="14"/>
      <c r="B22" s="9" t="str">
        <f>+[34]XX!A10</f>
        <v>Huila</v>
      </c>
      <c r="C22" s="21">
        <f>[34]XX!B10/1000000</f>
        <v>300.46680574999965</v>
      </c>
      <c r="D22" s="21">
        <f>[34]XX!E10/1000000</f>
        <v>738.07483050000224</v>
      </c>
      <c r="E22" s="22">
        <f t="shared" si="0"/>
        <v>145.64271872151826</v>
      </c>
      <c r="F22" s="22">
        <f t="shared" si="1"/>
        <v>3.1139214030082312</v>
      </c>
      <c r="G22" s="22">
        <f>[34]XX!C10/1000000</f>
        <v>34.201274229999989</v>
      </c>
      <c r="H22" s="22">
        <f>[34]XX!F10/1000000</f>
        <v>122.79108897</v>
      </c>
      <c r="I22" s="22">
        <f t="shared" si="2"/>
        <v>259.02489522537314</v>
      </c>
      <c r="J22" s="22">
        <f t="shared" si="3"/>
        <v>5.307208794732917</v>
      </c>
      <c r="K22" s="16"/>
    </row>
    <row r="23" spans="1:11">
      <c r="A23" s="14"/>
      <c r="B23" s="10" t="str">
        <f>+[34]XX!A11</f>
        <v>Bogotá</v>
      </c>
      <c r="C23" s="23">
        <f>[34]XX!B11/1000000</f>
        <v>438.52329829000013</v>
      </c>
      <c r="D23" s="23">
        <f>[34]XX!E11/1000000</f>
        <v>664.17796263999253</v>
      </c>
      <c r="E23" s="25">
        <f t="shared" si="0"/>
        <v>51.457850752724333</v>
      </c>
      <c r="F23" s="25">
        <f t="shared" si="1"/>
        <v>2.8021521501688271</v>
      </c>
      <c r="G23" s="25">
        <f>[34]XX!C11/1000000</f>
        <v>44.622080470000014</v>
      </c>
      <c r="H23" s="25">
        <f>[34]XX!F11/1000000</f>
        <v>106.15144891000007</v>
      </c>
      <c r="I23" s="25">
        <f t="shared" si="2"/>
        <v>137.88995894390675</v>
      </c>
      <c r="J23" s="25">
        <f t="shared" si="3"/>
        <v>4.5880194398018155</v>
      </c>
      <c r="K23" s="16"/>
    </row>
    <row r="24" spans="1:11">
      <c r="A24" s="14"/>
      <c r="B24" s="9" t="str">
        <f>+[34]XX!A12</f>
        <v>Risaralda</v>
      </c>
      <c r="C24" s="21">
        <f>[34]XX!B12/1000000</f>
        <v>295.31928807000077</v>
      </c>
      <c r="D24" s="21">
        <f>[34]XX!E12/1000000</f>
        <v>407.88806851000072</v>
      </c>
      <c r="E24" s="22">
        <f t="shared" si="0"/>
        <v>38.117652651701263</v>
      </c>
      <c r="F24" s="22">
        <f t="shared" si="1"/>
        <v>1.7208707492498281</v>
      </c>
      <c r="G24" s="22">
        <f>[34]XX!C12/1000000</f>
        <v>26.812271979999988</v>
      </c>
      <c r="H24" s="22">
        <f>[34]XX!F12/1000000</f>
        <v>59.347322460000044</v>
      </c>
      <c r="I24" s="22">
        <f t="shared" si="2"/>
        <v>121.34387755080525</v>
      </c>
      <c r="J24" s="22">
        <f t="shared" si="3"/>
        <v>2.5650772734861476</v>
      </c>
      <c r="K24" s="16"/>
    </row>
    <row r="25" spans="1:11">
      <c r="A25" s="14"/>
      <c r="B25" s="9" t="str">
        <f>+[34]XX!A13</f>
        <v>Caldas</v>
      </c>
      <c r="C25" s="21">
        <f>[34]XX!B13/1000000</f>
        <v>324.08765760000006</v>
      </c>
      <c r="D25" s="21">
        <f>[34]XX!E13/1000000</f>
        <v>401.49759272999995</v>
      </c>
      <c r="E25" s="22">
        <f t="shared" si="0"/>
        <v>23.88549311110819</v>
      </c>
      <c r="F25" s="22">
        <f t="shared" si="1"/>
        <v>1.6939094731238433</v>
      </c>
      <c r="G25" s="22">
        <f>[34]XX!C13/1000000</f>
        <v>28.995000739999995</v>
      </c>
      <c r="H25" s="22">
        <f>[34]XX!F13/1000000</f>
        <v>45.011631810000019</v>
      </c>
      <c r="I25" s="22">
        <f t="shared" si="2"/>
        <v>55.239284915431355</v>
      </c>
      <c r="J25" s="22">
        <f t="shared" si="3"/>
        <v>1.9454679505747852</v>
      </c>
      <c r="K25" s="16"/>
    </row>
    <row r="26" spans="1:11">
      <c r="A26" s="14"/>
      <c r="B26" s="9" t="str">
        <f>+[34]XX!A14</f>
        <v>Magdalena</v>
      </c>
      <c r="C26" s="21">
        <f>[34]XX!B14/1000000</f>
        <v>230.98409127000014</v>
      </c>
      <c r="D26" s="21">
        <f>[34]XX!E14/1000000</f>
        <v>280.79036032000005</v>
      </c>
      <c r="E26" s="22">
        <f t="shared" si="0"/>
        <v>21.562640429544011</v>
      </c>
      <c r="F26" s="22">
        <f t="shared" si="1"/>
        <v>1.1846483264664567</v>
      </c>
      <c r="G26" s="22">
        <f>[34]XX!C14/1000000</f>
        <v>18.502866490000002</v>
      </c>
      <c r="H26" s="22">
        <f>[34]XX!F14/1000000</f>
        <v>16.341480119999996</v>
      </c>
      <c r="I26" s="22">
        <f t="shared" si="2"/>
        <v>-11.681359594569528</v>
      </c>
      <c r="J26" s="22">
        <f t="shared" si="3"/>
        <v>0.70630245027801786</v>
      </c>
      <c r="K26" s="16"/>
    </row>
    <row r="27" spans="1:11">
      <c r="A27" s="14"/>
      <c r="B27" s="9" t="str">
        <f>+[34]XX!A15</f>
        <v>Tolima</v>
      </c>
      <c r="C27" s="21">
        <f>[34]XX!B15/1000000</f>
        <v>106.98300524999993</v>
      </c>
      <c r="D27" s="21">
        <f>[34]XX!E15/1000000</f>
        <v>272.16625569000001</v>
      </c>
      <c r="E27" s="22">
        <f t="shared" si="0"/>
        <v>154.4013930567726</v>
      </c>
      <c r="F27" s="22">
        <f t="shared" si="1"/>
        <v>1.1482634195716543</v>
      </c>
      <c r="G27" s="22">
        <f>[34]XX!C15/1000000</f>
        <v>3.5682792900000004</v>
      </c>
      <c r="H27" s="22">
        <f>[34]XX!F15/1000000</f>
        <v>28.000781879999998</v>
      </c>
      <c r="I27" s="22">
        <f t="shared" si="2"/>
        <v>684.71385237336608</v>
      </c>
      <c r="J27" s="22">
        <f t="shared" si="3"/>
        <v>1.2102343671635742</v>
      </c>
      <c r="K27" s="16"/>
    </row>
    <row r="28" spans="1:11">
      <c r="A28" s="14"/>
      <c r="B28" s="9" t="str">
        <f>+[34]XX!A16</f>
        <v>Valle del Cauca</v>
      </c>
      <c r="C28" s="21">
        <f>[34]XX!B16/1000000</f>
        <v>133.72898942999979</v>
      </c>
      <c r="D28" s="21">
        <f>[34]XX!E16/1000000</f>
        <v>147.03620787000003</v>
      </c>
      <c r="E28" s="22">
        <f t="shared" si="0"/>
        <v>9.9508853665314589</v>
      </c>
      <c r="F28" s="22">
        <f t="shared" si="1"/>
        <v>0.62034251241623795</v>
      </c>
      <c r="G28" s="22">
        <f>[34]XX!C16/1000000</f>
        <v>15.028204029999996</v>
      </c>
      <c r="H28" s="22">
        <f>[34]XX!F16/1000000</f>
        <v>18.213949870000004</v>
      </c>
      <c r="I28" s="22">
        <f t="shared" si="2"/>
        <v>21.198446824653661</v>
      </c>
      <c r="J28" s="22">
        <f t="shared" si="3"/>
        <v>0.78723330616039633</v>
      </c>
      <c r="K28" s="16"/>
    </row>
    <row r="29" spans="1:11">
      <c r="A29" s="14"/>
      <c r="B29" s="9" t="str">
        <f>+[34]XX!A17</f>
        <v>Bolívar</v>
      </c>
      <c r="C29" s="21">
        <f>[34]XX!B17/1000000</f>
        <v>155.38003569999987</v>
      </c>
      <c r="D29" s="21">
        <f>[34]XX!E17/1000000</f>
        <v>135.08788749000007</v>
      </c>
      <c r="E29" s="22">
        <f t="shared" si="0"/>
        <v>-13.059688214500653</v>
      </c>
      <c r="F29" s="22">
        <f t="shared" si="1"/>
        <v>0.56993281271671514</v>
      </c>
      <c r="G29" s="22">
        <f>[34]XX!C17/1000000</f>
        <v>21.811404400000015</v>
      </c>
      <c r="H29" s="22">
        <f>[34]XX!F17/1000000</f>
        <v>11.23086805</v>
      </c>
      <c r="I29" s="22">
        <f t="shared" si="2"/>
        <v>-48.509193429103568</v>
      </c>
      <c r="J29" s="22">
        <f t="shared" si="3"/>
        <v>0.4854143911209009</v>
      </c>
      <c r="K29" s="16"/>
    </row>
    <row r="30" spans="1:11">
      <c r="A30" s="14"/>
      <c r="B30" s="9" t="str">
        <f>+[34]XX!A18</f>
        <v>Nte de Santander</v>
      </c>
      <c r="C30" s="21">
        <f>[34]XX!B18/1000000</f>
        <v>257.08360132000018</v>
      </c>
      <c r="D30" s="21">
        <f>[34]XX!E18/1000000</f>
        <v>122.29591888000016</v>
      </c>
      <c r="E30" s="22">
        <f t="shared" si="0"/>
        <v>-52.429513881060608</v>
      </c>
      <c r="F30" s="22">
        <f t="shared" si="1"/>
        <v>0.51596377977421048</v>
      </c>
      <c r="G30" s="22">
        <f>[34]XX!C18/1000000</f>
        <v>6.952361790000003</v>
      </c>
      <c r="H30" s="22">
        <f>[34]XX!F18/1000000</f>
        <v>11.984143610000004</v>
      </c>
      <c r="I30" s="22">
        <f t="shared" si="2"/>
        <v>72.375143469051224</v>
      </c>
      <c r="J30" s="22">
        <f t="shared" si="3"/>
        <v>0.5179720523520519</v>
      </c>
      <c r="K30" s="16"/>
    </row>
    <row r="31" spans="1:11">
      <c r="A31" s="14"/>
      <c r="B31" s="9" t="str">
        <f>+[34]XX!A19</f>
        <v>Cauca</v>
      </c>
      <c r="C31" s="21">
        <f>[34]XX!B19/1000000</f>
        <v>64.077619729999995</v>
      </c>
      <c r="D31" s="21">
        <f>[34]XX!E19/1000000</f>
        <v>106.42541343999993</v>
      </c>
      <c r="E31" s="22">
        <f t="shared" si="0"/>
        <v>66.08827526434078</v>
      </c>
      <c r="F31" s="22">
        <f t="shared" si="1"/>
        <v>0.44900646796248478</v>
      </c>
      <c r="G31" s="22">
        <f>[34]XX!C19/1000000</f>
        <v>6.9180145199999998</v>
      </c>
      <c r="H31" s="22">
        <f>[34]XX!F19/1000000</f>
        <v>11.292773269999996</v>
      </c>
      <c r="I31" s="22">
        <f t="shared" si="2"/>
        <v>63.23720104016197</v>
      </c>
      <c r="J31" s="22">
        <f t="shared" si="3"/>
        <v>0.48809002443256672</v>
      </c>
      <c r="K31" s="16"/>
    </row>
    <row r="32" spans="1:11">
      <c r="A32" s="14"/>
      <c r="B32" s="9" t="str">
        <f>+[34]XX!A20</f>
        <v>Quindío</v>
      </c>
      <c r="C32" s="21">
        <f>[34]XX!B20/1000000</f>
        <v>127.39106706999995</v>
      </c>
      <c r="D32" s="21">
        <f>[34]XX!E20/1000000</f>
        <v>104.65207672999993</v>
      </c>
      <c r="E32" s="22">
        <f t="shared" si="0"/>
        <v>-17.849752626300862</v>
      </c>
      <c r="F32" s="22">
        <f t="shared" si="1"/>
        <v>0.441524799562726</v>
      </c>
      <c r="G32" s="22">
        <f>[34]XX!C20/1000000</f>
        <v>11.350895079999999</v>
      </c>
      <c r="H32" s="22">
        <f>[34]XX!F20/1000000</f>
        <v>17.18652144</v>
      </c>
      <c r="I32" s="22">
        <f t="shared" si="2"/>
        <v>51.411155850451237</v>
      </c>
      <c r="J32" s="22">
        <f t="shared" si="3"/>
        <v>0.74282636062881258</v>
      </c>
      <c r="K32" s="16"/>
    </row>
    <row r="33" spans="1:13">
      <c r="A33" s="14"/>
      <c r="B33" s="9" t="str">
        <f>+[34]XX!A21</f>
        <v>Santander</v>
      </c>
      <c r="C33" s="21">
        <f>[34]XX!B21/1000000</f>
        <v>353.4508301100006</v>
      </c>
      <c r="D33" s="21">
        <f>[34]XX!E21/1000000</f>
        <v>79.259386140000004</v>
      </c>
      <c r="E33" s="22">
        <f t="shared" si="0"/>
        <v>-77.575555243332445</v>
      </c>
      <c r="F33" s="22">
        <f t="shared" si="1"/>
        <v>0.33439359898432303</v>
      </c>
      <c r="G33" s="22">
        <f>[34]XX!C21/1000000</f>
        <v>6.2880485500000018</v>
      </c>
      <c r="H33" s="22">
        <f>[34]XX!F21/1000000</f>
        <v>11.237141040000003</v>
      </c>
      <c r="I33" s="22">
        <f t="shared" si="2"/>
        <v>78.706333938849738</v>
      </c>
      <c r="J33" s="22">
        <f t="shared" si="3"/>
        <v>0.48568551883852717</v>
      </c>
      <c r="K33" s="16"/>
    </row>
    <row r="34" spans="1:13">
      <c r="A34" s="14"/>
      <c r="B34" s="9" t="str">
        <f>+[34]XX!A22</f>
        <v>Nariño</v>
      </c>
      <c r="C34" s="21">
        <f>[34]XX!B22/1000000</f>
        <v>42.200189899999984</v>
      </c>
      <c r="D34" s="21">
        <f>[34]XX!E22/1000000</f>
        <v>47.188164530000002</v>
      </c>
      <c r="E34" s="22">
        <f t="shared" si="0"/>
        <v>11.819791905723198</v>
      </c>
      <c r="F34" s="22">
        <f t="shared" si="1"/>
        <v>0.19908582358661042</v>
      </c>
      <c r="G34" s="22">
        <f>[34]XX!C22/1000000</f>
        <v>2.4136414199999998</v>
      </c>
      <c r="H34" s="22">
        <f>[34]XX!F22/1000000</f>
        <v>10.218232419999998</v>
      </c>
      <c r="I34" s="22">
        <f t="shared" si="2"/>
        <v>323.35337533277828</v>
      </c>
      <c r="J34" s="22">
        <f t="shared" si="3"/>
        <v>0.4416468118407062</v>
      </c>
      <c r="K34" s="16"/>
    </row>
    <row r="35" spans="1:13">
      <c r="A35" s="14"/>
      <c r="B35" s="9" t="str">
        <f>+[34]XX!A23</f>
        <v>Sucre</v>
      </c>
      <c r="C35" s="21">
        <f>[34]XX!B23/1000000</f>
        <v>63.364993640000016</v>
      </c>
      <c r="D35" s="21">
        <f>[34]XX!E23/1000000</f>
        <v>33.379755320000001</v>
      </c>
      <c r="E35" s="22">
        <f t="shared" si="0"/>
        <v>-47.321457160332493</v>
      </c>
      <c r="F35" s="22">
        <f t="shared" si="1"/>
        <v>0.14082845020973189</v>
      </c>
      <c r="G35" s="22">
        <f>[34]XX!C23/1000000</f>
        <v>4.5364752599999996</v>
      </c>
      <c r="H35" s="22">
        <f>[34]XX!F23/1000000</f>
        <v>1.2316047400000001</v>
      </c>
      <c r="I35" s="22">
        <f t="shared" si="2"/>
        <v>-72.851064550939483</v>
      </c>
      <c r="J35" s="22">
        <f t="shared" si="3"/>
        <v>5.3231741509839524E-2</v>
      </c>
      <c r="K35" s="16"/>
    </row>
    <row r="36" spans="1:13">
      <c r="A36" s="14"/>
      <c r="B36" s="9" t="str">
        <f>+[34]XX!A24</f>
        <v>Atlántico</v>
      </c>
      <c r="C36" s="21">
        <f>[34]XX!B24/1000000</f>
        <v>104.87046508999994</v>
      </c>
      <c r="D36" s="21">
        <f>[34]XX!E24/1000000</f>
        <v>32.012079829999955</v>
      </c>
      <c r="E36" s="22">
        <f t="shared" si="0"/>
        <v>-69.474646839291538</v>
      </c>
      <c r="F36" s="22">
        <f t="shared" si="1"/>
        <v>0.13505825753455855</v>
      </c>
      <c r="G36" s="22">
        <f>[34]XX!C24/1000000</f>
        <v>3.1981256599999988</v>
      </c>
      <c r="H36" s="22">
        <f>[34]XX!F24/1000000</f>
        <v>3.2020044900000002</v>
      </c>
      <c r="I36" s="22">
        <f t="shared" si="2"/>
        <v>0.12128447760872962</v>
      </c>
      <c r="J36" s="22">
        <f t="shared" si="3"/>
        <v>0.13839527389690426</v>
      </c>
      <c r="K36" s="16"/>
    </row>
    <row r="37" spans="1:13">
      <c r="A37" s="14"/>
      <c r="B37" s="9" t="str">
        <f>+[34]XX!A25</f>
        <v>Boyacá</v>
      </c>
      <c r="C37" s="21">
        <f>[34]XX!B25/1000000</f>
        <v>55.273723300000015</v>
      </c>
      <c r="D37" s="21">
        <f>[34]XX!E25/1000000</f>
        <v>24.567599229999999</v>
      </c>
      <c r="E37" s="22">
        <f t="shared" si="0"/>
        <v>-55.552841814801369</v>
      </c>
      <c r="F37" s="22">
        <f t="shared" si="1"/>
        <v>0.10365015835995955</v>
      </c>
      <c r="G37" s="22">
        <f>[34]XX!C25/1000000</f>
        <v>2.0643120000000001</v>
      </c>
      <c r="H37" s="22">
        <f>[34]XX!F25/1000000</f>
        <v>0</v>
      </c>
      <c r="I37" s="22" t="str">
        <f t="shared" si="2"/>
        <v/>
      </c>
      <c r="J37" s="22">
        <f t="shared" si="3"/>
        <v>0</v>
      </c>
      <c r="K37" s="16"/>
    </row>
    <row r="38" spans="1:13">
      <c r="A38" s="14"/>
      <c r="B38" s="9" t="str">
        <f>+[34]XX!A26</f>
        <v>Córdoba</v>
      </c>
      <c r="C38" s="21">
        <f>[34]XX!B26/1000000</f>
        <v>64.964788080000005</v>
      </c>
      <c r="D38" s="21">
        <f>[34]XX!E26/1000000</f>
        <v>11.709551790000003</v>
      </c>
      <c r="E38" s="22">
        <f t="shared" si="0"/>
        <v>-81.975540695090956</v>
      </c>
      <c r="F38" s="22">
        <f t="shared" si="1"/>
        <v>4.9402340293616391E-2</v>
      </c>
      <c r="G38" s="22">
        <f>[34]XX!C26/1000000</f>
        <v>7.5393000000000002E-2</v>
      </c>
      <c r="H38" s="22">
        <f>[34]XX!F26/1000000</f>
        <v>8.4473060000000003E-2</v>
      </c>
      <c r="I38" s="22">
        <f t="shared" si="2"/>
        <v>12.043638003528191</v>
      </c>
      <c r="J38" s="22">
        <f t="shared" si="3"/>
        <v>3.6510480582148176E-3</v>
      </c>
      <c r="K38" s="16"/>
    </row>
    <row r="39" spans="1:13">
      <c r="A39" s="14"/>
      <c r="B39" s="9" t="str">
        <f>+[34]XX!A27</f>
        <v>Chocó</v>
      </c>
      <c r="C39" s="21">
        <f>[34]XX!B27/1000000</f>
        <v>9.6182120399999995</v>
      </c>
      <c r="D39" s="21">
        <f>[34]XX!E27/1000000</f>
        <v>5.9971611099999995</v>
      </c>
      <c r="E39" s="22">
        <f t="shared" si="0"/>
        <v>-37.647859237671788</v>
      </c>
      <c r="F39" s="22">
        <f t="shared" si="1"/>
        <v>2.5301890223063964E-2</v>
      </c>
      <c r="G39" s="22">
        <f>[34]XX!C27/1000000</f>
        <v>0</v>
      </c>
      <c r="H39" s="22">
        <f>[34]XX!F27/1000000</f>
        <v>0</v>
      </c>
      <c r="I39" s="22" t="str">
        <f t="shared" si="2"/>
        <v/>
      </c>
      <c r="J39" s="22">
        <f t="shared" si="3"/>
        <v>0</v>
      </c>
      <c r="K39" s="16"/>
    </row>
    <row r="40" spans="1:13">
      <c r="A40" s="14"/>
      <c r="B40" s="9" t="str">
        <f>+[34]XX!A28</f>
        <v>San Andrés</v>
      </c>
      <c r="C40" s="21">
        <f>[34]XX!B28/1000000</f>
        <v>1.3341231099999999</v>
      </c>
      <c r="D40" s="21">
        <f>[34]XX!E28/1000000</f>
        <v>3.5399058999999999</v>
      </c>
      <c r="E40" s="22">
        <f t="shared" si="0"/>
        <v>165.33577549676056</v>
      </c>
      <c r="F40" s="22">
        <f t="shared" si="1"/>
        <v>1.4934784782157779E-2</v>
      </c>
      <c r="G40" s="22">
        <f>[34]XX!C28/1000000</f>
        <v>0.35996800000000001</v>
      </c>
      <c r="H40" s="22">
        <f>[34]XX!F28/1000000</f>
        <v>0.52662589000000004</v>
      </c>
      <c r="I40" s="22">
        <f t="shared" si="2"/>
        <v>46.297973708774109</v>
      </c>
      <c r="J40" s="22">
        <f t="shared" si="3"/>
        <v>2.2761534068851657E-2</v>
      </c>
      <c r="K40" s="16"/>
    </row>
    <row r="41" spans="1:13">
      <c r="A41" s="14"/>
      <c r="B41" s="9" t="str">
        <f>+[34]XX!A29</f>
        <v>Putumayo</v>
      </c>
      <c r="C41" s="21">
        <f>[34]XX!B29/1000000</f>
        <v>2.749068E-2</v>
      </c>
      <c r="D41" s="21">
        <f>[34]XX!E29/1000000</f>
        <v>1.33805945</v>
      </c>
      <c r="E41" s="22">
        <f t="shared" si="0"/>
        <v>4767.3203063729243</v>
      </c>
      <c r="F41" s="22">
        <f t="shared" si="1"/>
        <v>5.6452432567437481E-3</v>
      </c>
      <c r="G41" s="22">
        <f>[34]XX!C29/1000000</f>
        <v>0</v>
      </c>
      <c r="H41" s="22">
        <f>[34]XX!F29/1000000</f>
        <v>1.244208</v>
      </c>
      <c r="I41" s="22" t="str">
        <f t="shared" si="2"/>
        <v/>
      </c>
      <c r="J41" s="22">
        <f t="shared" si="3"/>
        <v>5.3776472669693057E-2</v>
      </c>
      <c r="K41" s="16"/>
    </row>
    <row r="42" spans="1:13">
      <c r="A42" s="14"/>
      <c r="B42" s="9" t="str">
        <f>+[34]XX!A30</f>
        <v>Guainía</v>
      </c>
      <c r="C42" s="21">
        <f>[34]XX!B30/1000000</f>
        <v>0.78632078000000005</v>
      </c>
      <c r="D42" s="21">
        <f>[34]XX!E30/1000000</f>
        <v>9.019321000000001E-2</v>
      </c>
      <c r="E42" s="22">
        <f t="shared" si="0"/>
        <v>-88.529718113261609</v>
      </c>
      <c r="F42" s="22">
        <f t="shared" si="1"/>
        <v>3.8052316028004045E-4</v>
      </c>
      <c r="G42" s="22">
        <f>[34]XX!C30/1000000</f>
        <v>0</v>
      </c>
      <c r="H42" s="22">
        <f>[34]XX!F30/1000000</f>
        <v>0</v>
      </c>
      <c r="I42" s="22" t="str">
        <f t="shared" si="2"/>
        <v/>
      </c>
      <c r="J42" s="22">
        <f t="shared" si="3"/>
        <v>0</v>
      </c>
      <c r="K42" s="16"/>
    </row>
    <row r="43" spans="1:13">
      <c r="A43" s="14"/>
      <c r="B43" s="9" t="str">
        <f>+[34]XX!A31</f>
        <v>Amazonas</v>
      </c>
      <c r="C43" s="21">
        <f>[34]XX!B31/1000000</f>
        <v>0</v>
      </c>
      <c r="D43" s="21">
        <f>[34]XX!E31/1000000</f>
        <v>4.305718E-2</v>
      </c>
      <c r="E43" s="22" t="str">
        <f t="shared" si="0"/>
        <v/>
      </c>
      <c r="F43" s="22">
        <f t="shared" si="1"/>
        <v>1.8165729112365055E-4</v>
      </c>
      <c r="G43" s="22">
        <f>[34]XX!C31/1000000</f>
        <v>0</v>
      </c>
      <c r="H43" s="22">
        <f>[34]XX!F31/1000000</f>
        <v>0</v>
      </c>
      <c r="I43" s="22" t="str">
        <f t="shared" si="2"/>
        <v/>
      </c>
      <c r="J43" s="22">
        <f t="shared" si="3"/>
        <v>0</v>
      </c>
      <c r="K43" s="16"/>
    </row>
    <row r="44" spans="1:13">
      <c r="A44" s="14"/>
      <c r="B44" s="9" t="str">
        <f>+[34]XX!A32</f>
        <v>Caquetá</v>
      </c>
      <c r="C44" s="21">
        <f>[34]XX!B32/1000000</f>
        <v>1.436E-3</v>
      </c>
      <c r="D44" s="21">
        <f>[34]XX!E32/1000000</f>
        <v>7.6385000000000003E-3</v>
      </c>
      <c r="E44" s="22">
        <f t="shared" si="0"/>
        <v>431.92896935933146</v>
      </c>
      <c r="F44" s="22">
        <f t="shared" si="1"/>
        <v>3.2226662736575057E-5</v>
      </c>
      <c r="G44" s="22">
        <f>[34]XX!C32/1000000</f>
        <v>0</v>
      </c>
      <c r="H44" s="22">
        <f>[34]XX!F32/1000000</f>
        <v>0</v>
      </c>
      <c r="I44" s="22" t="str">
        <f t="shared" si="2"/>
        <v/>
      </c>
      <c r="J44" s="22">
        <f t="shared" si="3"/>
        <v>0</v>
      </c>
      <c r="K44" s="16"/>
    </row>
    <row r="45" spans="1:13">
      <c r="A45" s="14"/>
      <c r="B45" s="9" t="str">
        <f>+[34]XX!A33</f>
        <v>Guaviare</v>
      </c>
      <c r="C45" s="21">
        <f>[34]XX!B33/1000000</f>
        <v>3.7892000000000004E-4</v>
      </c>
      <c r="D45" s="21">
        <f>[34]XX!E33/1000000</f>
        <v>0</v>
      </c>
      <c r="E45" s="22" t="str">
        <f t="shared" ref="E45" si="4">IF(OR(OR(D45=0,C45=0),D45=""),"",(D45/C45-1)*100)</f>
        <v/>
      </c>
      <c r="F45" s="22">
        <f t="shared" ref="F45" si="5">(D45/D$13)*100</f>
        <v>0</v>
      </c>
      <c r="G45" s="22">
        <f>[34]XX!C33/1000000</f>
        <v>0</v>
      </c>
      <c r="H45" s="22">
        <f>[34]XX!F33/1000000</f>
        <v>0</v>
      </c>
      <c r="I45" s="22" t="str">
        <f t="shared" ref="I45" si="6">IF(OR(OR(H45=0,G45=0),H45=""),"",(H45/G45-1)*100)</f>
        <v/>
      </c>
      <c r="J45" s="22">
        <f t="shared" ref="J45" si="7">(H45/H$13)*100</f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7" t="s">
        <v>102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f>SUM(C14:C45)</f>
        <v>4761.5075952299921</v>
      </c>
      <c r="D13" s="99">
        <f>SUM(D14:D45)</f>
        <v>6186.4740847599878</v>
      </c>
      <c r="E13" s="98">
        <f>IF(OR(OR(D13=0,C13=0),D13=""),"",(D13/C13-1)*100)</f>
        <v>29.926792324294649</v>
      </c>
      <c r="F13" s="98">
        <f>(D13/D$13)*100</f>
        <v>100</v>
      </c>
      <c r="G13" s="99">
        <f>SUM(G14:G45)</f>
        <v>538.54143246000024</v>
      </c>
      <c r="H13" s="99">
        <f>SUM(H14:H45)</f>
        <v>534.29791771999999</v>
      </c>
      <c r="I13" s="98">
        <f>IF(OR(OR(H13=0,G13=0),H13=""),"",(H13/G13-1)*100)</f>
        <v>-0.78796439498003412</v>
      </c>
      <c r="J13" s="98">
        <f>(H13/H$13)*100</f>
        <v>100</v>
      </c>
      <c r="K13" s="16"/>
    </row>
    <row r="14" spans="1:14">
      <c r="A14" s="14"/>
      <c r="B14" s="9" t="str">
        <f>+[35]XX!A2</f>
        <v>Sin definir</v>
      </c>
      <c r="C14" s="21">
        <f>[35]XX!B2/1000000</f>
        <v>1675.0366531599996</v>
      </c>
      <c r="D14" s="21">
        <f>[35]XX!E2/1000000</f>
        <v>1323.50650071</v>
      </c>
      <c r="E14" s="22">
        <f>IF(OR(OR(D14=0,C14=0),D14=""),"",(D14/C14-1)*100)</f>
        <v>-20.986415538240845</v>
      </c>
      <c r="F14" s="22">
        <f>(D14/D$13)*100</f>
        <v>21.393551198579814</v>
      </c>
      <c r="G14" s="21">
        <f>[35]XX!C2/1000000</f>
        <v>181.00935664999997</v>
      </c>
      <c r="H14" s="21">
        <f>[35]XX!F2/1000000</f>
        <v>104.54041395</v>
      </c>
      <c r="I14" s="22">
        <f>IF(OR(OR(H14=0,G14=0),H14=""),"",(H14/G14-1)*100)</f>
        <v>-42.245850775471496</v>
      </c>
      <c r="J14" s="22">
        <f>(H14/H$13)*100</f>
        <v>19.565940738849115</v>
      </c>
      <c r="K14" s="16"/>
    </row>
    <row r="15" spans="1:14">
      <c r="A15" s="14"/>
      <c r="B15" s="9" t="str">
        <f>+[35]XX!A3</f>
        <v>Bolívar</v>
      </c>
      <c r="C15" s="21">
        <f>[35]XX!B3/1000000</f>
        <v>68.016855339999992</v>
      </c>
      <c r="D15" s="21">
        <f>[35]XX!E3/1000000</f>
        <v>1307.6740414899973</v>
      </c>
      <c r="E15" s="22">
        <f t="shared" ref="E15:E45" si="0">IF(OR(OR(D15=0,C15=0),D15=""),"",(D15/C15-1)*100)</f>
        <v>1822.5735076302008</v>
      </c>
      <c r="F15" s="22">
        <f t="shared" ref="F15:F45" si="1">(D15/D$13)*100</f>
        <v>21.137630636995226</v>
      </c>
      <c r="G15" s="22">
        <f>[35]XX!C3/1000000</f>
        <v>7.981049480000002</v>
      </c>
      <c r="H15" s="22">
        <f>[35]XX!F3/1000000</f>
        <v>112.33236906000003</v>
      </c>
      <c r="I15" s="22">
        <f t="shared" ref="I15:I45" si="2">IF(OR(OR(H15=0,G15=0),H15=""),"",(H15/G15-1)*100)</f>
        <v>1307.4886935796821</v>
      </c>
      <c r="J15" s="22">
        <f t="shared" ref="J15:J45" si="3">(H15/H$13)*100</f>
        <v>21.024294749145561</v>
      </c>
      <c r="K15" s="16"/>
    </row>
    <row r="16" spans="1:14">
      <c r="A16" s="14"/>
      <c r="B16" s="9" t="str">
        <f>+[35]XX!A4</f>
        <v>Valle del Cauca</v>
      </c>
      <c r="C16" s="21">
        <f>[35]XX!B4/1000000</f>
        <v>995.0093995799956</v>
      </c>
      <c r="D16" s="21">
        <f>[35]XX!E4/1000000</f>
        <v>1053.6963559999874</v>
      </c>
      <c r="E16" s="22">
        <f t="shared" si="0"/>
        <v>5.898130856328021</v>
      </c>
      <c r="F16" s="22">
        <f t="shared" si="1"/>
        <v>17.032260081646601</v>
      </c>
      <c r="G16" s="22">
        <f>[35]XX!C4/1000000</f>
        <v>131.17021684000005</v>
      </c>
      <c r="H16" s="22">
        <f>[35]XX!F4/1000000</f>
        <v>84.450923580000165</v>
      </c>
      <c r="I16" s="22">
        <f t="shared" si="2"/>
        <v>-35.617302757826153</v>
      </c>
      <c r="J16" s="22">
        <f t="shared" si="3"/>
        <v>15.805961576712873</v>
      </c>
      <c r="K16" s="16"/>
    </row>
    <row r="17" spans="1:11">
      <c r="A17" s="14"/>
      <c r="B17" s="9" t="str">
        <f>+[35]XX!A5</f>
        <v>Cundinamarca</v>
      </c>
      <c r="C17" s="21">
        <f>[35]XX!B5/1000000</f>
        <v>219.5684896599995</v>
      </c>
      <c r="D17" s="21">
        <f>[35]XX!E5/1000000</f>
        <v>383.8317748500026</v>
      </c>
      <c r="E17" s="22">
        <f t="shared" si="0"/>
        <v>74.811866422346768</v>
      </c>
      <c r="F17" s="22">
        <f t="shared" si="1"/>
        <v>6.2043705282068418</v>
      </c>
      <c r="G17" s="22">
        <f>[35]XX!C5/1000000</f>
        <v>31.436602149999988</v>
      </c>
      <c r="H17" s="22">
        <f>[35]XX!F5/1000000</f>
        <v>50.882040539999977</v>
      </c>
      <c r="I17" s="22">
        <f t="shared" si="2"/>
        <v>61.856043783663161</v>
      </c>
      <c r="J17" s="22">
        <f t="shared" si="3"/>
        <v>9.5231590564919291</v>
      </c>
      <c r="K17" s="16"/>
    </row>
    <row r="18" spans="1:11">
      <c r="A18" s="14"/>
      <c r="B18" s="9" t="str">
        <f>+[35]XX!A6</f>
        <v>Atlántico</v>
      </c>
      <c r="C18" s="21">
        <f>[35]XX!B6/1000000</f>
        <v>291.87806107999904</v>
      </c>
      <c r="D18" s="21">
        <f>[35]XX!E6/1000000</f>
        <v>360.70720450000124</v>
      </c>
      <c r="E18" s="22">
        <f t="shared" si="0"/>
        <v>23.58147205902441</v>
      </c>
      <c r="F18" s="22">
        <f t="shared" si="1"/>
        <v>5.8305781218510564</v>
      </c>
      <c r="G18" s="22">
        <f>[35]XX!C6/1000000</f>
        <v>27.867213500000009</v>
      </c>
      <c r="H18" s="22">
        <f>[35]XX!F6/1000000</f>
        <v>28.754273089999963</v>
      </c>
      <c r="I18" s="22">
        <f t="shared" si="2"/>
        <v>3.1831657298637017</v>
      </c>
      <c r="J18" s="22">
        <f t="shared" si="3"/>
        <v>5.3816928976071186</v>
      </c>
      <c r="K18" s="16"/>
    </row>
    <row r="19" spans="1:11">
      <c r="A19" s="14"/>
      <c r="B19" s="10" t="str">
        <f>+[35]XX!A7</f>
        <v>Bogotá</v>
      </c>
      <c r="C19" s="23">
        <f>[35]XX!B7/1000000</f>
        <v>363.55766351999898</v>
      </c>
      <c r="D19" s="23">
        <f>[35]XX!E7/1000000</f>
        <v>340.10272579999827</v>
      </c>
      <c r="E19" s="25">
        <f t="shared" si="0"/>
        <v>-6.4515041418485968</v>
      </c>
      <c r="F19" s="25">
        <f t="shared" si="1"/>
        <v>5.4975212235645046</v>
      </c>
      <c r="G19" s="25">
        <f>[35]XX!C7/1000000</f>
        <v>32.502700990000079</v>
      </c>
      <c r="H19" s="25">
        <f>[35]XX!F7/1000000</f>
        <v>30.797247870000021</v>
      </c>
      <c r="I19" s="25">
        <f t="shared" si="2"/>
        <v>-5.2471119877845362</v>
      </c>
      <c r="J19" s="25">
        <f t="shared" si="3"/>
        <v>5.7640591229366134</v>
      </c>
      <c r="K19" s="16"/>
    </row>
    <row r="20" spans="1:11">
      <c r="A20" s="14"/>
      <c r="B20" s="9" t="str">
        <f>+[35]XX!A8</f>
        <v>Boyacá</v>
      </c>
      <c r="C20" s="21">
        <f>[35]XX!B8/1000000</f>
        <v>134.33894330999999</v>
      </c>
      <c r="D20" s="21">
        <f>[35]XX!E8/1000000</f>
        <v>328.70218881</v>
      </c>
      <c r="E20" s="22">
        <f t="shared" si="0"/>
        <v>144.68123740670507</v>
      </c>
      <c r="F20" s="22">
        <f t="shared" si="1"/>
        <v>5.3132395659708385</v>
      </c>
      <c r="G20" s="22">
        <f>[35]XX!C8/1000000</f>
        <v>23.272069850000001</v>
      </c>
      <c r="H20" s="22">
        <f>[35]XX!F8/1000000</f>
        <v>23.495848619999997</v>
      </c>
      <c r="I20" s="22">
        <f t="shared" si="2"/>
        <v>0.96157656556705717</v>
      </c>
      <c r="J20" s="22">
        <f t="shared" si="3"/>
        <v>4.3975182834818849</v>
      </c>
      <c r="K20" s="16"/>
    </row>
    <row r="21" spans="1:11">
      <c r="A21" s="14"/>
      <c r="B21" s="9" t="str">
        <f>+[35]XX!A9</f>
        <v>Antioquia</v>
      </c>
      <c r="C21" s="21">
        <f>[35]XX!B9/1000000</f>
        <v>270.97892439000026</v>
      </c>
      <c r="D21" s="21">
        <f>[35]XX!E9/1000000</f>
        <v>308.4530964600022</v>
      </c>
      <c r="E21" s="22">
        <f t="shared" si="0"/>
        <v>13.829183267429347</v>
      </c>
      <c r="F21" s="22">
        <f t="shared" si="1"/>
        <v>4.9859272379376502</v>
      </c>
      <c r="G21" s="22">
        <f>[35]XX!C9/1000000</f>
        <v>24.154733379999996</v>
      </c>
      <c r="H21" s="22">
        <f>[35]XX!F9/1000000</f>
        <v>29.352774330000017</v>
      </c>
      <c r="I21" s="22">
        <f t="shared" si="2"/>
        <v>21.51976123364696</v>
      </c>
      <c r="J21" s="22">
        <f t="shared" si="3"/>
        <v>5.4937092877427993</v>
      </c>
      <c r="K21" s="16"/>
    </row>
    <row r="22" spans="1:11">
      <c r="A22" s="14"/>
      <c r="B22" s="9" t="str">
        <f>+[35]XX!A10</f>
        <v>Santander</v>
      </c>
      <c r="C22" s="21">
        <f>[35]XX!B10/1000000</f>
        <v>192.06547745000006</v>
      </c>
      <c r="D22" s="21">
        <f>[35]XX!E10/1000000</f>
        <v>282.50853304000026</v>
      </c>
      <c r="E22" s="22">
        <f t="shared" si="0"/>
        <v>47.089699195705293</v>
      </c>
      <c r="F22" s="22">
        <f t="shared" si="1"/>
        <v>4.5665516281066028</v>
      </c>
      <c r="G22" s="22">
        <f>[35]XX!C10/1000000</f>
        <v>21.687081620000001</v>
      </c>
      <c r="H22" s="22">
        <f>[35]XX!F10/1000000</f>
        <v>26.805531229999975</v>
      </c>
      <c r="I22" s="22">
        <f t="shared" si="2"/>
        <v>23.601375693074811</v>
      </c>
      <c r="J22" s="22">
        <f t="shared" si="3"/>
        <v>5.0169634469823015</v>
      </c>
      <c r="K22" s="16"/>
    </row>
    <row r="23" spans="1:11">
      <c r="A23" s="14"/>
      <c r="B23" s="9" t="str">
        <f>+[35]XX!A11</f>
        <v>Norte de Santander</v>
      </c>
      <c r="C23" s="21">
        <f>[35]XX!B11/1000000</f>
        <v>131.6401227399999</v>
      </c>
      <c r="D23" s="21">
        <f>[35]XX!E11/1000000</f>
        <v>125.03211377000008</v>
      </c>
      <c r="E23" s="22">
        <f t="shared" si="0"/>
        <v>-5.0197529692760812</v>
      </c>
      <c r="F23" s="22">
        <f t="shared" si="1"/>
        <v>2.0210561307936175</v>
      </c>
      <c r="G23" s="22">
        <f>[35]XX!C11/1000000</f>
        <v>5.3387315100000023</v>
      </c>
      <c r="H23" s="22">
        <f>[35]XX!F11/1000000</f>
        <v>20.970607420000004</v>
      </c>
      <c r="I23" s="22">
        <f t="shared" si="2"/>
        <v>292.80131208546192</v>
      </c>
      <c r="J23" s="22">
        <f t="shared" si="3"/>
        <v>3.9248903513394744</v>
      </c>
      <c r="K23" s="16"/>
    </row>
    <row r="24" spans="1:11">
      <c r="A24" s="14"/>
      <c r="B24" s="9" t="str">
        <f>+[35]XX!A12</f>
        <v>Cauca</v>
      </c>
      <c r="C24" s="21">
        <f>[35]XX!B12/1000000</f>
        <v>98.024640590000146</v>
      </c>
      <c r="D24" s="21">
        <f>[35]XX!E12/1000000</f>
        <v>111.79597291</v>
      </c>
      <c r="E24" s="22">
        <f t="shared" si="0"/>
        <v>14.048847552117127</v>
      </c>
      <c r="F24" s="22">
        <f t="shared" si="1"/>
        <v>1.807103228402795</v>
      </c>
      <c r="G24" s="22">
        <f>[35]XX!C12/1000000</f>
        <v>19.313721749999999</v>
      </c>
      <c r="H24" s="22">
        <f>[35]XX!F12/1000000</f>
        <v>6.2686959200000016</v>
      </c>
      <c r="I24" s="22">
        <f t="shared" si="2"/>
        <v>-67.542786412981215</v>
      </c>
      <c r="J24" s="22">
        <f t="shared" si="3"/>
        <v>1.1732585346299489</v>
      </c>
      <c r="K24" s="16"/>
    </row>
    <row r="25" spans="1:11">
      <c r="A25" s="14"/>
      <c r="B25" s="9" t="str">
        <f>+[35]XX!A13</f>
        <v>Magdalena</v>
      </c>
      <c r="C25" s="21">
        <f>[35]XX!B13/1000000</f>
        <v>139.13058447999995</v>
      </c>
      <c r="D25" s="21">
        <f>[35]XX!E13/1000000</f>
        <v>81.894501869999942</v>
      </c>
      <c r="E25" s="22">
        <f t="shared" si="0"/>
        <v>-41.138390113086679</v>
      </c>
      <c r="F25" s="22">
        <f t="shared" si="1"/>
        <v>1.3237669914716397</v>
      </c>
      <c r="G25" s="22">
        <f>[35]XX!C13/1000000</f>
        <v>12.859395169999999</v>
      </c>
      <c r="H25" s="22">
        <f>[35]XX!F13/1000000</f>
        <v>1.7076180600000004</v>
      </c>
      <c r="I25" s="22">
        <f t="shared" si="2"/>
        <v>-86.720852439594168</v>
      </c>
      <c r="J25" s="22">
        <f t="shared" si="3"/>
        <v>0.31960035840807477</v>
      </c>
      <c r="K25" s="16"/>
    </row>
    <row r="26" spans="1:11">
      <c r="A26" s="14"/>
      <c r="B26" s="9" t="str">
        <f>+[35]XX!A14</f>
        <v>Risaralda</v>
      </c>
      <c r="C26" s="21">
        <f>[35]XX!B14/1000000</f>
        <v>53.14669005999999</v>
      </c>
      <c r="D26" s="21">
        <f>[35]XX!E14/1000000</f>
        <v>74.069858929999896</v>
      </c>
      <c r="E26" s="22">
        <f t="shared" si="0"/>
        <v>39.368714865175392</v>
      </c>
      <c r="F26" s="22">
        <f t="shared" si="1"/>
        <v>1.1972871447480335</v>
      </c>
      <c r="G26" s="22">
        <f>[35]XX!C14/1000000</f>
        <v>7.8121488500000007</v>
      </c>
      <c r="H26" s="22">
        <f>[35]XX!F14/1000000</f>
        <v>5.7283714800000007</v>
      </c>
      <c r="I26" s="22">
        <f t="shared" si="2"/>
        <v>-26.67354923735228</v>
      </c>
      <c r="J26" s="22">
        <f t="shared" si="3"/>
        <v>1.0721306016771652</v>
      </c>
      <c r="K26" s="16"/>
    </row>
    <row r="27" spans="1:11">
      <c r="A27" s="14"/>
      <c r="B27" s="9" t="str">
        <f>+[35]XX!A15</f>
        <v>Caldas</v>
      </c>
      <c r="C27" s="21">
        <f>[35]XX!B15/1000000</f>
        <v>61.90142828999997</v>
      </c>
      <c r="D27" s="21">
        <f>[35]XX!E15/1000000</f>
        <v>57.241843549999885</v>
      </c>
      <c r="E27" s="22">
        <f t="shared" si="0"/>
        <v>-7.5274268602826933</v>
      </c>
      <c r="F27" s="22">
        <f t="shared" si="1"/>
        <v>0.92527411843543927</v>
      </c>
      <c r="G27" s="22">
        <f>[35]XX!C15/1000000</f>
        <v>5.4019591399999989</v>
      </c>
      <c r="H27" s="22">
        <f>[35]XX!F15/1000000</f>
        <v>5.0474294599999956</v>
      </c>
      <c r="I27" s="22">
        <f t="shared" si="2"/>
        <v>-6.5629833697706026</v>
      </c>
      <c r="J27" s="22">
        <f t="shared" si="3"/>
        <v>0.94468447145345458</v>
      </c>
      <c r="K27" s="16"/>
    </row>
    <row r="28" spans="1:11">
      <c r="A28" s="14"/>
      <c r="B28" s="9" t="str">
        <f>+[35]XX!A16</f>
        <v>Córdoba</v>
      </c>
      <c r="C28" s="21">
        <f>[35]XX!B16/1000000</f>
        <v>11.225368370000002</v>
      </c>
      <c r="D28" s="21">
        <f>[35]XX!E16/1000000</f>
        <v>15.713419110000004</v>
      </c>
      <c r="E28" s="22">
        <f t="shared" si="0"/>
        <v>39.981322590663467</v>
      </c>
      <c r="F28" s="22">
        <f t="shared" si="1"/>
        <v>0.25399636197796543</v>
      </c>
      <c r="G28" s="22">
        <f>[35]XX!C16/1000000</f>
        <v>1.17900155</v>
      </c>
      <c r="H28" s="22">
        <f>[35]XX!F16/1000000</f>
        <v>0.30328520000000003</v>
      </c>
      <c r="I28" s="22">
        <f t="shared" si="2"/>
        <v>-74.276098279938637</v>
      </c>
      <c r="J28" s="22">
        <f t="shared" si="3"/>
        <v>5.6763313114564166E-2</v>
      </c>
      <c r="K28" s="16"/>
    </row>
    <row r="29" spans="1:11">
      <c r="A29" s="14"/>
      <c r="B29" s="9" t="str">
        <f>+[35]XX!A17</f>
        <v>Sucre</v>
      </c>
      <c r="C29" s="21">
        <f>[35]XX!B17/1000000</f>
        <v>23.071025509999991</v>
      </c>
      <c r="D29" s="21">
        <f>[35]XX!E17/1000000</f>
        <v>14.436969990000003</v>
      </c>
      <c r="E29" s="22">
        <f t="shared" si="0"/>
        <v>-37.423804660341652</v>
      </c>
      <c r="F29" s="22">
        <f t="shared" si="1"/>
        <v>0.23336346022307963</v>
      </c>
      <c r="G29" s="22">
        <f>[35]XX!C17/1000000</f>
        <v>1.89160946</v>
      </c>
      <c r="H29" s="22">
        <f>[35]XX!F17/1000000</f>
        <v>2.2133234599999998</v>
      </c>
      <c r="I29" s="22">
        <f t="shared" si="2"/>
        <v>17.007421817397763</v>
      </c>
      <c r="J29" s="22">
        <f t="shared" si="3"/>
        <v>0.4142489398882323</v>
      </c>
      <c r="K29" s="16"/>
    </row>
    <row r="30" spans="1:11">
      <c r="A30" s="14"/>
      <c r="B30" s="9" t="str">
        <f>+[35]XX!A18</f>
        <v>Chocó</v>
      </c>
      <c r="C30" s="21">
        <f>[35]XX!B18/1000000</f>
        <v>2.4484089099999999</v>
      </c>
      <c r="D30" s="21">
        <f>[35]XX!E18/1000000</f>
        <v>5.9217003400000028</v>
      </c>
      <c r="E30" s="22">
        <f t="shared" si="0"/>
        <v>141.85912393203975</v>
      </c>
      <c r="F30" s="22">
        <f t="shared" si="1"/>
        <v>9.5720118744015439E-2</v>
      </c>
      <c r="G30" s="22">
        <f>[35]XX!C18/1000000</f>
        <v>0.88754235999999997</v>
      </c>
      <c r="H30" s="22">
        <f>[35]XX!F18/1000000</f>
        <v>0.46268830000000005</v>
      </c>
      <c r="I30" s="22">
        <f t="shared" si="2"/>
        <v>-47.868595252174771</v>
      </c>
      <c r="J30" s="22">
        <f t="shared" si="3"/>
        <v>8.6597436496556379E-2</v>
      </c>
      <c r="K30" s="16"/>
    </row>
    <row r="31" spans="1:11">
      <c r="A31" s="14"/>
      <c r="B31" s="9" t="str">
        <f>+[35]XX!A19</f>
        <v>Nariño</v>
      </c>
      <c r="C31" s="21">
        <f>[35]XX!B19/1000000</f>
        <v>8.8485362999999992</v>
      </c>
      <c r="D31" s="21">
        <f>[35]XX!E19/1000000</f>
        <v>3.03298924</v>
      </c>
      <c r="E31" s="22">
        <f t="shared" si="0"/>
        <v>-65.723266118035809</v>
      </c>
      <c r="F31" s="22">
        <f t="shared" si="1"/>
        <v>4.9026136672447866E-2</v>
      </c>
      <c r="G31" s="22">
        <f>[35]XX!C19/1000000</f>
        <v>1.6606965499999997</v>
      </c>
      <c r="H31" s="22">
        <f>[35]XX!F19/1000000</f>
        <v>4.78057E-2</v>
      </c>
      <c r="I31" s="22">
        <f t="shared" si="2"/>
        <v>-97.121346461519423</v>
      </c>
      <c r="J31" s="22">
        <f t="shared" si="3"/>
        <v>8.9473865449448894E-3</v>
      </c>
      <c r="K31" s="16"/>
    </row>
    <row r="32" spans="1:11">
      <c r="A32" s="14"/>
      <c r="B32" s="9" t="str">
        <f>+[35]XX!A20</f>
        <v>Guajira</v>
      </c>
      <c r="C32" s="21">
        <f>[35]XX!B20/1000000</f>
        <v>1.7224897000000001</v>
      </c>
      <c r="D32" s="21">
        <f>[35]XX!E20/1000000</f>
        <v>2.7661379199999998</v>
      </c>
      <c r="E32" s="22">
        <f t="shared" si="0"/>
        <v>60.589518764611448</v>
      </c>
      <c r="F32" s="22">
        <f t="shared" si="1"/>
        <v>4.4712672874751336E-2</v>
      </c>
      <c r="G32" s="22">
        <f>[35]XX!C20/1000000</f>
        <v>0.23342299999999999</v>
      </c>
      <c r="H32" s="22">
        <f>[35]XX!F20/1000000</f>
        <v>4.21632E-3</v>
      </c>
      <c r="I32" s="22">
        <f t="shared" si="2"/>
        <v>-98.193699849629212</v>
      </c>
      <c r="J32" s="22">
        <f t="shared" si="3"/>
        <v>7.8913277783155655E-4</v>
      </c>
      <c r="K32" s="16"/>
    </row>
    <row r="33" spans="1:13">
      <c r="A33" s="14"/>
      <c r="B33" s="9" t="str">
        <f>+[35]XX!A21</f>
        <v>Cesar</v>
      </c>
      <c r="C33" s="21">
        <f>[35]XX!B21/1000000</f>
        <v>4.364719720000001</v>
      </c>
      <c r="D33" s="21">
        <f>[35]XX!E21/1000000</f>
        <v>2.0322081199999995</v>
      </c>
      <c r="E33" s="22">
        <f t="shared" si="0"/>
        <v>-53.440123298455489</v>
      </c>
      <c r="F33" s="22">
        <f t="shared" si="1"/>
        <v>3.2849214142935214E-2</v>
      </c>
      <c r="G33" s="22">
        <f>[35]XX!C21/1000000</f>
        <v>0.63908804999999991</v>
      </c>
      <c r="H33" s="22">
        <f>[35]XX!F21/1000000</f>
        <v>1.3303000000000001E-2</v>
      </c>
      <c r="I33" s="22">
        <f t="shared" si="2"/>
        <v>-97.918440189892451</v>
      </c>
      <c r="J33" s="22">
        <f t="shared" si="3"/>
        <v>2.4898094412884211E-3</v>
      </c>
      <c r="K33" s="16"/>
    </row>
    <row r="34" spans="1:13">
      <c r="A34" s="14"/>
      <c r="B34" s="9" t="str">
        <f>+[35]XX!A22</f>
        <v>Tolima</v>
      </c>
      <c r="C34" s="21">
        <f>[35]XX!B22/1000000</f>
        <v>0.13490613000000001</v>
      </c>
      <c r="D34" s="21">
        <f>[35]XX!E22/1000000</f>
        <v>1.8212382799999998</v>
      </c>
      <c r="E34" s="22">
        <f t="shared" si="0"/>
        <v>1250.0040954402884</v>
      </c>
      <c r="F34" s="22">
        <f t="shared" si="1"/>
        <v>2.9439035144211017E-2</v>
      </c>
      <c r="G34" s="22">
        <f>[35]XX!C22/1000000</f>
        <v>0</v>
      </c>
      <c r="H34" s="22">
        <f>[35]XX!F22/1000000</f>
        <v>7.0921600000000001E-3</v>
      </c>
      <c r="I34" s="22" t="str">
        <f t="shared" si="2"/>
        <v/>
      </c>
      <c r="J34" s="22">
        <f t="shared" si="3"/>
        <v>1.3273793074590761E-3</v>
      </c>
      <c r="K34" s="16"/>
    </row>
    <row r="35" spans="1:13">
      <c r="A35" s="14"/>
      <c r="B35" s="9" t="str">
        <f>+[35]XX!A23</f>
        <v>Quindío</v>
      </c>
      <c r="C35" s="21">
        <f>[35]XX!B23/1000000</f>
        <v>14.891339620000004</v>
      </c>
      <c r="D35" s="21">
        <f>[35]XX!E23/1000000</f>
        <v>0.44844518000000005</v>
      </c>
      <c r="E35" s="22">
        <f t="shared" si="0"/>
        <v>-96.988550449835216</v>
      </c>
      <c r="F35" s="22">
        <f t="shared" si="1"/>
        <v>7.2488007523496814E-3</v>
      </c>
      <c r="G35" s="22">
        <f>[35]XX!C23/1000000</f>
        <v>0.12585291000000001</v>
      </c>
      <c r="H35" s="22">
        <f>[35]XX!F23/1000000</f>
        <v>4.3264699999999996E-2</v>
      </c>
      <c r="I35" s="22">
        <f t="shared" si="2"/>
        <v>-65.622805225560541</v>
      </c>
      <c r="J35" s="22">
        <f t="shared" si="3"/>
        <v>8.0974861711276512E-3</v>
      </c>
      <c r="K35" s="16"/>
    </row>
    <row r="36" spans="1:13">
      <c r="A36" s="14"/>
      <c r="B36" s="9" t="str">
        <f>+[35]XX!A24</f>
        <v>Huila</v>
      </c>
      <c r="C36" s="21">
        <f>[35]XX!B24/1000000</f>
        <v>0.10674523999999999</v>
      </c>
      <c r="D36" s="21">
        <f>[35]XX!E24/1000000</f>
        <v>0.33922849999999999</v>
      </c>
      <c r="E36" s="22">
        <f t="shared" si="0"/>
        <v>217.79262475778779</v>
      </c>
      <c r="F36" s="22">
        <f t="shared" si="1"/>
        <v>5.4833899787226021E-3</v>
      </c>
      <c r="G36" s="22">
        <f>[35]XX!C24/1000000</f>
        <v>9.2429999999999995E-3</v>
      </c>
      <c r="H36" s="22">
        <f>[35]XX!F24/1000000</f>
        <v>6.5794269999999988E-2</v>
      </c>
      <c r="I36" s="22">
        <f t="shared" si="2"/>
        <v>611.8280861192253</v>
      </c>
      <c r="J36" s="22">
        <f t="shared" si="3"/>
        <v>1.2314154298179322E-2</v>
      </c>
      <c r="K36" s="16"/>
    </row>
    <row r="37" spans="1:13">
      <c r="A37" s="14"/>
      <c r="B37" s="9" t="str">
        <f>+[35]XX!A25</f>
        <v>Meta</v>
      </c>
      <c r="C37" s="21">
        <f>[35]XX!B25/1000000</f>
        <v>7.1920040000000005E-2</v>
      </c>
      <c r="D37" s="21">
        <f>[35]XX!E25/1000000</f>
        <v>0.22871248000000002</v>
      </c>
      <c r="E37" s="22">
        <f t="shared" si="0"/>
        <v>218.0093893162462</v>
      </c>
      <c r="F37" s="22">
        <f t="shared" si="1"/>
        <v>3.6969762883743373E-3</v>
      </c>
      <c r="G37" s="22">
        <f>[35]XX!C25/1000000</f>
        <v>0</v>
      </c>
      <c r="H37" s="22">
        <f>[35]XX!F25/1000000</f>
        <v>0</v>
      </c>
      <c r="I37" s="22" t="str">
        <f t="shared" si="2"/>
        <v/>
      </c>
      <c r="J37" s="22">
        <f t="shared" si="3"/>
        <v>0</v>
      </c>
      <c r="K37" s="16"/>
    </row>
    <row r="38" spans="1:13">
      <c r="A38" s="14"/>
      <c r="B38" s="9" t="str">
        <f>+[35]XX!A26</f>
        <v>San Andrés</v>
      </c>
      <c r="C38" s="21">
        <f>[35]XX!B26/1000000</f>
        <v>2.1267999999999999E-2</v>
      </c>
      <c r="D38" s="21">
        <f>[35]XX!E26/1000000</f>
        <v>0.21491003</v>
      </c>
      <c r="E38" s="22">
        <f t="shared" si="0"/>
        <v>910.48537709234529</v>
      </c>
      <c r="F38" s="22">
        <f t="shared" si="1"/>
        <v>3.4738693972616507E-3</v>
      </c>
      <c r="G38" s="22">
        <f>[35]XX!C26/1000000</f>
        <v>2E-3</v>
      </c>
      <c r="H38" s="22">
        <f>[35]XX!F26/1000000</f>
        <v>3.0000000000000001E-3</v>
      </c>
      <c r="I38" s="22">
        <f t="shared" si="2"/>
        <v>50</v>
      </c>
      <c r="J38" s="22">
        <f t="shared" si="3"/>
        <v>5.6148450153087749E-4</v>
      </c>
      <c r="K38" s="16"/>
    </row>
    <row r="39" spans="1:13">
      <c r="A39" s="14"/>
      <c r="B39" s="9" t="str">
        <f>+[35]XX!A27</f>
        <v>Amazonas</v>
      </c>
      <c r="C39" s="21">
        <f>[35]XX!B27/1000000</f>
        <v>0</v>
      </c>
      <c r="D39" s="21">
        <f>[35]XX!E27/1000000</f>
        <v>8.9634409999999998E-2</v>
      </c>
      <c r="E39" s="22" t="str">
        <f t="shared" si="0"/>
        <v/>
      </c>
      <c r="F39" s="22">
        <f t="shared" si="1"/>
        <v>1.4488771596216504E-3</v>
      </c>
      <c r="G39" s="22">
        <f>[35]XX!C27/1000000</f>
        <v>0</v>
      </c>
      <c r="H39" s="22">
        <f>[35]XX!F27/1000000</f>
        <v>0</v>
      </c>
      <c r="I39" s="22" t="str">
        <f t="shared" si="2"/>
        <v/>
      </c>
      <c r="J39" s="22">
        <f t="shared" si="3"/>
        <v>0</v>
      </c>
      <c r="K39" s="16"/>
    </row>
    <row r="40" spans="1:13">
      <c r="A40" s="14"/>
      <c r="B40" s="9" t="str">
        <f>+[35]XX!A28</f>
        <v>Putumayo</v>
      </c>
      <c r="C40" s="21">
        <f>[35]XX!B28/1000000</f>
        <v>9.5444910000000008E-2</v>
      </c>
      <c r="D40" s="21">
        <f>[35]XX!E28/1000000</f>
        <v>8.3502679999999996E-2</v>
      </c>
      <c r="E40" s="22">
        <f t="shared" si="0"/>
        <v>-12.512170633300412</v>
      </c>
      <c r="F40" s="22">
        <f t="shared" si="1"/>
        <v>1.3497620592269821E-3</v>
      </c>
      <c r="G40" s="22">
        <f>[35]XX!C28/1000000</f>
        <v>8.3502670000000001E-2</v>
      </c>
      <c r="H40" s="22">
        <f>[35]XX!F28/1000000</f>
        <v>0</v>
      </c>
      <c r="I40" s="22" t="str">
        <f t="shared" si="2"/>
        <v/>
      </c>
      <c r="J40" s="22">
        <f t="shared" si="3"/>
        <v>0</v>
      </c>
      <c r="K40" s="16"/>
    </row>
    <row r="41" spans="1:13">
      <c r="A41" s="14"/>
      <c r="B41" s="9" t="str">
        <f>+[35]XX!A29</f>
        <v>Caquetá</v>
      </c>
      <c r="C41" s="21">
        <f>[35]XX!B29/1000000</f>
        <v>3.2079980000000001E-2</v>
      </c>
      <c r="D41" s="21">
        <f>[35]XX!E29/1000000</f>
        <v>5.3444709999999999E-2</v>
      </c>
      <c r="E41" s="22">
        <f t="shared" si="0"/>
        <v>66.598327056313607</v>
      </c>
      <c r="F41" s="22">
        <f t="shared" si="1"/>
        <v>8.6389612673975103E-4</v>
      </c>
      <c r="G41" s="22">
        <f>[35]XX!C29/1000000</f>
        <v>0</v>
      </c>
      <c r="H41" s="22">
        <f>[35]XX!F29/1000000</f>
        <v>0</v>
      </c>
      <c r="I41" s="22" t="str">
        <f t="shared" si="2"/>
        <v/>
      </c>
      <c r="J41" s="22">
        <f t="shared" si="3"/>
        <v>0</v>
      </c>
      <c r="K41" s="16"/>
    </row>
    <row r="42" spans="1:13">
      <c r="A42" s="14"/>
      <c r="B42" s="9" t="str">
        <f>+[35]XX!A30</f>
        <v>Aráuca</v>
      </c>
      <c r="C42" s="21">
        <f>[35]XX!B30/1000000</f>
        <v>5.3387550000000006E-2</v>
      </c>
      <c r="D42" s="21">
        <f>[35]XX!E30/1000000</f>
        <v>4.6499120000000005E-2</v>
      </c>
      <c r="E42" s="22">
        <f t="shared" si="0"/>
        <v>-12.902689859339866</v>
      </c>
      <c r="F42" s="22">
        <f t="shared" si="1"/>
        <v>7.5162555217919409E-4</v>
      </c>
      <c r="G42" s="22">
        <f>[35]XX!C30/1000000</f>
        <v>1.3557899999999999E-3</v>
      </c>
      <c r="H42" s="22">
        <f>[35]XX!F30/1000000</f>
        <v>0</v>
      </c>
      <c r="I42" s="22" t="str">
        <f t="shared" si="2"/>
        <v/>
      </c>
      <c r="J42" s="22">
        <f t="shared" si="3"/>
        <v>0</v>
      </c>
      <c r="K42" s="16"/>
    </row>
    <row r="43" spans="1:13">
      <c r="A43" s="14"/>
      <c r="B43" s="9" t="str">
        <f>+[35]XX!A31</f>
        <v>Guainía</v>
      </c>
      <c r="C43" s="21">
        <f>[35]XX!B31/1000000</f>
        <v>2.1153640000000001E-2</v>
      </c>
      <c r="D43" s="21">
        <f>[35]XX!E31/1000000</f>
        <v>2.2029340000000001E-2</v>
      </c>
      <c r="E43" s="22">
        <f t="shared" si="0"/>
        <v>4.1397130706582796</v>
      </c>
      <c r="F43" s="22">
        <f t="shared" si="1"/>
        <v>3.5608877848964044E-4</v>
      </c>
      <c r="G43" s="22">
        <f>[35]XX!C31/1000000</f>
        <v>2.1136240000000001E-2</v>
      </c>
      <c r="H43" s="22">
        <f>[35]XX!F31/1000000</f>
        <v>0</v>
      </c>
      <c r="I43" s="22" t="str">
        <f t="shared" si="2"/>
        <v/>
      </c>
      <c r="J43" s="22">
        <f t="shared" si="3"/>
        <v>0</v>
      </c>
      <c r="K43" s="16"/>
    </row>
    <row r="44" spans="1:13">
      <c r="A44" s="14"/>
      <c r="B44" s="9" t="str">
        <f>+[35]XX!A32</f>
        <v>Vaupés</v>
      </c>
      <c r="C44" s="21">
        <f>[35]XX!B32/1000000</f>
        <v>0.10451245999999999</v>
      </c>
      <c r="D44" s="21">
        <f>[35]XX!E32/1000000</f>
        <v>6.3026200000000001E-3</v>
      </c>
      <c r="E44" s="22">
        <f t="shared" si="0"/>
        <v>-93.969503731899522</v>
      </c>
      <c r="F44" s="22">
        <f t="shared" si="1"/>
        <v>1.0187741698500169E-4</v>
      </c>
      <c r="G44" s="22">
        <f>[35]XX!C32/1000000</f>
        <v>0</v>
      </c>
      <c r="H44" s="22">
        <f>[35]XX!F32/1000000</f>
        <v>0</v>
      </c>
      <c r="I44" s="22" t="str">
        <f t="shared" si="2"/>
        <v/>
      </c>
      <c r="J44" s="22">
        <f t="shared" si="3"/>
        <v>0</v>
      </c>
      <c r="K44" s="16"/>
    </row>
    <row r="45" spans="1:13">
      <c r="A45" s="14"/>
      <c r="B45" s="9" t="str">
        <f>+[35]XX!A33</f>
        <v>Casanare</v>
      </c>
      <c r="C45" s="21">
        <f>[35]XX!B33/1000000</f>
        <v>3.5550000000000002E-4</v>
      </c>
      <c r="D45" s="21">
        <f>[35]XX!E33/1000000</f>
        <v>0</v>
      </c>
      <c r="E45" s="22" t="str">
        <f t="shared" si="0"/>
        <v/>
      </c>
      <c r="F45" s="22">
        <f t="shared" si="1"/>
        <v>0</v>
      </c>
      <c r="G45" s="22">
        <f>[35]XX!C33/1000000</f>
        <v>0</v>
      </c>
      <c r="H45" s="22">
        <f>[35]XX!F33/1000000</f>
        <v>0</v>
      </c>
      <c r="I45" s="22" t="str">
        <f t="shared" si="2"/>
        <v/>
      </c>
      <c r="J45" s="22">
        <f t="shared" si="3"/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7" t="s">
        <v>103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f>SUM(C14:C46)</f>
        <v>3049.0682704500005</v>
      </c>
      <c r="D13" s="99">
        <f>SUM(D14:D46)</f>
        <v>2731.8877412099955</v>
      </c>
      <c r="E13" s="98">
        <f>IF(OR(OR(D13=0,C13=0),D13=""),"",(D13/C13-1)*100)</f>
        <v>-10.402539435208958</v>
      </c>
      <c r="F13" s="98">
        <f>(D13/D$13)*100</f>
        <v>100</v>
      </c>
      <c r="G13" s="98">
        <f t="shared" ref="G13:H13" si="0">SUM(G14:G46)</f>
        <v>218.30084510999964</v>
      </c>
      <c r="H13" s="98">
        <f t="shared" si="0"/>
        <v>265.13691399000015</v>
      </c>
      <c r="I13" s="98">
        <f>IF(OR(OR(H13=0,G13=0),H13=""),"",(H13/G13-1)*100)</f>
        <v>21.454827101745888</v>
      </c>
      <c r="J13" s="98">
        <f>(H13/H$13)*100</f>
        <v>100</v>
      </c>
      <c r="K13" s="16"/>
    </row>
    <row r="14" spans="1:14">
      <c r="A14" s="14"/>
      <c r="B14" s="9" t="str">
        <f>+[36]XX!A2</f>
        <v>Antioquia</v>
      </c>
      <c r="C14" s="21">
        <f>[36]XX!B2/1000000</f>
        <v>872.34922213999971</v>
      </c>
      <c r="D14" s="21">
        <f>[36]XX!E2/1000000</f>
        <v>907.19193635999216</v>
      </c>
      <c r="E14" s="22">
        <f>IF(OR(OR(D14=0,C14=0),D14=""),"",(D14/C14-1)*100)</f>
        <v>3.9941245244098589</v>
      </c>
      <c r="F14" s="22">
        <f>(D14/D$13)*100</f>
        <v>33.207511519422198</v>
      </c>
      <c r="G14" s="22">
        <f>[36]XX!C2/1000000</f>
        <v>73.674335689999808</v>
      </c>
      <c r="H14" s="22">
        <f>[36]XX!F2/1000000</f>
        <v>88.394905630000139</v>
      </c>
      <c r="I14" s="22">
        <f>IF(OR(OR(H14=0,G14=0),H14=""),"",(H14/G14-1)*100)</f>
        <v>19.98059405915815</v>
      </c>
      <c r="J14" s="22">
        <f>(H14/H$13)*100</f>
        <v>33.339343171707135</v>
      </c>
      <c r="K14" s="16"/>
    </row>
    <row r="15" spans="1:14">
      <c r="A15" s="14"/>
      <c r="B15" s="10" t="str">
        <f>+[36]XX!A3</f>
        <v>Bogotá</v>
      </c>
      <c r="C15" s="23">
        <f>[36]XX!B3/1000000</f>
        <v>781.09335748000262</v>
      </c>
      <c r="D15" s="23">
        <f>[36]XX!E3/1000000</f>
        <v>682.81410771000026</v>
      </c>
      <c r="E15" s="25">
        <f t="shared" ref="E15:E46" si="1">IF(OR(OR(D15=0,C15=0),D15=""),"",(D15/C15-1)*100)</f>
        <v>-12.582266745562286</v>
      </c>
      <c r="F15" s="25">
        <f t="shared" ref="F15:F46" si="2">(D15/D$13)*100</f>
        <v>24.994222764350166</v>
      </c>
      <c r="G15" s="25">
        <f>[36]XX!C3/1000000</f>
        <v>61.08858448999986</v>
      </c>
      <c r="H15" s="25">
        <f>[36]XX!F3/1000000</f>
        <v>65.737679909999969</v>
      </c>
      <c r="I15" s="25">
        <f t="shared" ref="I15:I46" si="3">IF(OR(OR(H15=0,G15=0),H15=""),"",(H15/G15-1)*100)</f>
        <v>7.6104160193156245</v>
      </c>
      <c r="J15" s="25">
        <f t="shared" ref="J15:J46" si="4">(H15/H$13)*100</f>
        <v>24.793861752678964</v>
      </c>
      <c r="K15" s="16"/>
    </row>
    <row r="16" spans="1:14">
      <c r="A16" s="14"/>
      <c r="B16" s="9" t="str">
        <f>+[36]XX!A4</f>
        <v>Atlántico</v>
      </c>
      <c r="C16" s="21">
        <f>[36]XX!B4/1000000</f>
        <v>294.87318287999932</v>
      </c>
      <c r="D16" s="21">
        <f>[36]XX!E4/1000000</f>
        <v>319.30801928000147</v>
      </c>
      <c r="E16" s="22">
        <f t="shared" si="1"/>
        <v>8.2865576860361898</v>
      </c>
      <c r="F16" s="22">
        <f t="shared" si="2"/>
        <v>11.688182294729833</v>
      </c>
      <c r="G16" s="22">
        <f>[36]XX!C4/1000000</f>
        <v>21.169023580000029</v>
      </c>
      <c r="H16" s="22">
        <f>[36]XX!F4/1000000</f>
        <v>23.9270307</v>
      </c>
      <c r="I16" s="22">
        <f t="shared" si="3"/>
        <v>13.028504170620646</v>
      </c>
      <c r="J16" s="22">
        <f t="shared" si="4"/>
        <v>9.0244056702351259</v>
      </c>
      <c r="K16" s="16"/>
    </row>
    <row r="17" spans="1:11">
      <c r="A17" s="14"/>
      <c r="B17" s="9" t="str">
        <f>+[36]XX!A5</f>
        <v>Valle del Cauca</v>
      </c>
      <c r="C17" s="21">
        <f>[36]XX!B5/1000000</f>
        <v>243.7157707199992</v>
      </c>
      <c r="D17" s="21">
        <f>[36]XX!E5/1000000</f>
        <v>285.48206924000073</v>
      </c>
      <c r="E17" s="22">
        <f t="shared" si="1"/>
        <v>17.137298253868892</v>
      </c>
      <c r="F17" s="22">
        <f t="shared" si="2"/>
        <v>10.44999268943446</v>
      </c>
      <c r="G17" s="22">
        <f>[36]XX!C5/1000000</f>
        <v>20.293038489999976</v>
      </c>
      <c r="H17" s="22">
        <f>[36]XX!F5/1000000</f>
        <v>32.287055630000026</v>
      </c>
      <c r="I17" s="22">
        <f t="shared" si="3"/>
        <v>59.104096934081475</v>
      </c>
      <c r="J17" s="22">
        <f t="shared" si="4"/>
        <v>12.177502990480518</v>
      </c>
      <c r="K17" s="16"/>
    </row>
    <row r="18" spans="1:11">
      <c r="A18" s="14"/>
      <c r="B18" s="9" t="str">
        <f>+[36]XX!A6</f>
        <v>Cundinamarca</v>
      </c>
      <c r="C18" s="21">
        <f>[36]XX!B6/1000000</f>
        <v>240.12601697999926</v>
      </c>
      <c r="D18" s="21">
        <f>[36]XX!E6/1000000</f>
        <v>241.31595592000144</v>
      </c>
      <c r="E18" s="22">
        <f t="shared" si="1"/>
        <v>0.49554769406818799</v>
      </c>
      <c r="F18" s="22">
        <f t="shared" si="2"/>
        <v>8.8333042489190596</v>
      </c>
      <c r="G18" s="22">
        <f>[36]XX!C6/1000000</f>
        <v>15.091558169999978</v>
      </c>
      <c r="H18" s="22">
        <f>[36]XX!F6/1000000</f>
        <v>22.927582160000046</v>
      </c>
      <c r="I18" s="22">
        <f t="shared" si="3"/>
        <v>51.923226891024733</v>
      </c>
      <c r="J18" s="22">
        <f t="shared" si="4"/>
        <v>8.6474500343866776</v>
      </c>
      <c r="K18" s="16"/>
    </row>
    <row r="19" spans="1:11">
      <c r="A19" s="14"/>
      <c r="B19" s="9" t="str">
        <f>+[36]XX!A7</f>
        <v>Bolívar</v>
      </c>
      <c r="C19" s="21">
        <f>[36]XX!B7/1000000</f>
        <v>111.92828371999964</v>
      </c>
      <c r="D19" s="21">
        <f>[36]XX!E7/1000000</f>
        <v>98.612184019999873</v>
      </c>
      <c r="E19" s="22">
        <f t="shared" si="1"/>
        <v>-11.896992661221706</v>
      </c>
      <c r="F19" s="22">
        <f t="shared" si="2"/>
        <v>3.609671895826986</v>
      </c>
      <c r="G19" s="22">
        <f>[36]XX!C7/1000000</f>
        <v>6.6164090899999968</v>
      </c>
      <c r="H19" s="22">
        <f>[36]XX!F7/1000000</f>
        <v>8.7156860699999985</v>
      </c>
      <c r="I19" s="22">
        <f t="shared" si="3"/>
        <v>31.728343145722903</v>
      </c>
      <c r="J19" s="22">
        <f t="shared" si="4"/>
        <v>3.2872397656135943</v>
      </c>
      <c r="K19" s="16"/>
    </row>
    <row r="20" spans="1:11">
      <c r="A20" s="14"/>
      <c r="B20" s="9" t="str">
        <f>+[36]XX!A8</f>
        <v>Risaralda</v>
      </c>
      <c r="C20" s="21">
        <f>[36]XX!B8/1000000</f>
        <v>48.109550299999995</v>
      </c>
      <c r="D20" s="21">
        <f>[36]XX!E8/1000000</f>
        <v>47.388923289999873</v>
      </c>
      <c r="E20" s="22">
        <f t="shared" si="1"/>
        <v>-1.4978876449820433</v>
      </c>
      <c r="F20" s="22">
        <f t="shared" si="2"/>
        <v>1.7346585137869019</v>
      </c>
      <c r="G20" s="22">
        <f>[36]XX!C8/1000000</f>
        <v>6.1072165000000069</v>
      </c>
      <c r="H20" s="22">
        <f>[36]XX!F8/1000000</f>
        <v>3.9967766200000021</v>
      </c>
      <c r="I20" s="22">
        <f t="shared" si="3"/>
        <v>-34.556493617018525</v>
      </c>
      <c r="J20" s="22">
        <f t="shared" si="4"/>
        <v>1.5074387643173457</v>
      </c>
      <c r="K20" s="16"/>
    </row>
    <row r="21" spans="1:11">
      <c r="A21" s="14"/>
      <c r="B21" s="9" t="str">
        <f>+[36]XX!A9</f>
        <v>Caldas</v>
      </c>
      <c r="C21" s="21">
        <f>[36]XX!B9/1000000</f>
        <v>72.345921639999972</v>
      </c>
      <c r="D21" s="21">
        <f>[36]XX!E9/1000000</f>
        <v>40.240700890000021</v>
      </c>
      <c r="E21" s="22">
        <f t="shared" si="1"/>
        <v>-44.37737473268848</v>
      </c>
      <c r="F21" s="22">
        <f t="shared" si="2"/>
        <v>1.4729997972821822</v>
      </c>
      <c r="G21" s="22">
        <f>[36]XX!C9/1000000</f>
        <v>3.2647731500000003</v>
      </c>
      <c r="H21" s="22">
        <f>[36]XX!F9/1000000</f>
        <v>4.2464027</v>
      </c>
      <c r="I21" s="22">
        <f t="shared" si="3"/>
        <v>30.067312640083422</v>
      </c>
      <c r="J21" s="22">
        <f t="shared" si="4"/>
        <v>1.601588641919607</v>
      </c>
      <c r="K21" s="16"/>
    </row>
    <row r="22" spans="1:11">
      <c r="A22" s="14"/>
      <c r="B22" s="9" t="str">
        <f>+[36]XX!A10</f>
        <v>Norte de Santander</v>
      </c>
      <c r="C22" s="21">
        <f>[36]XX!B10/1000000</f>
        <v>252.14471240999987</v>
      </c>
      <c r="D22" s="21">
        <f>[36]XX!E10/1000000</f>
        <v>30.885797629999999</v>
      </c>
      <c r="E22" s="22">
        <f t="shared" si="1"/>
        <v>-87.750765290775504</v>
      </c>
      <c r="F22" s="22">
        <f t="shared" si="2"/>
        <v>1.130566134328792</v>
      </c>
      <c r="G22" s="22">
        <f>[36]XX!C10/1000000</f>
        <v>3.2883328900000022</v>
      </c>
      <c r="H22" s="22">
        <f>[36]XX!F10/1000000</f>
        <v>7.2925204799999985</v>
      </c>
      <c r="I22" s="22">
        <f t="shared" si="3"/>
        <v>121.7695325852485</v>
      </c>
      <c r="J22" s="22">
        <f t="shared" si="4"/>
        <v>2.7504734705764289</v>
      </c>
      <c r="K22" s="16"/>
    </row>
    <row r="23" spans="1:11">
      <c r="A23" s="14"/>
      <c r="B23" s="9" t="str">
        <f>+[36]XX!A11</f>
        <v>Cauca</v>
      </c>
      <c r="C23" s="21">
        <f>[36]XX!B11/1000000</f>
        <v>44.521905859999954</v>
      </c>
      <c r="D23" s="21">
        <f>[36]XX!E11/1000000</f>
        <v>30.033829829999952</v>
      </c>
      <c r="E23" s="22">
        <f t="shared" si="1"/>
        <v>-32.54145515593617</v>
      </c>
      <c r="F23" s="22">
        <f t="shared" si="2"/>
        <v>1.0993800871443387</v>
      </c>
      <c r="G23" s="22">
        <f>[36]XX!C11/1000000</f>
        <v>2.9787310500000008</v>
      </c>
      <c r="H23" s="22">
        <f>[36]XX!F11/1000000</f>
        <v>3.244201260000001</v>
      </c>
      <c r="I23" s="22">
        <f t="shared" si="3"/>
        <v>8.9121913171717804</v>
      </c>
      <c r="J23" s="22">
        <f t="shared" si="4"/>
        <v>1.2235947123237463</v>
      </c>
      <c r="K23" s="16"/>
    </row>
    <row r="24" spans="1:11">
      <c r="A24" s="14"/>
      <c r="B24" s="9" t="str">
        <f>+[36]XX!A12</f>
        <v>Santander</v>
      </c>
      <c r="C24" s="21">
        <f>[36]XX!B12/1000000</f>
        <v>41.719487410000113</v>
      </c>
      <c r="D24" s="21">
        <f>[36]XX!E12/1000000</f>
        <v>24.648334559999984</v>
      </c>
      <c r="E24" s="22">
        <f t="shared" si="1"/>
        <v>-40.918894046402386</v>
      </c>
      <c r="F24" s="22">
        <f t="shared" si="2"/>
        <v>0.90224551280730347</v>
      </c>
      <c r="G24" s="22">
        <f>[36]XX!C12/1000000</f>
        <v>3.0983339899999991</v>
      </c>
      <c r="H24" s="22">
        <f>[36]XX!F12/1000000</f>
        <v>2.8310435300000005</v>
      </c>
      <c r="I24" s="22">
        <f t="shared" si="3"/>
        <v>-8.6269091990304965</v>
      </c>
      <c r="J24" s="22">
        <f t="shared" si="4"/>
        <v>1.0677666445596388</v>
      </c>
      <c r="K24" s="16"/>
    </row>
    <row r="25" spans="1:11">
      <c r="A25" s="14"/>
      <c r="B25" s="9" t="str">
        <f>+[36]XX!A13</f>
        <v>Quindío</v>
      </c>
      <c r="C25" s="21">
        <f>[36]XX!B13/1000000</f>
        <v>18.985949399999992</v>
      </c>
      <c r="D25" s="21">
        <f>[36]XX!E13/1000000</f>
        <v>14.135862310000007</v>
      </c>
      <c r="E25" s="22">
        <f t="shared" si="1"/>
        <v>-25.545665311843646</v>
      </c>
      <c r="F25" s="22">
        <f t="shared" si="2"/>
        <v>0.51743935509366923</v>
      </c>
      <c r="G25" s="22">
        <f>[36]XX!C13/1000000</f>
        <v>0.70709135000000034</v>
      </c>
      <c r="H25" s="22">
        <f>[36]XX!F13/1000000</f>
        <v>0.96927462999999991</v>
      </c>
      <c r="I25" s="22">
        <f t="shared" si="3"/>
        <v>37.07912421782553</v>
      </c>
      <c r="J25" s="22">
        <f t="shared" si="4"/>
        <v>0.36557513452712093</v>
      </c>
      <c r="K25" s="16"/>
    </row>
    <row r="26" spans="1:11">
      <c r="A26" s="14"/>
      <c r="B26" s="9" t="str">
        <f>+[36]XX!A14</f>
        <v>Magdalena</v>
      </c>
      <c r="C26" s="21">
        <f>[36]XX!B14/1000000</f>
        <v>0.99460676000000037</v>
      </c>
      <c r="D26" s="21">
        <f>[36]XX!E14/1000000</f>
        <v>4.7207373899999974</v>
      </c>
      <c r="E26" s="22">
        <f t="shared" si="1"/>
        <v>374.63355165613353</v>
      </c>
      <c r="F26" s="22">
        <f t="shared" si="2"/>
        <v>0.17280129482586679</v>
      </c>
      <c r="G26" s="22">
        <f>[36]XX!C14/1000000</f>
        <v>5.3195039999999992E-2</v>
      </c>
      <c r="H26" s="22">
        <f>[36]XX!F14/1000000</f>
        <v>1.742208E-2</v>
      </c>
      <c r="I26" s="22">
        <f t="shared" si="3"/>
        <v>-67.248675816391895</v>
      </c>
      <c r="J26" s="22">
        <f t="shared" si="4"/>
        <v>6.5709748740068272E-3</v>
      </c>
      <c r="K26" s="16"/>
    </row>
    <row r="27" spans="1:11">
      <c r="A27" s="14"/>
      <c r="B27" s="9" t="str">
        <f>+[36]XX!A15</f>
        <v>Boyacá</v>
      </c>
      <c r="C27" s="21">
        <f>[36]XX!B15/1000000</f>
        <v>2.9713468799999996</v>
      </c>
      <c r="D27" s="21">
        <f>[36]XX!E15/1000000</f>
        <v>1.59750036</v>
      </c>
      <c r="E27" s="22">
        <f t="shared" si="1"/>
        <v>-46.236490570902298</v>
      </c>
      <c r="F27" s="22">
        <f t="shared" si="2"/>
        <v>5.8476061658830909E-2</v>
      </c>
      <c r="G27" s="22">
        <f>[36]XX!C15/1000000</f>
        <v>0.34566162</v>
      </c>
      <c r="H27" s="22">
        <f>[36]XX!F15/1000000</f>
        <v>3.0749209999999999E-2</v>
      </c>
      <c r="I27" s="22">
        <f t="shared" si="3"/>
        <v>-91.104245244236253</v>
      </c>
      <c r="J27" s="22">
        <f t="shared" si="4"/>
        <v>1.1597483555669556E-2</v>
      </c>
      <c r="K27" s="16"/>
    </row>
    <row r="28" spans="1:11">
      <c r="A28" s="14"/>
      <c r="B28" s="9" t="str">
        <f>+[36]XX!A16</f>
        <v>Tolima</v>
      </c>
      <c r="C28" s="21">
        <f>[36]XX!B16/1000000</f>
        <v>2.6301944200000005</v>
      </c>
      <c r="D28" s="21">
        <f>[36]XX!E16/1000000</f>
        <v>1.3441562199999997</v>
      </c>
      <c r="E28" s="22">
        <f t="shared" si="1"/>
        <v>-48.895176349739224</v>
      </c>
      <c r="F28" s="22">
        <f t="shared" si="2"/>
        <v>4.920246903720326E-2</v>
      </c>
      <c r="G28" s="22">
        <f>[36]XX!C16/1000000</f>
        <v>0.28256884999999998</v>
      </c>
      <c r="H28" s="22">
        <f>[36]XX!F16/1000000</f>
        <v>0.23356802999999998</v>
      </c>
      <c r="I28" s="22">
        <f t="shared" si="3"/>
        <v>-17.341196667644009</v>
      </c>
      <c r="J28" s="22">
        <f t="shared" si="4"/>
        <v>8.8093365229712672E-2</v>
      </c>
      <c r="K28" s="16"/>
    </row>
    <row r="29" spans="1:11">
      <c r="A29" s="14"/>
      <c r="B29" s="9" t="str">
        <f>+[36]XX!A17</f>
        <v>Nariño</v>
      </c>
      <c r="C29" s="21">
        <f>[36]XX!B17/1000000</f>
        <v>1.6768297899999995</v>
      </c>
      <c r="D29" s="21">
        <f>[36]XX!E17/1000000</f>
        <v>1.2323246700000003</v>
      </c>
      <c r="E29" s="22">
        <f t="shared" si="1"/>
        <v>-26.508660726978096</v>
      </c>
      <c r="F29" s="22">
        <f t="shared" si="2"/>
        <v>4.5108905882574248E-2</v>
      </c>
      <c r="G29" s="22">
        <f>[36]XX!C17/1000000</f>
        <v>0.19644618000000003</v>
      </c>
      <c r="H29" s="22">
        <f>[36]XX!F17/1000000</f>
        <v>0.12673835999999999</v>
      </c>
      <c r="I29" s="22">
        <f t="shared" si="3"/>
        <v>-35.484436500623239</v>
      </c>
      <c r="J29" s="22">
        <f t="shared" si="4"/>
        <v>4.7801099474507738E-2</v>
      </c>
      <c r="K29" s="16"/>
    </row>
    <row r="30" spans="1:11">
      <c r="A30" s="14"/>
      <c r="B30" s="9" t="str">
        <f>+[36]XX!A18</f>
        <v>Huila</v>
      </c>
      <c r="C30" s="21">
        <f>[36]XX!B18/1000000</f>
        <v>1.8210500000000001E-2</v>
      </c>
      <c r="D30" s="21">
        <f>[36]XX!E18/1000000</f>
        <v>0.39478013999999995</v>
      </c>
      <c r="E30" s="22">
        <f t="shared" si="1"/>
        <v>2067.8709535707417</v>
      </c>
      <c r="F30" s="22">
        <f t="shared" si="2"/>
        <v>1.4450818532724398E-2</v>
      </c>
      <c r="G30" s="22">
        <f>[36]XX!C18/1000000</f>
        <v>0</v>
      </c>
      <c r="H30" s="22">
        <f>[36]XX!F18/1000000</f>
        <v>6.7607199999999992E-2</v>
      </c>
      <c r="I30" s="22" t="str">
        <f t="shared" si="3"/>
        <v/>
      </c>
      <c r="J30" s="22">
        <f t="shared" si="4"/>
        <v>2.5498976729641597E-2</v>
      </c>
      <c r="K30" s="16"/>
    </row>
    <row r="31" spans="1:11">
      <c r="A31" s="14"/>
      <c r="B31" s="9" t="str">
        <f>+[36]XX!A19</f>
        <v>Guajira</v>
      </c>
      <c r="C31" s="21">
        <f>[36]XX!B19/1000000</f>
        <v>5.4075009999999999</v>
      </c>
      <c r="D31" s="21">
        <f>[36]XX!E19/1000000</f>
        <v>0.22795008</v>
      </c>
      <c r="E31" s="22">
        <f t="shared" si="1"/>
        <v>-95.784557783715613</v>
      </c>
      <c r="F31" s="22">
        <f t="shared" si="2"/>
        <v>8.344050034026558E-3</v>
      </c>
      <c r="G31" s="22">
        <f>[36]XX!C19/1000000</f>
        <v>5.8E-4</v>
      </c>
      <c r="H31" s="22">
        <f>[36]XX!F19/1000000</f>
        <v>0</v>
      </c>
      <c r="I31" s="22" t="str">
        <f t="shared" si="3"/>
        <v/>
      </c>
      <c r="J31" s="22">
        <f t="shared" si="4"/>
        <v>0</v>
      </c>
      <c r="K31" s="16"/>
    </row>
    <row r="32" spans="1:11">
      <c r="A32" s="14"/>
      <c r="B32" s="9" t="str">
        <f>+[36]XX!A20</f>
        <v>Cesar</v>
      </c>
      <c r="C32" s="21">
        <f>[36]XX!B20/1000000</f>
        <v>3.83829032</v>
      </c>
      <c r="D32" s="21">
        <f>[36]XX!E20/1000000</f>
        <v>0.11278908999999999</v>
      </c>
      <c r="E32" s="22">
        <f t="shared" si="1"/>
        <v>-97.061475797901608</v>
      </c>
      <c r="F32" s="22">
        <f t="shared" si="2"/>
        <v>4.1286136431815442E-3</v>
      </c>
      <c r="G32" s="22">
        <f>[36]XX!C20/1000000</f>
        <v>2.9999999999999997E-4</v>
      </c>
      <c r="H32" s="22">
        <f>[36]XX!F20/1000000</f>
        <v>0</v>
      </c>
      <c r="I32" s="22" t="str">
        <f t="shared" si="3"/>
        <v/>
      </c>
      <c r="J32" s="22">
        <f t="shared" si="4"/>
        <v>0</v>
      </c>
      <c r="K32" s="16"/>
    </row>
    <row r="33" spans="1:13">
      <c r="A33" s="14"/>
      <c r="B33" s="9" t="str">
        <f>+[36]XX!A21</f>
        <v>Vaupés</v>
      </c>
      <c r="C33" s="21">
        <f>[36]XX!B21/1000000</f>
        <v>2.0668999999999999E-4</v>
      </c>
      <c r="D33" s="21">
        <f>[36]XX!E21/1000000</f>
        <v>9.5776199999999992E-2</v>
      </c>
      <c r="E33" s="22">
        <f t="shared" si="1"/>
        <v>46238.090860709272</v>
      </c>
      <c r="F33" s="22">
        <f t="shared" si="2"/>
        <v>3.5058614801492258E-3</v>
      </c>
      <c r="G33" s="22">
        <f>[36]XX!C21/1000000</f>
        <v>0</v>
      </c>
      <c r="H33" s="22">
        <f>[36]XX!F21/1000000</f>
        <v>8.8708080000000009E-2</v>
      </c>
      <c r="I33" s="22" t="str">
        <f t="shared" si="3"/>
        <v/>
      </c>
      <c r="J33" s="22">
        <f t="shared" si="4"/>
        <v>3.3457461152823748E-2</v>
      </c>
      <c r="K33" s="16"/>
    </row>
    <row r="34" spans="1:13">
      <c r="A34" s="14"/>
      <c r="B34" s="9" t="str">
        <f>+[36]XX!A22</f>
        <v>Aráuca</v>
      </c>
      <c r="C34" s="21">
        <f>[36]XX!B22/1000000</f>
        <v>0.28598229999999997</v>
      </c>
      <c r="D34" s="21">
        <f>[36]XX!E22/1000000</f>
        <v>4.7588270000000002E-2</v>
      </c>
      <c r="E34" s="22">
        <f t="shared" si="1"/>
        <v>-83.359714919419829</v>
      </c>
      <c r="F34" s="22">
        <f t="shared" si="2"/>
        <v>1.7419555453227526E-3</v>
      </c>
      <c r="G34" s="22">
        <f>[36]XX!C22/1000000</f>
        <v>1.1779799999999999E-3</v>
      </c>
      <c r="H34" s="22">
        <f>[36]XX!F22/1000000</f>
        <v>1.9617100000000002E-3</v>
      </c>
      <c r="I34" s="22">
        <f t="shared" si="3"/>
        <v>66.531689841932831</v>
      </c>
      <c r="J34" s="22">
        <f t="shared" si="4"/>
        <v>7.3988565774511035E-4</v>
      </c>
      <c r="K34" s="16"/>
    </row>
    <row r="35" spans="1:13">
      <c r="A35" s="14"/>
      <c r="B35" s="9" t="str">
        <f>+[36]XX!A23</f>
        <v>Meta</v>
      </c>
      <c r="C35" s="21">
        <f>[36]XX!B23/1000000</f>
        <v>7.1233999999999994E-3</v>
      </c>
      <c r="D35" s="21">
        <f>[36]XX!E23/1000000</f>
        <v>1.8244509999999999E-2</v>
      </c>
      <c r="E35" s="22">
        <f t="shared" si="1"/>
        <v>156.12081309487044</v>
      </c>
      <c r="F35" s="22">
        <f t="shared" si="2"/>
        <v>6.6783527466319765E-4</v>
      </c>
      <c r="G35" s="22">
        <f>[36]XX!C23/1000000</f>
        <v>0</v>
      </c>
      <c r="H35" s="22">
        <f>[36]XX!F23/1000000</f>
        <v>0</v>
      </c>
      <c r="I35" s="22" t="str">
        <f t="shared" si="3"/>
        <v/>
      </c>
      <c r="J35" s="22">
        <f t="shared" si="4"/>
        <v>0</v>
      </c>
      <c r="K35" s="16"/>
    </row>
    <row r="36" spans="1:13">
      <c r="A36" s="14"/>
      <c r="B36" s="9" t="str">
        <f>+[36]XX!A24</f>
        <v>Sucre</v>
      </c>
      <c r="C36" s="21">
        <f>[36]XX!B24/1000000</f>
        <v>5.28012E-2</v>
      </c>
      <c r="D36" s="21">
        <f>[36]XX!E24/1000000</f>
        <v>1.197E-2</v>
      </c>
      <c r="E36" s="22">
        <f t="shared" si="1"/>
        <v>-77.33006068043909</v>
      </c>
      <c r="F36" s="22">
        <f t="shared" si="2"/>
        <v>4.3815856045015597E-4</v>
      </c>
      <c r="G36" s="22">
        <f>[36]XX!C24/1000000</f>
        <v>3.2870000000000003E-2</v>
      </c>
      <c r="H36" s="22">
        <f>[36]XX!F24/1000000</f>
        <v>0</v>
      </c>
      <c r="I36" s="22" t="str">
        <f t="shared" si="3"/>
        <v/>
      </c>
      <c r="J36" s="22">
        <f t="shared" si="4"/>
        <v>0</v>
      </c>
      <c r="K36" s="16"/>
    </row>
    <row r="37" spans="1:13">
      <c r="A37" s="14"/>
      <c r="B37" s="9" t="str">
        <f>+[36]XX!A25</f>
        <v>Putumayo</v>
      </c>
      <c r="C37" s="21">
        <f>[36]XX!B25/1000000</f>
        <v>0</v>
      </c>
      <c r="D37" s="21">
        <f>[36]XX!E25/1000000</f>
        <v>9.7584999999999998E-3</v>
      </c>
      <c r="E37" s="22" t="str">
        <f t="shared" si="1"/>
        <v/>
      </c>
      <c r="F37" s="22">
        <f t="shared" si="2"/>
        <v>3.5720721070616937E-4</v>
      </c>
      <c r="G37" s="22">
        <f>[36]XX!C25/1000000</f>
        <v>0</v>
      </c>
      <c r="H37" s="22">
        <f>[36]XX!F25/1000000</f>
        <v>0</v>
      </c>
      <c r="I37" s="22" t="str">
        <f t="shared" si="3"/>
        <v/>
      </c>
      <c r="J37" s="22">
        <f t="shared" si="4"/>
        <v>0</v>
      </c>
      <c r="K37" s="16"/>
    </row>
    <row r="38" spans="1:13">
      <c r="A38" s="14"/>
      <c r="B38" s="9" t="str">
        <f>+[36]XX!A26</f>
        <v>San Andrés</v>
      </c>
      <c r="C38" s="21">
        <f>[36]XX!B26/1000000</f>
        <v>2.0651660000000002E-2</v>
      </c>
      <c r="D38" s="21">
        <f>[36]XX!E26/1000000</f>
        <v>4.9976000000000005E-3</v>
      </c>
      <c r="E38" s="22">
        <f t="shared" si="1"/>
        <v>-75.800492551204115</v>
      </c>
      <c r="F38" s="22">
        <f t="shared" si="2"/>
        <v>1.8293577457858813E-4</v>
      </c>
      <c r="G38" s="22">
        <f>[36]XX!C26/1000000</f>
        <v>0</v>
      </c>
      <c r="H38" s="22">
        <f>[36]XX!F26/1000000</f>
        <v>0</v>
      </c>
      <c r="I38" s="22" t="str">
        <f t="shared" si="3"/>
        <v/>
      </c>
      <c r="J38" s="22">
        <f t="shared" si="4"/>
        <v>0</v>
      </c>
      <c r="K38" s="16"/>
    </row>
    <row r="39" spans="1:13">
      <c r="A39" s="14"/>
      <c r="B39" s="9" t="str">
        <f>+[36]XX!A27</f>
        <v>Guaviare</v>
      </c>
      <c r="C39" s="21">
        <f>[36]XX!B27/1000000</f>
        <v>0</v>
      </c>
      <c r="D39" s="21">
        <f>[36]XX!E27/1000000</f>
        <v>4.5744399999999999E-3</v>
      </c>
      <c r="E39" s="22" t="str">
        <f t="shared" si="1"/>
        <v/>
      </c>
      <c r="F39" s="22">
        <f t="shared" si="2"/>
        <v>1.6744611906980883E-4</v>
      </c>
      <c r="G39" s="22">
        <f>[36]XX!C27/1000000</f>
        <v>0</v>
      </c>
      <c r="H39" s="22">
        <f>[36]XX!F27/1000000</f>
        <v>0</v>
      </c>
      <c r="I39" s="22" t="str">
        <f t="shared" si="3"/>
        <v/>
      </c>
      <c r="J39" s="22">
        <f t="shared" si="4"/>
        <v>0</v>
      </c>
      <c r="K39" s="16"/>
    </row>
    <row r="40" spans="1:13">
      <c r="A40" s="14"/>
      <c r="B40" s="9" t="str">
        <f>+[36]XX!A28</f>
        <v>Córdoba</v>
      </c>
      <c r="C40" s="21">
        <f>[36]XX!B28/1000000</f>
        <v>8.8550792999999999</v>
      </c>
      <c r="D40" s="21">
        <f>[36]XX!E28/1000000</f>
        <v>2.7750000000000001E-3</v>
      </c>
      <c r="E40" s="22">
        <f t="shared" si="1"/>
        <v>-99.968662053653219</v>
      </c>
      <c r="F40" s="22">
        <f t="shared" si="2"/>
        <v>1.0157811238506124E-4</v>
      </c>
      <c r="G40" s="22">
        <f>[36]XX!C28/1000000</f>
        <v>1.0617E-2</v>
      </c>
      <c r="H40" s="22">
        <f>[36]XX!F28/1000000</f>
        <v>0</v>
      </c>
      <c r="I40" s="22" t="str">
        <f t="shared" si="3"/>
        <v/>
      </c>
      <c r="J40" s="22">
        <f t="shared" si="4"/>
        <v>0</v>
      </c>
      <c r="K40" s="16"/>
    </row>
    <row r="41" spans="1:13">
      <c r="A41" s="14"/>
      <c r="B41" s="9" t="str">
        <f>+[36]XX!A29</f>
        <v>Vichada</v>
      </c>
      <c r="C41" s="21">
        <f>[36]XX!B29/1000000</f>
        <v>0</v>
      </c>
      <c r="D41" s="21">
        <f>[36]XX!E29/1000000</f>
        <v>1.4668800000000001E-3</v>
      </c>
      <c r="E41" s="22" t="str">
        <f t="shared" si="1"/>
        <v/>
      </c>
      <c r="F41" s="22">
        <f t="shared" si="2"/>
        <v>5.3694739277621119E-5</v>
      </c>
      <c r="G41" s="22">
        <f>[36]XX!C29/1000000</f>
        <v>0</v>
      </c>
      <c r="H41" s="22">
        <f>[36]XX!F29/1000000</f>
        <v>0</v>
      </c>
      <c r="I41" s="22" t="str">
        <f t="shared" si="3"/>
        <v/>
      </c>
      <c r="J41" s="22">
        <f t="shared" si="4"/>
        <v>0</v>
      </c>
      <c r="K41" s="16"/>
    </row>
    <row r="42" spans="1:13">
      <c r="A42" s="14"/>
      <c r="B42" s="9" t="str">
        <f>+[36]XX!A30</f>
        <v>Chocó</v>
      </c>
      <c r="C42" s="21">
        <f>[36]XX!B30/1000000</f>
        <v>0</v>
      </c>
      <c r="D42" s="21">
        <f>[36]XX!E30/1000000</f>
        <v>1.377E-3</v>
      </c>
      <c r="E42" s="22" t="str">
        <f t="shared" si="1"/>
        <v/>
      </c>
      <c r="F42" s="22">
        <f t="shared" si="2"/>
        <v>5.0404706578100656E-5</v>
      </c>
      <c r="G42" s="22">
        <f>[36]XX!C30/1000000</f>
        <v>0</v>
      </c>
      <c r="H42" s="22">
        <f>[36]XX!F30/1000000</f>
        <v>0</v>
      </c>
      <c r="I42" s="22" t="str">
        <f t="shared" si="3"/>
        <v/>
      </c>
      <c r="J42" s="22">
        <f t="shared" si="4"/>
        <v>0</v>
      </c>
      <c r="K42" s="16"/>
    </row>
    <row r="43" spans="1:13">
      <c r="A43" s="14"/>
      <c r="B43" s="9" t="str">
        <f>+[36]XX!A31</f>
        <v>Amazonas</v>
      </c>
      <c r="C43" s="21">
        <f>[36]XX!B31/1000000</f>
        <v>2.3957880000000001E-2</v>
      </c>
      <c r="D43" s="21">
        <f>[36]XX!E31/1000000</f>
        <v>7.4981999999999989E-4</v>
      </c>
      <c r="E43" s="22">
        <f t="shared" si="1"/>
        <v>-96.870257301564237</v>
      </c>
      <c r="F43" s="22">
        <f t="shared" si="2"/>
        <v>2.7446955037321298E-5</v>
      </c>
      <c r="G43" s="22">
        <f>[36]XX!C31/1000000</f>
        <v>0</v>
      </c>
      <c r="H43" s="22">
        <f>[36]XX!F31/1000000</f>
        <v>0</v>
      </c>
      <c r="I43" s="22" t="str">
        <f t="shared" si="3"/>
        <v/>
      </c>
      <c r="J43" s="22">
        <f t="shared" si="4"/>
        <v>0</v>
      </c>
      <c r="K43" s="16"/>
    </row>
    <row r="44" spans="1:13">
      <c r="A44" s="14"/>
      <c r="B44" s="9" t="str">
        <f>+[36]XX!A32</f>
        <v>Caquetá</v>
      </c>
      <c r="C44" s="21">
        <f>[36]XX!B32/1000000</f>
        <v>3.3217000000000001E-4</v>
      </c>
      <c r="D44" s="21">
        <f>[36]XX!E32/1000000</f>
        <v>5.04E-4</v>
      </c>
      <c r="E44" s="22">
        <f t="shared" si="1"/>
        <v>51.729536080922415</v>
      </c>
      <c r="F44" s="22">
        <f t="shared" si="2"/>
        <v>1.8448781492638147E-5</v>
      </c>
      <c r="G44" s="22">
        <f>[36]XX!C32/1000000</f>
        <v>0</v>
      </c>
      <c r="H44" s="22">
        <f>[36]XX!F32/1000000</f>
        <v>0</v>
      </c>
      <c r="I44" s="22" t="str">
        <f t="shared" si="3"/>
        <v/>
      </c>
      <c r="J44" s="22">
        <f t="shared" si="4"/>
        <v>0</v>
      </c>
      <c r="K44" s="16"/>
    </row>
    <row r="45" spans="1:13">
      <c r="A45" s="14"/>
      <c r="B45" s="9" t="str">
        <f>+[36]XX!A33</f>
        <v>Casanare</v>
      </c>
      <c r="C45" s="21">
        <f>[36]XX!B33/1000000</f>
        <v>0.30638799999999999</v>
      </c>
      <c r="D45" s="21">
        <f>[36]XX!E33/1000000</f>
        <v>0</v>
      </c>
      <c r="E45" s="22" t="str">
        <f t="shared" si="1"/>
        <v/>
      </c>
      <c r="F45" s="22">
        <f t="shared" si="2"/>
        <v>0</v>
      </c>
      <c r="G45" s="22">
        <f>[36]XX!C33/1000000</f>
        <v>0</v>
      </c>
      <c r="H45" s="22">
        <f>[36]XX!F33/1000000</f>
        <v>0</v>
      </c>
      <c r="I45" s="22" t="str">
        <f t="shared" si="3"/>
        <v/>
      </c>
      <c r="J45" s="22">
        <f t="shared" si="4"/>
        <v>0</v>
      </c>
      <c r="K45" s="16"/>
    </row>
    <row r="46" spans="1:13">
      <c r="A46" s="14"/>
      <c r="B46" s="9" t="str">
        <f>+[36]XX!A34</f>
        <v>Guainía</v>
      </c>
      <c r="C46" s="21">
        <f>[36]XX!B34/1000000</f>
        <v>6.5407240000000005E-2</v>
      </c>
      <c r="D46" s="21">
        <f>[36]XX!E34/1000000</f>
        <v>0</v>
      </c>
      <c r="E46" s="22" t="str">
        <f t="shared" si="1"/>
        <v/>
      </c>
      <c r="F46" s="22">
        <f t="shared" si="2"/>
        <v>0</v>
      </c>
      <c r="G46" s="22">
        <f>[36]XX!C34/1000000</f>
        <v>0</v>
      </c>
      <c r="H46" s="22">
        <f>[36]XX!F34/1000000</f>
        <v>0</v>
      </c>
      <c r="I46" s="22" t="str">
        <f t="shared" si="3"/>
        <v/>
      </c>
      <c r="J46" s="22">
        <f t="shared" si="4"/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tr">
        <f>IF(F47="","",1)</f>
        <v/>
      </c>
    </row>
    <row r="48" spans="1:13">
      <c r="A48" s="17"/>
      <c r="B48" s="39" t="s">
        <v>26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104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f>SUM(C14:C44)</f>
        <v>3779.2027349499995</v>
      </c>
      <c r="D13" s="99">
        <f>SUM(D14:D44)</f>
        <v>4053.3423058499939</v>
      </c>
      <c r="E13" s="98">
        <f>IF(OR(OR(D13=0,C13=0),D13=""),"",(D13/C13-1)*100)</f>
        <v>7.2538995689423125</v>
      </c>
      <c r="F13" s="98">
        <f>(D13/D$13)*100</f>
        <v>100</v>
      </c>
      <c r="G13" s="98">
        <f>SUM(G14:G44)</f>
        <v>348.43299508999979</v>
      </c>
      <c r="H13" s="98">
        <f>SUM(H14:H44)</f>
        <v>372.23593557999988</v>
      </c>
      <c r="I13" s="98">
        <f>IF(OR(OR(H13=0,G13=0),H13=""),"",(H13/G13-1)*100)</f>
        <v>6.8314255037333016</v>
      </c>
      <c r="J13" s="98">
        <f>(H13/H$13)*100</f>
        <v>100</v>
      </c>
      <c r="K13" s="16"/>
    </row>
    <row r="14" spans="1:14">
      <c r="A14" s="14"/>
      <c r="B14" s="9" t="str">
        <f>+[37]XX!A2</f>
        <v>Córdoba</v>
      </c>
      <c r="C14" s="21">
        <f>[37]XX!B2/1000000</f>
        <v>546.60427441000013</v>
      </c>
      <c r="D14" s="21">
        <f>[37]XX!E2/1000000</f>
        <v>963.04137242999991</v>
      </c>
      <c r="E14" s="22">
        <f>IF(OR(OR(D14=0,C14=0),D14=""),"",(D14/C14-1)*100)</f>
        <v>76.186213228847933</v>
      </c>
      <c r="F14" s="22">
        <f>(D14/D$13)*100</f>
        <v>23.759191791921662</v>
      </c>
      <c r="G14" s="22">
        <f>[37]XX!C2/1000000</f>
        <v>87.302017460000002</v>
      </c>
      <c r="H14" s="22">
        <f>[37]XX!F2/1000000</f>
        <v>93.431924309999999</v>
      </c>
      <c r="I14" s="22">
        <f>IF(OR(OR(H14=0,G14=0),H14=""),"",(H14/G14-1)*100)</f>
        <v>7.0214950677498278</v>
      </c>
      <c r="J14" s="22">
        <f>(H14/H$13)*100</f>
        <v>25.100189256155218</v>
      </c>
      <c r="K14" s="16"/>
    </row>
    <row r="15" spans="1:14">
      <c r="A15" s="14"/>
      <c r="B15" s="9" t="str">
        <f>+[37]XX!A3</f>
        <v>Bolívar</v>
      </c>
      <c r="C15" s="21">
        <f>[37]XX!B3/1000000</f>
        <v>923.25735318999932</v>
      </c>
      <c r="D15" s="21">
        <f>[37]XX!E3/1000000</f>
        <v>902.09165615999962</v>
      </c>
      <c r="E15" s="22">
        <f t="shared" ref="E15:E44" si="0">IF(OR(OR(D15=0,C15=0),D15=""),"",(D15/C15-1)*100)</f>
        <v>-2.2925024054093801</v>
      </c>
      <c r="F15" s="22">
        <f t="shared" ref="F15:F44" si="1">(D15/D$13)*100</f>
        <v>22.255501462535108</v>
      </c>
      <c r="G15" s="22">
        <f>[37]XX!C3/1000000</f>
        <v>70.825563500000015</v>
      </c>
      <c r="H15" s="22">
        <f>[37]XX!F3/1000000</f>
        <v>65.375595400000009</v>
      </c>
      <c r="I15" s="22">
        <f t="shared" ref="I15:I44" si="2">IF(OR(OR(H15=0,G15=0),H15=""),"",(H15/G15-1)*100)</f>
        <v>-7.6949166807546927</v>
      </c>
      <c r="J15" s="22">
        <f t="shared" ref="J15:J44" si="3">(H15/H$13)*100</f>
        <v>17.562945742499295</v>
      </c>
      <c r="K15" s="16"/>
    </row>
    <row r="16" spans="1:14">
      <c r="A16" s="14"/>
      <c r="B16" s="10" t="str">
        <f>+[37]XX!A4</f>
        <v>Bogotá</v>
      </c>
      <c r="C16" s="23">
        <f>[37]XX!B4/1000000</f>
        <v>681.58941965999918</v>
      </c>
      <c r="D16" s="23">
        <f>[37]XX!E4/1000000</f>
        <v>675.88548984999693</v>
      </c>
      <c r="E16" s="25">
        <f t="shared" si="0"/>
        <v>-0.83685715263120963</v>
      </c>
      <c r="F16" s="25">
        <f t="shared" si="1"/>
        <v>16.67476958150127</v>
      </c>
      <c r="G16" s="25">
        <f>[37]XX!C4/1000000</f>
        <v>57.841998799999971</v>
      </c>
      <c r="H16" s="25">
        <f>[37]XX!F4/1000000</f>
        <v>52.165011019999881</v>
      </c>
      <c r="I16" s="25">
        <f t="shared" si="2"/>
        <v>-9.8146466197155178</v>
      </c>
      <c r="J16" s="25">
        <f t="shared" si="3"/>
        <v>14.013964272073546</v>
      </c>
      <c r="K16" s="16"/>
    </row>
    <row r="17" spans="1:11">
      <c r="A17" s="14"/>
      <c r="B17" s="9" t="str">
        <f>+[37]XX!A5</f>
        <v>Antioquia</v>
      </c>
      <c r="C17" s="21">
        <f>[37]XX!B5/1000000</f>
        <v>343.3360518500009</v>
      </c>
      <c r="D17" s="21">
        <f>[37]XX!E5/1000000</f>
        <v>406.89434274999809</v>
      </c>
      <c r="E17" s="22">
        <f t="shared" si="0"/>
        <v>18.511976985092438</v>
      </c>
      <c r="F17" s="22">
        <f t="shared" si="1"/>
        <v>10.038489524132888</v>
      </c>
      <c r="G17" s="22">
        <f>[37]XX!C5/1000000</f>
        <v>32.606349789999896</v>
      </c>
      <c r="H17" s="22">
        <f>[37]XX!F5/1000000</f>
        <v>40.282784640000045</v>
      </c>
      <c r="I17" s="22">
        <f t="shared" si="2"/>
        <v>23.542760534190332</v>
      </c>
      <c r="J17" s="22">
        <f t="shared" si="3"/>
        <v>10.821841952801622</v>
      </c>
      <c r="K17" s="16"/>
    </row>
    <row r="18" spans="1:11">
      <c r="A18" s="14"/>
      <c r="B18" s="9" t="str">
        <f>+[37]XX!A6</f>
        <v>Valle del Cauca</v>
      </c>
      <c r="C18" s="21">
        <f>[37]XX!B6/1000000</f>
        <v>334.03473727000016</v>
      </c>
      <c r="D18" s="21">
        <f>[37]XX!E6/1000000</f>
        <v>323.31945525999947</v>
      </c>
      <c r="E18" s="22">
        <f t="shared" si="0"/>
        <v>-3.2078346394673107</v>
      </c>
      <c r="F18" s="22">
        <f t="shared" si="1"/>
        <v>7.9766136403868009</v>
      </c>
      <c r="G18" s="22">
        <f>[37]XX!C6/1000000</f>
        <v>30.566090569999997</v>
      </c>
      <c r="H18" s="22">
        <f>[37]XX!F6/1000000</f>
        <v>27.409994089999955</v>
      </c>
      <c r="I18" s="22">
        <f t="shared" si="2"/>
        <v>-10.325482981777478</v>
      </c>
      <c r="J18" s="22">
        <f t="shared" si="3"/>
        <v>7.3636077202731753</v>
      </c>
      <c r="K18" s="16"/>
    </row>
    <row r="19" spans="1:11">
      <c r="A19" s="14"/>
      <c r="B19" s="9" t="str">
        <f>+[37]XX!A7</f>
        <v>Cundinamarca</v>
      </c>
      <c r="C19" s="21">
        <f>[37]XX!B7/1000000</f>
        <v>279.09835841999973</v>
      </c>
      <c r="D19" s="21">
        <f>[37]XX!E7/1000000</f>
        <v>310.64163436000041</v>
      </c>
      <c r="E19" s="22">
        <f t="shared" si="0"/>
        <v>11.301849326011769</v>
      </c>
      <c r="F19" s="22">
        <f t="shared" si="1"/>
        <v>7.6638391460712869</v>
      </c>
      <c r="G19" s="22">
        <f>[37]XX!C7/1000000</f>
        <v>24.568186269999952</v>
      </c>
      <c r="H19" s="22">
        <f>[37]XX!F7/1000000</f>
        <v>41.175817080000023</v>
      </c>
      <c r="I19" s="22">
        <f t="shared" si="2"/>
        <v>67.598115007291113</v>
      </c>
      <c r="J19" s="22">
        <f t="shared" si="3"/>
        <v>11.061752277044899</v>
      </c>
      <c r="K19" s="16"/>
    </row>
    <row r="20" spans="1:11">
      <c r="A20" s="14"/>
      <c r="B20" s="9" t="str">
        <f>+[37]XX!A8</f>
        <v>Atlántico</v>
      </c>
      <c r="C20" s="21">
        <f>[37]XX!B8/1000000</f>
        <v>312.36288572000024</v>
      </c>
      <c r="D20" s="21">
        <f>[37]XX!E8/1000000</f>
        <v>267.26707361999945</v>
      </c>
      <c r="E20" s="22">
        <f t="shared" si="0"/>
        <v>-14.436994329865527</v>
      </c>
      <c r="F20" s="22">
        <f t="shared" si="1"/>
        <v>6.5937454439578351</v>
      </c>
      <c r="G20" s="22">
        <f>[37]XX!C8/1000000</f>
        <v>22.518238539999999</v>
      </c>
      <c r="H20" s="22">
        <f>[37]XX!F8/1000000</f>
        <v>36.033185459999949</v>
      </c>
      <c r="I20" s="22">
        <f t="shared" si="2"/>
        <v>60.017780236197595</v>
      </c>
      <c r="J20" s="22">
        <f t="shared" si="3"/>
        <v>9.6802006511958059</v>
      </c>
      <c r="K20" s="16"/>
    </row>
    <row r="21" spans="1:11">
      <c r="A21" s="14"/>
      <c r="B21" s="9" t="str">
        <f>+[37]XX!A9</f>
        <v>Caldas</v>
      </c>
      <c r="C21" s="21">
        <f>[37]XX!B9/1000000</f>
        <v>137.00714993999972</v>
      </c>
      <c r="D21" s="21">
        <f>[37]XX!E9/1000000</f>
        <v>116.35317624000024</v>
      </c>
      <c r="E21" s="22">
        <f t="shared" si="0"/>
        <v>-15.075106451776122</v>
      </c>
      <c r="F21" s="22">
        <f t="shared" si="1"/>
        <v>2.8705489805801325</v>
      </c>
      <c r="G21" s="22">
        <f>[37]XX!C9/1000000</f>
        <v>8.2905436200000047</v>
      </c>
      <c r="H21" s="22">
        <f>[37]XX!F9/1000000</f>
        <v>9.1206092999999981</v>
      </c>
      <c r="I21" s="22">
        <f t="shared" si="2"/>
        <v>10.01219845219261</v>
      </c>
      <c r="J21" s="22">
        <f t="shared" si="3"/>
        <v>2.4502226755159224</v>
      </c>
      <c r="K21" s="16"/>
    </row>
    <row r="22" spans="1:11">
      <c r="A22" s="14"/>
      <c r="B22" s="9" t="str">
        <f>+[37]XX!A10</f>
        <v>Santander</v>
      </c>
      <c r="C22" s="21">
        <f>[37]XX!B10/1000000</f>
        <v>41.600172610000058</v>
      </c>
      <c r="D22" s="21">
        <f>[37]XX!E10/1000000</f>
        <v>31.718577539999995</v>
      </c>
      <c r="E22" s="22">
        <f t="shared" si="0"/>
        <v>-23.753735742011507</v>
      </c>
      <c r="F22" s="22">
        <f t="shared" si="1"/>
        <v>0.78252896367084768</v>
      </c>
      <c r="G22" s="22">
        <f>[37]XX!C10/1000000</f>
        <v>2.4212923999999991</v>
      </c>
      <c r="H22" s="22">
        <f>[37]XX!F10/1000000</f>
        <v>2.6112991499999998</v>
      </c>
      <c r="I22" s="22">
        <f t="shared" si="2"/>
        <v>7.8473277329082824</v>
      </c>
      <c r="J22" s="22">
        <f t="shared" si="3"/>
        <v>0.7015172100273448</v>
      </c>
      <c r="K22" s="16"/>
    </row>
    <row r="23" spans="1:11">
      <c r="A23" s="14"/>
      <c r="B23" s="9" t="str">
        <f>+[37]XX!A11</f>
        <v>Cauca</v>
      </c>
      <c r="C23" s="21">
        <f>[37]XX!B11/1000000</f>
        <v>37.628523150000021</v>
      </c>
      <c r="D23" s="21">
        <f>[37]XX!E11/1000000</f>
        <v>28.650665040000003</v>
      </c>
      <c r="E23" s="22">
        <f t="shared" si="0"/>
        <v>-23.85918276465765</v>
      </c>
      <c r="F23" s="22">
        <f t="shared" si="1"/>
        <v>0.70684050045933389</v>
      </c>
      <c r="G23" s="22">
        <f>[37]XX!C11/1000000</f>
        <v>4.804435090000001</v>
      </c>
      <c r="H23" s="22">
        <f>[37]XX!F11/1000000</f>
        <v>2.3762642200000004</v>
      </c>
      <c r="I23" s="22">
        <f t="shared" si="2"/>
        <v>-50.540195142900771</v>
      </c>
      <c r="J23" s="22">
        <f t="shared" si="3"/>
        <v>0.63837582373593815</v>
      </c>
      <c r="K23" s="16"/>
    </row>
    <row r="24" spans="1:11">
      <c r="A24" s="14"/>
      <c r="B24" s="9" t="str">
        <f>+[37]XX!A12</f>
        <v>Norte de Santander</v>
      </c>
      <c r="C24" s="21">
        <f>[37]XX!B12/1000000</f>
        <v>86.849035230000013</v>
      </c>
      <c r="D24" s="21">
        <f>[37]XX!E12/1000000</f>
        <v>7.8218147399999989</v>
      </c>
      <c r="E24" s="22">
        <f t="shared" si="0"/>
        <v>-90.99378050742223</v>
      </c>
      <c r="F24" s="22">
        <f t="shared" si="1"/>
        <v>0.19297197595947302</v>
      </c>
      <c r="G24" s="22">
        <f>[37]XX!C12/1000000</f>
        <v>0.35812874000000006</v>
      </c>
      <c r="H24" s="22">
        <f>[37]XX!F12/1000000</f>
        <v>0.48824864000000001</v>
      </c>
      <c r="I24" s="22">
        <f t="shared" si="2"/>
        <v>36.333275011661989</v>
      </c>
      <c r="J24" s="22">
        <f t="shared" si="3"/>
        <v>0.13116644400257454</v>
      </c>
      <c r="K24" s="16"/>
    </row>
    <row r="25" spans="1:11">
      <c r="A25" s="14"/>
      <c r="B25" s="9" t="str">
        <f>+[37]XX!A13</f>
        <v>Risaralda</v>
      </c>
      <c r="C25" s="21">
        <f>[37]XX!B13/1000000</f>
        <v>36.04100190000004</v>
      </c>
      <c r="D25" s="21">
        <f>[37]XX!E13/1000000</f>
        <v>7.4314772800000028</v>
      </c>
      <c r="E25" s="22">
        <f t="shared" si="0"/>
        <v>-79.380491972394381</v>
      </c>
      <c r="F25" s="22">
        <f t="shared" si="1"/>
        <v>0.1833419612568746</v>
      </c>
      <c r="G25" s="22">
        <f>[37]XX!C13/1000000</f>
        <v>4.9281163599999998</v>
      </c>
      <c r="H25" s="22">
        <f>[37]XX!F13/1000000</f>
        <v>0.69928955999999998</v>
      </c>
      <c r="I25" s="22">
        <f t="shared" si="2"/>
        <v>-85.810205991158867</v>
      </c>
      <c r="J25" s="22">
        <f t="shared" si="3"/>
        <v>0.18786191583313983</v>
      </c>
      <c r="K25" s="16"/>
    </row>
    <row r="26" spans="1:11">
      <c r="A26" s="14"/>
      <c r="B26" s="9" t="str">
        <f>+[37]XX!A14</f>
        <v>Magdalena</v>
      </c>
      <c r="C26" s="21">
        <f>[37]XX!B14/1000000</f>
        <v>7.8439918000000004</v>
      </c>
      <c r="D26" s="21">
        <f>[37]XX!E14/1000000</f>
        <v>5.2521776399999993</v>
      </c>
      <c r="E26" s="22">
        <f t="shared" si="0"/>
        <v>-33.042030462092029</v>
      </c>
      <c r="F26" s="22">
        <f t="shared" si="1"/>
        <v>0.12957646415452709</v>
      </c>
      <c r="G26" s="22">
        <f>[37]XX!C14/1000000</f>
        <v>2.6335999999999998E-2</v>
      </c>
      <c r="H26" s="22">
        <f>[37]XX!F14/1000000</f>
        <v>0.64688796999999998</v>
      </c>
      <c r="I26" s="22">
        <f t="shared" si="2"/>
        <v>2356.287856925881</v>
      </c>
      <c r="J26" s="22">
        <f t="shared" si="3"/>
        <v>0.17378439537065402</v>
      </c>
      <c r="K26" s="16"/>
    </row>
    <row r="27" spans="1:11">
      <c r="A27" s="14"/>
      <c r="B27" s="9" t="str">
        <f>+[37]XX!A15</f>
        <v>Boyacá</v>
      </c>
      <c r="C27" s="21">
        <f>[37]XX!B15/1000000</f>
        <v>3.6458690799999998</v>
      </c>
      <c r="D27" s="21">
        <f>[37]XX!E15/1000000</f>
        <v>2.3647780099999998</v>
      </c>
      <c r="E27" s="22">
        <f t="shared" si="0"/>
        <v>-35.13815339743357</v>
      </c>
      <c r="F27" s="22">
        <f t="shared" si="1"/>
        <v>5.8341433601278365E-2</v>
      </c>
      <c r="G27" s="22">
        <f>[37]XX!C15/1000000</f>
        <v>0</v>
      </c>
      <c r="H27" s="22">
        <f>[37]XX!F15/1000000</f>
        <v>0</v>
      </c>
      <c r="I27" s="22" t="str">
        <f t="shared" si="2"/>
        <v/>
      </c>
      <c r="J27" s="22">
        <f t="shared" si="3"/>
        <v>0</v>
      </c>
      <c r="K27" s="16"/>
    </row>
    <row r="28" spans="1:11">
      <c r="A28" s="14"/>
      <c r="B28" s="9" t="str">
        <f>+[37]XX!A16</f>
        <v>Tolima</v>
      </c>
      <c r="C28" s="21">
        <f>[37]XX!B16/1000000</f>
        <v>2.5127850100000004</v>
      </c>
      <c r="D28" s="21">
        <f>[37]XX!E16/1000000</f>
        <v>1.88604423</v>
      </c>
      <c r="E28" s="22">
        <f t="shared" si="0"/>
        <v>-24.942077316833423</v>
      </c>
      <c r="F28" s="22">
        <f t="shared" si="1"/>
        <v>4.6530593463028354E-2</v>
      </c>
      <c r="G28" s="22">
        <f>[37]XX!C16/1000000</f>
        <v>0.5988888</v>
      </c>
      <c r="H28" s="22">
        <f>[37]XX!F16/1000000</f>
        <v>0.22023047000000001</v>
      </c>
      <c r="I28" s="22">
        <f t="shared" si="2"/>
        <v>-63.22681773310839</v>
      </c>
      <c r="J28" s="22">
        <f t="shared" si="3"/>
        <v>5.9164215205833801E-2</v>
      </c>
      <c r="K28" s="16"/>
    </row>
    <row r="29" spans="1:11">
      <c r="A29" s="14"/>
      <c r="B29" s="9" t="str">
        <f>+[37]XX!A17</f>
        <v>Nariño</v>
      </c>
      <c r="C29" s="21">
        <f>[37]XX!B17/1000000</f>
        <v>2.0655362900000012</v>
      </c>
      <c r="D29" s="21">
        <f>[37]XX!E17/1000000</f>
        <v>1.2869727199999998</v>
      </c>
      <c r="E29" s="22">
        <f t="shared" si="0"/>
        <v>-37.693047261832469</v>
      </c>
      <c r="F29" s="22">
        <f t="shared" si="1"/>
        <v>3.175090142627663E-2</v>
      </c>
      <c r="G29" s="22">
        <f>[37]XX!C17/1000000</f>
        <v>0.68158355999999998</v>
      </c>
      <c r="H29" s="22">
        <f>[37]XX!F17/1000000</f>
        <v>0.12221728</v>
      </c>
      <c r="I29" s="22">
        <f t="shared" si="2"/>
        <v>-82.068628533235156</v>
      </c>
      <c r="J29" s="22">
        <f t="shared" si="3"/>
        <v>3.2833283495202308E-2</v>
      </c>
      <c r="K29" s="16"/>
    </row>
    <row r="30" spans="1:11">
      <c r="A30" s="14"/>
      <c r="B30" s="9" t="str">
        <f>+[37]XX!A18</f>
        <v>Cesar</v>
      </c>
      <c r="C30" s="21">
        <f>[37]XX!B18/1000000</f>
        <v>1.98011431</v>
      </c>
      <c r="D30" s="21">
        <f>[37]XX!E18/1000000</f>
        <v>0.44898188000000006</v>
      </c>
      <c r="E30" s="22">
        <f t="shared" si="0"/>
        <v>-77.325456528820297</v>
      </c>
      <c r="F30" s="22">
        <f t="shared" si="1"/>
        <v>1.1076831072273519E-2</v>
      </c>
      <c r="G30" s="22">
        <f>[37]XX!C18/1000000</f>
        <v>0</v>
      </c>
      <c r="H30" s="22">
        <f>[37]XX!F18/1000000</f>
        <v>2.0000000000000001E-4</v>
      </c>
      <c r="I30" s="22" t="str">
        <f t="shared" si="2"/>
        <v/>
      </c>
      <c r="J30" s="22">
        <f t="shared" si="3"/>
        <v>5.372936379405975E-5</v>
      </c>
      <c r="K30" s="16"/>
    </row>
    <row r="31" spans="1:11">
      <c r="A31" s="14"/>
      <c r="B31" s="9" t="str">
        <f>+[37]XX!A19</f>
        <v>Meta</v>
      </c>
      <c r="C31" s="21">
        <f>[37]XX!B19/1000000</f>
        <v>0.1833572</v>
      </c>
      <c r="D31" s="21">
        <f>[37]XX!E19/1000000</f>
        <v>0.28870620000000002</v>
      </c>
      <c r="E31" s="22">
        <f t="shared" si="0"/>
        <v>57.455611233155835</v>
      </c>
      <c r="F31" s="22">
        <f t="shared" si="1"/>
        <v>7.1226700884187422E-3</v>
      </c>
      <c r="G31" s="22">
        <f>[37]XX!C19/1000000</f>
        <v>0</v>
      </c>
      <c r="H31" s="22">
        <f>[37]XX!F19/1000000</f>
        <v>6.3931399999999999E-2</v>
      </c>
      <c r="I31" s="22" t="str">
        <f t="shared" si="2"/>
        <v/>
      </c>
      <c r="J31" s="22">
        <f t="shared" si="3"/>
        <v>1.7174967242317755E-2</v>
      </c>
      <c r="K31" s="16"/>
    </row>
    <row r="32" spans="1:11">
      <c r="A32" s="14"/>
      <c r="B32" s="9" t="str">
        <f>+[37]XX!A20</f>
        <v>Casanare</v>
      </c>
      <c r="C32" s="21">
        <f>[37]XX!B20/1000000</f>
        <v>2.0000000000000001E-4</v>
      </c>
      <c r="D32" s="21">
        <f>[37]XX!E20/1000000</f>
        <v>0.21308450000000001</v>
      </c>
      <c r="E32" s="22">
        <f t="shared" si="0"/>
        <v>106442.24999999999</v>
      </c>
      <c r="F32" s="22">
        <f t="shared" si="1"/>
        <v>5.2570072774871593E-3</v>
      </c>
      <c r="G32" s="22">
        <f>[37]XX!C20/1000000</f>
        <v>0</v>
      </c>
      <c r="H32" s="22">
        <f>[37]XX!F20/1000000</f>
        <v>0</v>
      </c>
      <c r="I32" s="22" t="str">
        <f t="shared" si="2"/>
        <v/>
      </c>
      <c r="J32" s="22">
        <f t="shared" si="3"/>
        <v>0</v>
      </c>
      <c r="K32" s="16"/>
    </row>
    <row r="33" spans="1:13">
      <c r="A33" s="14"/>
      <c r="B33" s="9" t="str">
        <f>+[37]XX!A21</f>
        <v>Guajira</v>
      </c>
      <c r="C33" s="21">
        <f>[37]XX!B21/1000000</f>
        <v>0.56446165000000004</v>
      </c>
      <c r="D33" s="21">
        <f>[37]XX!E21/1000000</f>
        <v>0.17485169</v>
      </c>
      <c r="E33" s="22">
        <f t="shared" si="0"/>
        <v>-69.023282626906536</v>
      </c>
      <c r="F33" s="22">
        <f t="shared" si="1"/>
        <v>4.3137656976970579E-3</v>
      </c>
      <c r="G33" s="22">
        <f>[37]XX!C21/1000000</f>
        <v>0</v>
      </c>
      <c r="H33" s="22">
        <f>[37]XX!F21/1000000</f>
        <v>0</v>
      </c>
      <c r="I33" s="22" t="str">
        <f t="shared" si="2"/>
        <v/>
      </c>
      <c r="J33" s="22">
        <f t="shared" si="3"/>
        <v>0</v>
      </c>
      <c r="K33" s="16"/>
    </row>
    <row r="34" spans="1:13">
      <c r="A34" s="14"/>
      <c r="B34" s="9" t="str">
        <f>+[37]XX!A22</f>
        <v>Quindío</v>
      </c>
      <c r="C34" s="21">
        <f>[37]XX!B22/1000000</f>
        <v>0.55306279999999997</v>
      </c>
      <c r="D34" s="21">
        <f>[37]XX!E22/1000000</f>
        <v>7.9940600000000001E-2</v>
      </c>
      <c r="E34" s="22">
        <f t="shared" si="0"/>
        <v>-85.545836747653254</v>
      </c>
      <c r="F34" s="22">
        <f t="shared" si="1"/>
        <v>1.9722143842780212E-3</v>
      </c>
      <c r="G34" s="22">
        <f>[37]XX!C22/1000000</f>
        <v>0</v>
      </c>
      <c r="H34" s="22">
        <f>[37]XX!F22/1000000</f>
        <v>0</v>
      </c>
      <c r="I34" s="22" t="str">
        <f t="shared" si="2"/>
        <v/>
      </c>
      <c r="J34" s="22">
        <f t="shared" si="3"/>
        <v>0</v>
      </c>
      <c r="K34" s="16"/>
    </row>
    <row r="35" spans="1:13">
      <c r="A35" s="14"/>
      <c r="B35" s="9" t="str">
        <f>+[37]XX!A23</f>
        <v>Huila</v>
      </c>
      <c r="C35" s="21">
        <f>[37]XX!B23/1000000</f>
        <v>8.6309089999999991E-2</v>
      </c>
      <c r="D35" s="21">
        <f>[37]XX!E23/1000000</f>
        <v>5.7431999999999997E-2</v>
      </c>
      <c r="E35" s="22">
        <f t="shared" si="0"/>
        <v>-33.457762096669072</v>
      </c>
      <c r="F35" s="22">
        <f t="shared" si="1"/>
        <v>1.4169047582561966E-3</v>
      </c>
      <c r="G35" s="22">
        <f>[37]XX!C23/1000000</f>
        <v>4.4799999999999996E-3</v>
      </c>
      <c r="H35" s="22">
        <f>[37]XX!F23/1000000</f>
        <v>9.58E-3</v>
      </c>
      <c r="I35" s="22">
        <f t="shared" si="2"/>
        <v>113.83928571428572</v>
      </c>
      <c r="J35" s="22">
        <f t="shared" si="3"/>
        <v>2.5736365257354619E-3</v>
      </c>
      <c r="K35" s="16"/>
    </row>
    <row r="36" spans="1:13">
      <c r="A36" s="14"/>
      <c r="B36" s="9" t="str">
        <f>+[37]XX!A24</f>
        <v>Putumayo</v>
      </c>
      <c r="C36" s="21">
        <f>[37]XX!B24/1000000</f>
        <v>4.6E-6</v>
      </c>
      <c r="D36" s="21">
        <f>[37]XX!E24/1000000</f>
        <v>5.2979999999999999E-2</v>
      </c>
      <c r="E36" s="22">
        <f t="shared" si="0"/>
        <v>1151639.1304347827</v>
      </c>
      <c r="F36" s="22">
        <f t="shared" si="1"/>
        <v>1.3070694750733614E-3</v>
      </c>
      <c r="G36" s="22">
        <f>[37]XX!C24/1000000</f>
        <v>0</v>
      </c>
      <c r="H36" s="22">
        <f>[37]XX!F24/1000000</f>
        <v>0</v>
      </c>
      <c r="I36" s="22" t="str">
        <f t="shared" si="2"/>
        <v/>
      </c>
      <c r="J36" s="22">
        <f t="shared" si="3"/>
        <v>0</v>
      </c>
      <c r="K36" s="16"/>
    </row>
    <row r="37" spans="1:13">
      <c r="A37" s="14"/>
      <c r="B37" s="9" t="str">
        <f>+[37]XX!A25</f>
        <v>Aráuca</v>
      </c>
      <c r="C37" s="21">
        <f>[37]XX!B25/1000000</f>
        <v>2.580938E-2</v>
      </c>
      <c r="D37" s="21">
        <f>[37]XX!E25/1000000</f>
        <v>5.0326510000000005E-2</v>
      </c>
      <c r="E37" s="22">
        <f t="shared" si="0"/>
        <v>94.993099408044699</v>
      </c>
      <c r="F37" s="22">
        <f t="shared" si="1"/>
        <v>1.2416052285385859E-3</v>
      </c>
      <c r="G37" s="22">
        <f>[37]XX!C25/1000000</f>
        <v>0</v>
      </c>
      <c r="H37" s="22">
        <f>[37]XX!F25/1000000</f>
        <v>1.06492E-3</v>
      </c>
      <c r="I37" s="22" t="str">
        <f t="shared" si="2"/>
        <v/>
      </c>
      <c r="J37" s="22">
        <f t="shared" si="3"/>
        <v>2.8608737045785051E-4</v>
      </c>
      <c r="K37" s="16"/>
    </row>
    <row r="38" spans="1:13">
      <c r="A38" s="14"/>
      <c r="B38" s="9" t="str">
        <f>+[37]XX!A26</f>
        <v>San Andrés</v>
      </c>
      <c r="C38" s="21">
        <f>[37]XX!B26/1000000</f>
        <v>4.4125130000000005E-2</v>
      </c>
      <c r="D38" s="21">
        <f>[37]XX!E26/1000000</f>
        <v>3.5999999999999997E-2</v>
      </c>
      <c r="E38" s="22">
        <f t="shared" si="0"/>
        <v>-18.413838100873605</v>
      </c>
      <c r="F38" s="22">
        <f t="shared" si="1"/>
        <v>8.8815592870217079E-4</v>
      </c>
      <c r="G38" s="22">
        <f>[37]XX!C26/1000000</f>
        <v>0</v>
      </c>
      <c r="H38" s="22">
        <f>[37]XX!F26/1000000</f>
        <v>0</v>
      </c>
      <c r="I38" s="22" t="str">
        <f t="shared" si="2"/>
        <v/>
      </c>
      <c r="J38" s="22">
        <f t="shared" si="3"/>
        <v>0</v>
      </c>
      <c r="K38" s="16"/>
    </row>
    <row r="39" spans="1:13">
      <c r="A39" s="14"/>
      <c r="B39" s="9" t="str">
        <f>+[37]XX!A27</f>
        <v>Vichada</v>
      </c>
      <c r="C39" s="21">
        <f>[37]XX!B27/1000000</f>
        <v>0</v>
      </c>
      <c r="D39" s="21">
        <f>[37]XX!E27/1000000</f>
        <v>9.9645499999999991E-3</v>
      </c>
      <c r="E39" s="22" t="str">
        <f t="shared" si="0"/>
        <v/>
      </c>
      <c r="F39" s="22">
        <f t="shared" si="1"/>
        <v>2.4583539331525598E-4</v>
      </c>
      <c r="G39" s="22">
        <f>[37]XX!C27/1000000</f>
        <v>0</v>
      </c>
      <c r="H39" s="22">
        <f>[37]XX!F27/1000000</f>
        <v>0</v>
      </c>
      <c r="I39" s="22" t="str">
        <f t="shared" si="2"/>
        <v/>
      </c>
      <c r="J39" s="22">
        <f t="shared" si="3"/>
        <v>0</v>
      </c>
      <c r="K39" s="16"/>
    </row>
    <row r="40" spans="1:13">
      <c r="A40" s="14"/>
      <c r="B40" s="9" t="str">
        <f>+[37]XX!A28</f>
        <v>Chocó</v>
      </c>
      <c r="C40" s="21">
        <f>[37]XX!B28/1000000</f>
        <v>0</v>
      </c>
      <c r="D40" s="21">
        <f>[37]XX!E28/1000000</f>
        <v>6.7999999999999996E-3</v>
      </c>
      <c r="E40" s="22" t="str">
        <f t="shared" si="0"/>
        <v/>
      </c>
      <c r="F40" s="22">
        <f t="shared" si="1"/>
        <v>1.6776278653263228E-4</v>
      </c>
      <c r="G40" s="22">
        <f>[37]XX!C28/1000000</f>
        <v>0</v>
      </c>
      <c r="H40" s="22">
        <f>[37]XX!F28/1000000</f>
        <v>0</v>
      </c>
      <c r="I40" s="22" t="str">
        <f t="shared" si="2"/>
        <v/>
      </c>
      <c r="J40" s="22">
        <f t="shared" si="3"/>
        <v>0</v>
      </c>
      <c r="K40" s="16"/>
    </row>
    <row r="41" spans="1:13">
      <c r="A41" s="14"/>
      <c r="B41" s="9" t="str">
        <f>+[37]XX!A29</f>
        <v>Sucre</v>
      </c>
      <c r="C41" s="21">
        <f>[37]XX!B29/1000000</f>
        <v>0.11288050999999999</v>
      </c>
      <c r="D41" s="21">
        <f>[37]XX!E29/1000000</f>
        <v>5.4006699999999998E-3</v>
      </c>
      <c r="E41" s="22">
        <f t="shared" si="0"/>
        <v>-95.215586818309035</v>
      </c>
      <c r="F41" s="22">
        <f t="shared" si="1"/>
        <v>1.332399188739987E-4</v>
      </c>
      <c r="G41" s="22">
        <f>[37]XX!C29/1000000</f>
        <v>0</v>
      </c>
      <c r="H41" s="22">
        <f>[37]XX!F29/1000000</f>
        <v>1.8006700000000001E-3</v>
      </c>
      <c r="I41" s="22" t="str">
        <f t="shared" si="2"/>
        <v/>
      </c>
      <c r="J41" s="22">
        <f t="shared" si="3"/>
        <v>4.8374426751524784E-4</v>
      </c>
      <c r="K41" s="16"/>
    </row>
    <row r="42" spans="1:13">
      <c r="A42" s="14"/>
      <c r="B42" s="9" t="str">
        <f>+[37]XX!A30</f>
        <v>Sin definir</v>
      </c>
      <c r="C42" s="21">
        <f>[37]XX!B30/1000000</f>
        <v>1.55116E-2</v>
      </c>
      <c r="D42" s="21">
        <f>[37]XX!E30/1000000</f>
        <v>4.9899999999999996E-3</v>
      </c>
      <c r="E42" s="22">
        <f t="shared" si="0"/>
        <v>-67.830526831532538</v>
      </c>
      <c r="F42" s="22">
        <f t="shared" si="1"/>
        <v>1.2310828011732867E-4</v>
      </c>
      <c r="G42" s="22">
        <f>[37]XX!C30/1000000</f>
        <v>0</v>
      </c>
      <c r="H42" s="22">
        <f>[37]XX!F30/1000000</f>
        <v>0</v>
      </c>
      <c r="I42" s="22" t="str">
        <f t="shared" si="2"/>
        <v/>
      </c>
      <c r="J42" s="22">
        <f t="shared" si="3"/>
        <v>0</v>
      </c>
      <c r="K42" s="16"/>
    </row>
    <row r="43" spans="1:13">
      <c r="A43" s="14"/>
      <c r="B43" s="9" t="str">
        <f>+[37]XX!A31</f>
        <v>Guainía</v>
      </c>
      <c r="C43" s="21">
        <f>[37]XX!B31/1000000</f>
        <v>5.6147559999999999E-2</v>
      </c>
      <c r="D43" s="21">
        <f>[37]XX!E31/1000000</f>
        <v>3.6913800000000002E-3</v>
      </c>
      <c r="E43" s="22">
        <f t="shared" si="0"/>
        <v>-93.425573613528357</v>
      </c>
      <c r="F43" s="22">
        <f t="shared" si="1"/>
        <v>9.1070028669239434E-5</v>
      </c>
      <c r="G43" s="22">
        <f>[37]XX!C31/1000000</f>
        <v>0</v>
      </c>
      <c r="H43" s="22">
        <f>[37]XX!F31/1000000</f>
        <v>0</v>
      </c>
      <c r="I43" s="22" t="str">
        <f t="shared" si="2"/>
        <v/>
      </c>
      <c r="J43" s="22">
        <f t="shared" si="3"/>
        <v>0</v>
      </c>
      <c r="K43" s="16"/>
    </row>
    <row r="44" spans="1:13">
      <c r="A44" s="14"/>
      <c r="B44" s="9" t="str">
        <f>+[37]XX!A32</f>
        <v>Vaupés</v>
      </c>
      <c r="C44" s="21">
        <f>[37]XX!B32/1000000</f>
        <v>0.10360559</v>
      </c>
      <c r="D44" s="21">
        <f>[37]XX!E32/1000000</f>
        <v>2.4480000000000001E-3</v>
      </c>
      <c r="E44" s="22">
        <f t="shared" si="0"/>
        <v>-97.637193128285844</v>
      </c>
      <c r="F44" s="22">
        <f t="shared" si="1"/>
        <v>6.039460315174762E-5</v>
      </c>
      <c r="G44" s="22">
        <f>[37]XX!C32/1000000</f>
        <v>9.0745590000000001E-2</v>
      </c>
      <c r="H44" s="22">
        <f>[37]XX!F32/1000000</f>
        <v>0</v>
      </c>
      <c r="I44" s="22" t="str">
        <f t="shared" si="2"/>
        <v/>
      </c>
      <c r="J44" s="22">
        <f t="shared" si="3"/>
        <v>0</v>
      </c>
      <c r="K44" s="16"/>
    </row>
    <row r="45" spans="1:13">
      <c r="A45" s="14"/>
      <c r="B45" s="9" t="str">
        <f>+[37]XX!A33</f>
        <v>Amazonas</v>
      </c>
      <c r="C45" s="21">
        <f>[37]XX!B33/1000000</f>
        <v>0</v>
      </c>
      <c r="D45" s="21">
        <f>[37]XX!E33/1000000</f>
        <v>2.4000000000000001E-5</v>
      </c>
      <c r="E45" s="22" t="str">
        <f t="shared" ref="E45" si="4">IF(OR(OR(D45=0,C45=0),D45=""),"",(D45/C45-1)*100)</f>
        <v/>
      </c>
      <c r="F45" s="22">
        <f t="shared" ref="F45" si="5">(D45/D$13)*100</f>
        <v>5.9210395246811398E-7</v>
      </c>
      <c r="G45" s="22">
        <f>[37]XX!C33/1000000</f>
        <v>0</v>
      </c>
      <c r="H45" s="22">
        <f>[37]XX!F33/1000000</f>
        <v>0</v>
      </c>
      <c r="I45" s="22" t="str">
        <f t="shared" ref="I45" si="6">IF(OR(OR(H45=0,G45=0),H45=""),"",(H45/G45-1)*100)</f>
        <v/>
      </c>
      <c r="J45" s="22">
        <f t="shared" ref="J45" si="7">(H45/H$13)*100</f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7" width="10.85546875" style="7"/>
    <col min="18" max="18" width="3.28515625" style="7" customWidth="1"/>
    <col min="19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105</v>
      </c>
      <c r="D7" s="122"/>
      <c r="E7" s="122"/>
      <c r="F7" s="122"/>
      <c r="G7" s="122"/>
      <c r="H7" s="122"/>
      <c r="I7" s="122"/>
      <c r="J7" s="122"/>
      <c r="K7" s="16"/>
    </row>
    <row r="8" spans="1:14">
      <c r="A8" s="14"/>
      <c r="B8" s="8"/>
      <c r="C8" s="122" t="s">
        <v>25</v>
      </c>
      <c r="D8" s="122"/>
      <c r="E8" s="122"/>
      <c r="F8" s="122"/>
      <c r="G8" s="122"/>
      <c r="H8" s="122"/>
      <c r="I8" s="122"/>
      <c r="J8" s="12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4" t="s">
        <v>156</v>
      </c>
      <c r="D10" s="124"/>
      <c r="E10" s="123" t="s">
        <v>1</v>
      </c>
      <c r="F10" s="123" t="s">
        <v>4</v>
      </c>
      <c r="G10" s="124" t="s">
        <v>157</v>
      </c>
      <c r="H10" s="124"/>
      <c r="I10" s="123" t="s">
        <v>1</v>
      </c>
      <c r="J10" s="12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23"/>
      <c r="F11" s="123"/>
      <c r="G11" s="103">
        <v>2009</v>
      </c>
      <c r="H11" s="103">
        <v>2010</v>
      </c>
      <c r="I11" s="123"/>
      <c r="J11" s="12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40</v>
      </c>
      <c r="C13" s="99">
        <f>SUM(C14:C39)</f>
        <v>880.85453960000029</v>
      </c>
      <c r="D13" s="99">
        <f>SUM(D14:D39)</f>
        <v>816.21791096999971</v>
      </c>
      <c r="E13" s="98">
        <f>IF(OR(OR(D13=0,C13=0),D13=""),"",(D13/C13-1)*100)</f>
        <v>-7.337945792883394</v>
      </c>
      <c r="F13" s="98">
        <f>(D13/D$13)*100</f>
        <v>100</v>
      </c>
      <c r="G13" s="98">
        <f>SUM(G14:G39)</f>
        <v>68.513484509999969</v>
      </c>
      <c r="H13" s="98">
        <f>SUM(H14:H39)</f>
        <v>48.793309569999998</v>
      </c>
      <c r="I13" s="98">
        <f>IF(OR(OR(H13=0,G13=0),H13=""),"",(H13/G13-1)*100)</f>
        <v>-28.782910519055104</v>
      </c>
      <c r="J13" s="98">
        <f>(H13/H$13)*100</f>
        <v>100</v>
      </c>
      <c r="K13" s="16"/>
    </row>
    <row r="14" spans="1:14">
      <c r="A14" s="14"/>
      <c r="B14" s="10" t="str">
        <f>+[38]XX!A2</f>
        <v>Bogotá</v>
      </c>
      <c r="C14" s="23">
        <f>[38]XX!B2/1000000</f>
        <v>498.76623063999989</v>
      </c>
      <c r="D14" s="23">
        <f>[38]XX!E2/1000000</f>
        <v>478.05493370999943</v>
      </c>
      <c r="E14" s="25">
        <f>IF(OR(OR(D14=0,C14=0),D14=""),"",(D14/C14-1)*100)</f>
        <v>-4.1525058549822909</v>
      </c>
      <c r="F14" s="25">
        <f>(D14/D$13)*100</f>
        <v>58.569522585197284</v>
      </c>
      <c r="G14" s="23">
        <f>[38]XX!C2/1000000</f>
        <v>37.997848639999987</v>
      </c>
      <c r="H14" s="23">
        <f>[38]XX!F2/1000000</f>
        <v>19.519693050000004</v>
      </c>
      <c r="I14" s="25">
        <f>IF(OR(OR(H14=0,G14=0),H14=""),"",(H14/G14-1)*100)</f>
        <v>-48.629478381963445</v>
      </c>
      <c r="J14" s="25">
        <f>(H14/H$13)*100</f>
        <v>40.0048556288165</v>
      </c>
      <c r="K14" s="16"/>
    </row>
    <row r="15" spans="1:14">
      <c r="A15" s="14"/>
      <c r="B15" s="9" t="str">
        <f>+[38]XX!A3</f>
        <v>Valle del Cauca</v>
      </c>
      <c r="C15" s="21">
        <f>[38]XX!B3/1000000</f>
        <v>168.38966008999986</v>
      </c>
      <c r="D15" s="21">
        <f>[38]XX!E3/1000000</f>
        <v>157.82208783000002</v>
      </c>
      <c r="E15" s="22">
        <f t="shared" ref="E15:E39" si="0">IF(OR(OR(D15=0,C15=0),D15=""),"",(D15/C15-1)*100)</f>
        <v>-6.2756657708981418</v>
      </c>
      <c r="F15" s="22">
        <f t="shared" ref="F15:F39" si="1">(D15/D$13)*100</f>
        <v>19.335778559728372</v>
      </c>
      <c r="G15" s="22">
        <f>[38]XX!C3/1000000</f>
        <v>14.004559479999999</v>
      </c>
      <c r="H15" s="22">
        <f>[38]XX!F3/1000000</f>
        <v>9.6449709599999931</v>
      </c>
      <c r="I15" s="22">
        <f t="shared" ref="I15:I39" si="2">IF(OR(OR(H15=0,G15=0),H15=""),"",(H15/G15-1)*100)</f>
        <v>-31.129779742275808</v>
      </c>
      <c r="J15" s="22">
        <f t="shared" ref="J15:J39" si="3">(H15/H$13)*100</f>
        <v>19.766994788830829</v>
      </c>
      <c r="K15" s="16"/>
    </row>
    <row r="16" spans="1:14">
      <c r="A16" s="14"/>
      <c r="B16" s="9" t="str">
        <f>+[38]XX!A4</f>
        <v>Atlántico</v>
      </c>
      <c r="C16" s="21">
        <f>[38]XX!B4/1000000</f>
        <v>78.408819110000053</v>
      </c>
      <c r="D16" s="21">
        <f>[38]XX!E4/1000000</f>
        <v>70.546840210000042</v>
      </c>
      <c r="E16" s="22">
        <f t="shared" si="0"/>
        <v>-10.026906398080559</v>
      </c>
      <c r="F16" s="22">
        <f t="shared" si="1"/>
        <v>8.6431379735543441</v>
      </c>
      <c r="G16" s="22">
        <f>[38]XX!C4/1000000</f>
        <v>6.0384131599999975</v>
      </c>
      <c r="H16" s="22">
        <f>[38]XX!F4/1000000</f>
        <v>12.119429240000006</v>
      </c>
      <c r="I16" s="22">
        <f t="shared" si="2"/>
        <v>100.70553171621684</v>
      </c>
      <c r="J16" s="22">
        <f t="shared" si="3"/>
        <v>24.838301289264251</v>
      </c>
      <c r="K16" s="16"/>
    </row>
    <row r="17" spans="1:11">
      <c r="A17" s="14"/>
      <c r="B17" s="9" t="str">
        <f>+[38]XX!A5</f>
        <v>Risaralda</v>
      </c>
      <c r="C17" s="21">
        <f>[38]XX!B5/1000000</f>
        <v>37.242153559999998</v>
      </c>
      <c r="D17" s="21">
        <f>[38]XX!E5/1000000</f>
        <v>31.084862789999999</v>
      </c>
      <c r="E17" s="22">
        <f t="shared" si="0"/>
        <v>-16.533122232257934</v>
      </c>
      <c r="F17" s="22">
        <f t="shared" si="1"/>
        <v>3.8084024342296665</v>
      </c>
      <c r="G17" s="22">
        <f>[38]XX!C5/1000000</f>
        <v>3.4481892800000002</v>
      </c>
      <c r="H17" s="22">
        <f>[38]XX!F5/1000000</f>
        <v>2.3929164799999998</v>
      </c>
      <c r="I17" s="22">
        <f t="shared" si="2"/>
        <v>-30.603679621670899</v>
      </c>
      <c r="J17" s="22">
        <f t="shared" si="3"/>
        <v>4.9041897364372611</v>
      </c>
      <c r="K17" s="16"/>
    </row>
    <row r="18" spans="1:11">
      <c r="A18" s="14"/>
      <c r="B18" s="9" t="str">
        <f>+[38]XX!A6</f>
        <v>Cauca</v>
      </c>
      <c r="C18" s="21">
        <f>[38]XX!B6/1000000</f>
        <v>28.809749360000186</v>
      </c>
      <c r="D18" s="21">
        <f>[38]XX!E6/1000000</f>
        <v>27.155127420000156</v>
      </c>
      <c r="E18" s="22">
        <f t="shared" si="0"/>
        <v>-5.7432708605834932</v>
      </c>
      <c r="F18" s="22">
        <f t="shared" si="1"/>
        <v>3.326945789235229</v>
      </c>
      <c r="G18" s="22">
        <f>[38]XX!C6/1000000</f>
        <v>3.2665133300000018</v>
      </c>
      <c r="H18" s="22">
        <f>[38]XX!F6/1000000</f>
        <v>1.8590454500000004</v>
      </c>
      <c r="I18" s="22">
        <f t="shared" si="2"/>
        <v>-43.087773959887699</v>
      </c>
      <c r="J18" s="22">
        <f t="shared" si="3"/>
        <v>3.8100417175698467</v>
      </c>
      <c r="K18" s="16"/>
    </row>
    <row r="19" spans="1:11">
      <c r="A19" s="14"/>
      <c r="B19" s="9" t="str">
        <f>+[38]XX!A7</f>
        <v>Antioquia</v>
      </c>
      <c r="C19" s="21">
        <f>[38]XX!B7/1000000</f>
        <v>37.106956250000032</v>
      </c>
      <c r="D19" s="21">
        <f>[38]XX!E7/1000000</f>
        <v>26.042320650000029</v>
      </c>
      <c r="E19" s="22">
        <f t="shared" si="0"/>
        <v>-29.818224716288853</v>
      </c>
      <c r="F19" s="22">
        <f t="shared" si="1"/>
        <v>3.1906088190408779</v>
      </c>
      <c r="G19" s="22">
        <f>[38]XX!C7/1000000</f>
        <v>1.8968300400000002</v>
      </c>
      <c r="H19" s="22">
        <f>[38]XX!F7/1000000</f>
        <v>2.2209944299999989</v>
      </c>
      <c r="I19" s="22">
        <f t="shared" si="2"/>
        <v>17.08979630035796</v>
      </c>
      <c r="J19" s="22">
        <f t="shared" si="3"/>
        <v>4.5518421471568953</v>
      </c>
      <c r="K19" s="16"/>
    </row>
    <row r="20" spans="1:11">
      <c r="A20" s="14"/>
      <c r="B20" s="9" t="str">
        <f>+[38]XX!A8</f>
        <v>Cundinamarca</v>
      </c>
      <c r="C20" s="21">
        <f>[38]XX!B8/1000000</f>
        <v>13.423374799999991</v>
      </c>
      <c r="D20" s="21">
        <f>[38]XX!E8/1000000</f>
        <v>8.6918774999999915</v>
      </c>
      <c r="E20" s="22">
        <f t="shared" si="0"/>
        <v>-35.248194813125558</v>
      </c>
      <c r="F20" s="22">
        <f t="shared" si="1"/>
        <v>1.0648966879041524</v>
      </c>
      <c r="G20" s="22">
        <f>[38]XX!C8/1000000</f>
        <v>0.82498206000000018</v>
      </c>
      <c r="H20" s="22">
        <f>[38]XX!F8/1000000</f>
        <v>0.60161813999999991</v>
      </c>
      <c r="I20" s="22">
        <f t="shared" si="2"/>
        <v>-27.075003303708232</v>
      </c>
      <c r="J20" s="22">
        <f t="shared" si="3"/>
        <v>1.2329930994676734</v>
      </c>
      <c r="K20" s="16"/>
    </row>
    <row r="21" spans="1:11">
      <c r="A21" s="14"/>
      <c r="B21" s="9" t="str">
        <f>+[38]XX!A9</f>
        <v>Cesar</v>
      </c>
      <c r="C21" s="21">
        <f>[38]XX!B9/1000000</f>
        <v>0.43763929999999995</v>
      </c>
      <c r="D21" s="21">
        <f>[38]XX!E9/1000000</f>
        <v>7.1413489999999999</v>
      </c>
      <c r="E21" s="22">
        <f t="shared" si="0"/>
        <v>1531.7887813091741</v>
      </c>
      <c r="F21" s="22">
        <f t="shared" si="1"/>
        <v>0.87493167008711759</v>
      </c>
      <c r="G21" s="22">
        <f>[38]XX!C9/1000000</f>
        <v>0</v>
      </c>
      <c r="H21" s="22">
        <f>[38]XX!F9/1000000</f>
        <v>0</v>
      </c>
      <c r="I21" s="22" t="str">
        <f t="shared" si="2"/>
        <v/>
      </c>
      <c r="J21" s="22">
        <f t="shared" si="3"/>
        <v>0</v>
      </c>
      <c r="K21" s="16"/>
    </row>
    <row r="22" spans="1:11">
      <c r="A22" s="14"/>
      <c r="B22" s="9" t="str">
        <f>+[38]XX!A10</f>
        <v>Caldas</v>
      </c>
      <c r="C22" s="21">
        <f>[38]XX!B10/1000000</f>
        <v>5.8378640800000019</v>
      </c>
      <c r="D22" s="21">
        <f>[38]XX!E10/1000000</f>
        <v>4.6722900899999997</v>
      </c>
      <c r="E22" s="22">
        <f t="shared" si="0"/>
        <v>-19.96576100483658</v>
      </c>
      <c r="F22" s="22">
        <f t="shared" si="1"/>
        <v>0.57243170325035064</v>
      </c>
      <c r="G22" s="22">
        <f>[38]XX!C10/1000000</f>
        <v>0.72323457999999996</v>
      </c>
      <c r="H22" s="22">
        <f>[38]XX!F10/1000000</f>
        <v>0.27109734999999996</v>
      </c>
      <c r="I22" s="22">
        <f t="shared" si="2"/>
        <v>-62.515986168692315</v>
      </c>
      <c r="J22" s="22">
        <f t="shared" si="3"/>
        <v>0.55560352923196876</v>
      </c>
      <c r="K22" s="16"/>
    </row>
    <row r="23" spans="1:11">
      <c r="A23" s="14"/>
      <c r="B23" s="9" t="str">
        <f>+[38]XX!A11</f>
        <v>Magdalena</v>
      </c>
      <c r="C23" s="21">
        <f>[38]XX!B11/1000000</f>
        <v>0.5817986799999999</v>
      </c>
      <c r="D23" s="21">
        <f>[38]XX!E11/1000000</f>
        <v>3.1209977700000002</v>
      </c>
      <c r="E23" s="22">
        <f t="shared" si="0"/>
        <v>436.43947249931898</v>
      </c>
      <c r="F23" s="22">
        <f t="shared" si="1"/>
        <v>0.38237310503159411</v>
      </c>
      <c r="G23" s="22">
        <f>[38]XX!C11/1000000</f>
        <v>1.0520999999999998E-3</v>
      </c>
      <c r="H23" s="22">
        <f>[38]XX!F11/1000000</f>
        <v>7.9000000000000008E-3</v>
      </c>
      <c r="I23" s="22">
        <f t="shared" si="2"/>
        <v>650.87919399296663</v>
      </c>
      <c r="J23" s="22">
        <f t="shared" si="3"/>
        <v>1.6190744324621965E-2</v>
      </c>
      <c r="K23" s="16"/>
    </row>
    <row r="24" spans="1:11">
      <c r="A24" s="14"/>
      <c r="B24" s="9" t="str">
        <f>+[38]XX!A12</f>
        <v>Bolívar</v>
      </c>
      <c r="C24" s="21">
        <f>[38]XX!B12/1000000</f>
        <v>4.6161529399999992</v>
      </c>
      <c r="D24" s="21">
        <f>[38]XX!E12/1000000</f>
        <v>1.1638350299999998</v>
      </c>
      <c r="E24" s="22">
        <f t="shared" si="0"/>
        <v>-74.787771438092776</v>
      </c>
      <c r="F24" s="22">
        <f t="shared" si="1"/>
        <v>0.14258876390214092</v>
      </c>
      <c r="G24" s="22">
        <f>[38]XX!C12/1000000</f>
        <v>0.11064993999999999</v>
      </c>
      <c r="H24" s="22">
        <f>[38]XX!F12/1000000</f>
        <v>6.5565669999999993E-2</v>
      </c>
      <c r="I24" s="22">
        <f t="shared" si="2"/>
        <v>-40.744956572050562</v>
      </c>
      <c r="J24" s="22">
        <f t="shared" si="3"/>
        <v>0.13437430372690334</v>
      </c>
      <c r="K24" s="16"/>
    </row>
    <row r="25" spans="1:11">
      <c r="A25" s="14"/>
      <c r="B25" s="9" t="str">
        <f>+[38]XX!A13</f>
        <v>Norte de Santander</v>
      </c>
      <c r="C25" s="21">
        <f>[38]XX!B13/1000000</f>
        <v>5.8352869300000014</v>
      </c>
      <c r="D25" s="21">
        <f>[38]XX!E13/1000000</f>
        <v>0.25989626000000005</v>
      </c>
      <c r="E25" s="22">
        <f t="shared" si="0"/>
        <v>-95.546127155053199</v>
      </c>
      <c r="F25" s="22">
        <f t="shared" si="1"/>
        <v>3.1841528653927392E-2</v>
      </c>
      <c r="G25" s="22">
        <f>[38]XX!C13/1000000</f>
        <v>1.1342900000000001E-2</v>
      </c>
      <c r="H25" s="22">
        <f>[38]XX!F13/1000000</f>
        <v>3.8557000000000001E-2</v>
      </c>
      <c r="I25" s="22">
        <f t="shared" si="2"/>
        <v>239.92188946389371</v>
      </c>
      <c r="J25" s="22">
        <f t="shared" si="3"/>
        <v>7.9021079610689757E-2</v>
      </c>
      <c r="K25" s="16"/>
    </row>
    <row r="26" spans="1:11">
      <c r="A26" s="14"/>
      <c r="B26" s="9" t="str">
        <f>+[38]XX!A14</f>
        <v>Nariño</v>
      </c>
      <c r="C26" s="21">
        <f>[38]XX!B14/1000000</f>
        <v>0.36007840000000008</v>
      </c>
      <c r="D26" s="21">
        <f>[38]XX!E14/1000000</f>
        <v>0.15294919000000004</v>
      </c>
      <c r="E26" s="22">
        <f t="shared" si="0"/>
        <v>-57.523364356206862</v>
      </c>
      <c r="F26" s="22">
        <f t="shared" si="1"/>
        <v>1.873876913803987E-2</v>
      </c>
      <c r="G26" s="22">
        <f>[38]XX!C14/1000000</f>
        <v>1.3897E-2</v>
      </c>
      <c r="H26" s="22">
        <f>[38]XX!F14/1000000</f>
        <v>2.9357999999999997E-3</v>
      </c>
      <c r="I26" s="22">
        <f t="shared" si="2"/>
        <v>-78.874577246887824</v>
      </c>
      <c r="J26" s="22">
        <f t="shared" si="3"/>
        <v>6.0168085048386269E-3</v>
      </c>
      <c r="K26" s="16"/>
    </row>
    <row r="27" spans="1:11">
      <c r="A27" s="14"/>
      <c r="B27" s="9" t="str">
        <f>+[38]XX!A15</f>
        <v>Meta</v>
      </c>
      <c r="C27" s="21">
        <f>[38]XX!B15/1000000</f>
        <v>6.2879850000000001E-2</v>
      </c>
      <c r="D27" s="21">
        <f>[38]XX!E15/1000000</f>
        <v>0.14140307999999999</v>
      </c>
      <c r="E27" s="22">
        <f t="shared" si="0"/>
        <v>124.87820820183254</v>
      </c>
      <c r="F27" s="22">
        <f t="shared" si="1"/>
        <v>1.7324182439460985E-2</v>
      </c>
      <c r="G27" s="22">
        <f>[38]XX!C15/1000000</f>
        <v>0</v>
      </c>
      <c r="H27" s="22">
        <f>[38]XX!F15/1000000</f>
        <v>3.0905999999999999E-2</v>
      </c>
      <c r="I27" s="22" t="str">
        <f t="shared" si="2"/>
        <v/>
      </c>
      <c r="J27" s="22">
        <f t="shared" si="3"/>
        <v>6.3340651151489416E-2</v>
      </c>
      <c r="K27" s="16"/>
    </row>
    <row r="28" spans="1:11">
      <c r="A28" s="14"/>
      <c r="B28" s="9" t="str">
        <f>+[38]XX!A16</f>
        <v>Tolima</v>
      </c>
      <c r="C28" s="21">
        <f>[38]XX!B16/1000000</f>
        <v>5.9536529999999997E-2</v>
      </c>
      <c r="D28" s="21">
        <f>[38]XX!E16/1000000</f>
        <v>7.1781429999999993E-2</v>
      </c>
      <c r="E28" s="22">
        <f t="shared" si="0"/>
        <v>20.567036741980083</v>
      </c>
      <c r="F28" s="22">
        <f t="shared" si="1"/>
        <v>8.7943953489937974E-3</v>
      </c>
      <c r="G28" s="22">
        <f>[38]XX!C16/1000000</f>
        <v>3.9500000000000004E-3</v>
      </c>
      <c r="H28" s="22">
        <f>[38]XX!F16/1000000</f>
        <v>4.0749999999999996E-3</v>
      </c>
      <c r="I28" s="22">
        <f t="shared" si="2"/>
        <v>3.1645569620252889</v>
      </c>
      <c r="J28" s="22">
        <f t="shared" si="3"/>
        <v>8.3515548256752527E-3</v>
      </c>
      <c r="K28" s="16"/>
    </row>
    <row r="29" spans="1:11">
      <c r="A29" s="14"/>
      <c r="B29" s="9" t="str">
        <f>+[38]XX!A17</f>
        <v>Santander</v>
      </c>
      <c r="C29" s="21">
        <f>[38]XX!B17/1000000</f>
        <v>0.24507359000000004</v>
      </c>
      <c r="D29" s="21">
        <f>[38]XX!E17/1000000</f>
        <v>5.7007539999999995E-2</v>
      </c>
      <c r="E29" s="22">
        <f t="shared" si="0"/>
        <v>-76.738603290546322</v>
      </c>
      <c r="F29" s="22">
        <f t="shared" si="1"/>
        <v>6.9843529814546459E-3</v>
      </c>
      <c r="G29" s="22">
        <f>[38]XX!C17/1000000</f>
        <v>0</v>
      </c>
      <c r="H29" s="22">
        <f>[38]XX!F17/1000000</f>
        <v>2.6050000000000001E-3</v>
      </c>
      <c r="I29" s="22" t="str">
        <f t="shared" si="2"/>
        <v/>
      </c>
      <c r="J29" s="22">
        <f t="shared" si="3"/>
        <v>5.3388467045114192E-3</v>
      </c>
      <c r="K29" s="16"/>
    </row>
    <row r="30" spans="1:11">
      <c r="A30" s="14"/>
      <c r="B30" s="9" t="str">
        <f>+[38]XX!A18</f>
        <v>Quindío</v>
      </c>
      <c r="C30" s="21">
        <f>[38]XX!B18/1000000</f>
        <v>0.15842382000000002</v>
      </c>
      <c r="D30" s="21">
        <f>[38]XX!E18/1000000</f>
        <v>1.5319200000000002E-2</v>
      </c>
      <c r="E30" s="22">
        <f t="shared" si="0"/>
        <v>-90.330242005274215</v>
      </c>
      <c r="F30" s="22">
        <f t="shared" si="1"/>
        <v>1.8768517321305219E-3</v>
      </c>
      <c r="G30" s="22">
        <f>[38]XX!C18/1000000</f>
        <v>1.8649999999999999E-3</v>
      </c>
      <c r="H30" s="22">
        <f>[38]XX!F18/1000000</f>
        <v>1.0999999999999999E-2</v>
      </c>
      <c r="I30" s="22">
        <f t="shared" si="2"/>
        <v>489.8123324396783</v>
      </c>
      <c r="J30" s="22">
        <f t="shared" si="3"/>
        <v>2.2544074376055899E-2</v>
      </c>
      <c r="K30" s="16"/>
    </row>
    <row r="31" spans="1:11">
      <c r="A31" s="14"/>
      <c r="B31" s="9" t="str">
        <f>+[38]XX!A19</f>
        <v>Casanare</v>
      </c>
      <c r="C31" s="21">
        <f>[38]XX!B19/1000000</f>
        <v>0</v>
      </c>
      <c r="D31" s="21">
        <f>[38]XX!E19/1000000</f>
        <v>1.27022E-2</v>
      </c>
      <c r="E31" s="22" t="str">
        <f t="shared" si="0"/>
        <v/>
      </c>
      <c r="F31" s="22">
        <f t="shared" si="1"/>
        <v>1.5562265700472815E-3</v>
      </c>
      <c r="G31" s="22">
        <f>[38]XX!C19/1000000</f>
        <v>0</v>
      </c>
      <c r="H31" s="22">
        <f>[38]XX!F19/1000000</f>
        <v>0</v>
      </c>
      <c r="I31" s="22" t="str">
        <f t="shared" si="2"/>
        <v/>
      </c>
      <c r="J31" s="22">
        <f t="shared" si="3"/>
        <v>0</v>
      </c>
      <c r="K31" s="16"/>
    </row>
    <row r="32" spans="1:11">
      <c r="A32" s="14"/>
      <c r="B32" s="9" t="str">
        <f>+[38]XX!A20</f>
        <v>Aráuca</v>
      </c>
      <c r="C32" s="21">
        <f>[38]XX!B20/1000000</f>
        <v>3.12611E-2</v>
      </c>
      <c r="D32" s="21">
        <f>[38]XX!E20/1000000</f>
        <v>6.1494799999999997E-3</v>
      </c>
      <c r="E32" s="22">
        <f t="shared" si="0"/>
        <v>-80.328651263071364</v>
      </c>
      <c r="F32" s="22">
        <f t="shared" si="1"/>
        <v>7.5341154823371987E-4</v>
      </c>
      <c r="G32" s="22">
        <f>[38]XX!C20/1000000</f>
        <v>2.6348E-2</v>
      </c>
      <c r="H32" s="22">
        <f>[38]XX!F20/1000000</f>
        <v>0</v>
      </c>
      <c r="I32" s="22" t="str">
        <f t="shared" si="2"/>
        <v/>
      </c>
      <c r="J32" s="22">
        <f t="shared" si="3"/>
        <v>0</v>
      </c>
      <c r="K32" s="16"/>
    </row>
    <row r="33" spans="1:13">
      <c r="A33" s="14"/>
      <c r="B33" s="9" t="str">
        <f>+[38]XX!A21</f>
        <v>Vichada</v>
      </c>
      <c r="C33" s="21">
        <f>[38]XX!B21/1000000</f>
        <v>0</v>
      </c>
      <c r="D33" s="21">
        <f>[38]XX!E21/1000000</f>
        <v>1.5804E-3</v>
      </c>
      <c r="E33" s="22" t="str">
        <f t="shared" si="0"/>
        <v/>
      </c>
      <c r="F33" s="22">
        <f t="shared" si="1"/>
        <v>1.9362476352936686E-4</v>
      </c>
      <c r="G33" s="22">
        <f>[38]XX!C21/1000000</f>
        <v>0</v>
      </c>
      <c r="H33" s="22">
        <f>[38]XX!F21/1000000</f>
        <v>0</v>
      </c>
      <c r="I33" s="22" t="str">
        <f t="shared" si="2"/>
        <v/>
      </c>
      <c r="J33" s="22">
        <f t="shared" si="3"/>
        <v>0</v>
      </c>
      <c r="K33" s="16"/>
    </row>
    <row r="34" spans="1:13">
      <c r="A34" s="14"/>
      <c r="B34" s="9" t="str">
        <f>+[38]XX!A22</f>
        <v>Chocó</v>
      </c>
      <c r="C34" s="21">
        <f>[38]XX!B22/1000000</f>
        <v>0</v>
      </c>
      <c r="D34" s="21">
        <f>[38]XX!E22/1000000</f>
        <v>1.3261900000000001E-3</v>
      </c>
      <c r="E34" s="22" t="str">
        <f t="shared" si="0"/>
        <v/>
      </c>
      <c r="F34" s="22">
        <f t="shared" si="1"/>
        <v>1.6247989442230514E-4</v>
      </c>
      <c r="G34" s="22">
        <f>[38]XX!C22/1000000</f>
        <v>0</v>
      </c>
      <c r="H34" s="22">
        <f>[38]XX!F22/1000000</f>
        <v>0</v>
      </c>
      <c r="I34" s="22" t="str">
        <f t="shared" si="2"/>
        <v/>
      </c>
      <c r="J34" s="22">
        <f t="shared" si="3"/>
        <v>0</v>
      </c>
      <c r="K34" s="16"/>
    </row>
    <row r="35" spans="1:13">
      <c r="A35" s="14"/>
      <c r="B35" s="9" t="str">
        <f>+[38]XX!A23</f>
        <v>San Andrés</v>
      </c>
      <c r="C35" s="21">
        <f>[38]XX!B23/1000000</f>
        <v>1.40754E-2</v>
      </c>
      <c r="D35" s="21">
        <f>[38]XX!E23/1000000</f>
        <v>8.3900000000000001E-4</v>
      </c>
      <c r="E35" s="22">
        <f t="shared" si="0"/>
        <v>-94.039245776318964</v>
      </c>
      <c r="F35" s="22">
        <f t="shared" si="1"/>
        <v>1.0279117729760742E-4</v>
      </c>
      <c r="G35" s="22">
        <f>[38]XX!C23/1000000</f>
        <v>0</v>
      </c>
      <c r="H35" s="22">
        <f>[38]XX!F23/1000000</f>
        <v>0</v>
      </c>
      <c r="I35" s="22" t="str">
        <f t="shared" si="2"/>
        <v/>
      </c>
      <c r="J35" s="22">
        <f t="shared" si="3"/>
        <v>0</v>
      </c>
      <c r="K35" s="16"/>
    </row>
    <row r="36" spans="1:13">
      <c r="A36" s="14"/>
      <c r="B36" s="9" t="str">
        <f>+[38]XX!A24</f>
        <v>Boyacá</v>
      </c>
      <c r="C36" s="21">
        <f>[38]XX!B24/1000000</f>
        <v>0.23196556000000004</v>
      </c>
      <c r="D36" s="21">
        <f>[38]XX!E24/1000000</f>
        <v>2.8499999999999999E-4</v>
      </c>
      <c r="E36" s="22">
        <f t="shared" si="0"/>
        <v>-99.87713693360341</v>
      </c>
      <c r="F36" s="22">
        <f t="shared" si="1"/>
        <v>3.491714604269144E-5</v>
      </c>
      <c r="G36" s="22">
        <f>[38]XX!C24/1000000</f>
        <v>9.0000000000000002E-6</v>
      </c>
      <c r="H36" s="22">
        <f>[38]XX!F24/1000000</f>
        <v>0</v>
      </c>
      <c r="I36" s="22" t="str">
        <f t="shared" si="2"/>
        <v/>
      </c>
      <c r="J36" s="22">
        <f t="shared" si="3"/>
        <v>0</v>
      </c>
      <c r="K36" s="16"/>
    </row>
    <row r="37" spans="1:13">
      <c r="A37" s="14"/>
      <c r="B37" s="9" t="str">
        <f>+[38]XX!A25</f>
        <v>Córdoba</v>
      </c>
      <c r="C37" s="21">
        <f>[38]XX!B25/1000000</f>
        <v>0</v>
      </c>
      <c r="D37" s="21">
        <f>[38]XX!E25/1000000</f>
        <v>1.4999999999999999E-4</v>
      </c>
      <c r="E37" s="22" t="str">
        <f t="shared" si="0"/>
        <v/>
      </c>
      <c r="F37" s="22">
        <f t="shared" si="1"/>
        <v>1.8377445285627073E-5</v>
      </c>
      <c r="G37" s="22">
        <f>[38]XX!C25/1000000</f>
        <v>0</v>
      </c>
      <c r="H37" s="22">
        <f>[38]XX!F25/1000000</f>
        <v>0</v>
      </c>
      <c r="I37" s="22" t="str">
        <f t="shared" si="2"/>
        <v/>
      </c>
      <c r="J37" s="22">
        <f t="shared" si="3"/>
        <v>0</v>
      </c>
      <c r="K37" s="16"/>
    </row>
    <row r="38" spans="1:13">
      <c r="A38" s="14"/>
      <c r="B38" s="9" t="str">
        <f>+[38]XX!A26</f>
        <v>Guainía</v>
      </c>
      <c r="C38" s="21">
        <f>[38]XX!B26/1000000</f>
        <v>1.2796099999999998E-3</v>
      </c>
      <c r="D38" s="21">
        <f>[38]XX!E26/1000000</f>
        <v>0</v>
      </c>
      <c r="E38" s="22" t="str">
        <f t="shared" si="0"/>
        <v/>
      </c>
      <c r="F38" s="22">
        <f t="shared" si="1"/>
        <v>0</v>
      </c>
      <c r="G38" s="22">
        <f>[38]XX!C26/1000000</f>
        <v>0</v>
      </c>
      <c r="H38" s="22">
        <f>[38]XX!F26/1000000</f>
        <v>0</v>
      </c>
      <c r="I38" s="22" t="str">
        <f t="shared" si="2"/>
        <v/>
      </c>
      <c r="J38" s="22">
        <f t="shared" si="3"/>
        <v>0</v>
      </c>
      <c r="K38" s="16"/>
    </row>
    <row r="39" spans="1:13">
      <c r="A39" s="14"/>
      <c r="B39" s="9" t="str">
        <f>+[38]XX!A27</f>
        <v>Guajira</v>
      </c>
      <c r="C39" s="21">
        <f>[38]XX!B27/1000000</f>
        <v>0.23427999999999999</v>
      </c>
      <c r="D39" s="21">
        <f>[38]XX!E27/1000000</f>
        <v>0</v>
      </c>
      <c r="E39" s="22" t="str">
        <f t="shared" si="0"/>
        <v/>
      </c>
      <c r="F39" s="22">
        <f t="shared" si="1"/>
        <v>0</v>
      </c>
      <c r="G39" s="22">
        <f>[38]XX!C27/1000000</f>
        <v>0.14380000000000001</v>
      </c>
      <c r="H39" s="22">
        <f>[38]XX!F27/1000000</f>
        <v>0</v>
      </c>
      <c r="I39" s="22" t="str">
        <f t="shared" si="2"/>
        <v/>
      </c>
      <c r="J39" s="22">
        <f t="shared" si="3"/>
        <v>0</v>
      </c>
      <c r="K39" s="16"/>
    </row>
    <row r="40" spans="1:13">
      <c r="A40" s="14"/>
      <c r="B40" s="9" t="str">
        <f>+[38]XX!A28</f>
        <v>Huila</v>
      </c>
      <c r="C40" s="21">
        <f>[38]XX!B28/1000000</f>
        <v>0.23295113000000001</v>
      </c>
      <c r="D40" s="21">
        <f>[38]XX!E28/1000000</f>
        <v>0</v>
      </c>
      <c r="E40" s="22" t="str">
        <f t="shared" ref="E40:E41" si="4">IF(OR(OR(D40=0,C40=0),D40=""),"",(D40/C40-1)*100)</f>
        <v/>
      </c>
      <c r="F40" s="22">
        <f t="shared" ref="F40:F41" si="5">(D40/D$13)*100</f>
        <v>0</v>
      </c>
      <c r="G40" s="22">
        <f>[38]XX!C28/1000000</f>
        <v>0</v>
      </c>
      <c r="H40" s="22">
        <f>[38]XX!F28/1000000</f>
        <v>0</v>
      </c>
      <c r="I40" s="22" t="str">
        <f t="shared" ref="I40:I41" si="6">IF(OR(OR(H40=0,G40=0),H40=""),"",(H40/G40-1)*100)</f>
        <v/>
      </c>
      <c r="J40" s="22">
        <f t="shared" ref="J40:J41" si="7">(H40/H$13)*100</f>
        <v>0</v>
      </c>
      <c r="K40" s="16"/>
    </row>
    <row r="41" spans="1:13">
      <c r="A41" s="14"/>
      <c r="B41" s="9" t="str">
        <f>+[38]XX!A29</f>
        <v>Sin definir</v>
      </c>
      <c r="C41" s="21">
        <f>[38]XX!B29/1000000</f>
        <v>2.9E-5</v>
      </c>
      <c r="D41" s="21">
        <f>[38]XX!E29/1000000</f>
        <v>0</v>
      </c>
      <c r="E41" s="22" t="str">
        <f t="shared" si="4"/>
        <v/>
      </c>
      <c r="F41" s="22">
        <f t="shared" si="5"/>
        <v>0</v>
      </c>
      <c r="G41" s="22">
        <f>[38]XX!C29/1000000</f>
        <v>0</v>
      </c>
      <c r="H41" s="22">
        <f>[38]XX!F29/1000000</f>
        <v>0</v>
      </c>
      <c r="I41" s="22" t="str">
        <f t="shared" si="6"/>
        <v/>
      </c>
      <c r="J41" s="22">
        <f t="shared" si="7"/>
        <v>0</v>
      </c>
      <c r="K41" s="16"/>
    </row>
    <row r="42" spans="1:13">
      <c r="A42" s="14"/>
      <c r="B42" s="9" t="str">
        <f>+[38]XX!A30</f>
        <v>Sucre</v>
      </c>
      <c r="C42" s="21">
        <f>[38]XX!B30/1000000</f>
        <v>3.7100000000000002E-4</v>
      </c>
      <c r="D42" s="21">
        <f>[38]XX!E30/1000000</f>
        <v>0</v>
      </c>
      <c r="E42" s="22" t="str">
        <f t="shared" ref="E42" si="8">IF(OR(OR(D42=0,C42=0),D42=""),"",(D42/C42-1)*100)</f>
        <v/>
      </c>
      <c r="F42" s="22">
        <f t="shared" ref="F42" si="9">(D42/D$13)*100</f>
        <v>0</v>
      </c>
      <c r="G42" s="22">
        <f>[38]XX!C30/1000000</f>
        <v>0</v>
      </c>
      <c r="H42" s="22">
        <f>[38]XX!F30/1000000</f>
        <v>0</v>
      </c>
      <c r="I42" s="22" t="str">
        <f t="shared" ref="I42" si="10">IF(OR(OR(H42=0,G42=0),H42=""),"",(H42/G42-1)*100)</f>
        <v/>
      </c>
      <c r="J42" s="22">
        <f t="shared" ref="J42" si="11">(H42/H$13)*100</f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tr">
        <f>IF(F43="","",1)</f>
        <v/>
      </c>
    </row>
    <row r="44" spans="1:13">
      <c r="A44" s="17"/>
      <c r="B44" s="39" t="s">
        <v>26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exportaciones Ecuador</vt:lpstr>
      <vt:lpstr>Histórico Ecuador primarios</vt:lpstr>
      <vt:lpstr>Histórico Ecuador rec naturales</vt:lpstr>
      <vt:lpstr>Histórico Ecuador baja tek</vt:lpstr>
      <vt:lpstr>Histórico Ecuador media tek</vt:lpstr>
      <vt:lpstr>Histórico Ecuador alta tek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Perú</vt:lpstr>
      <vt:lpstr>Histórico expo México</vt:lpstr>
      <vt:lpstr>Histórico productos quimicos</vt:lpstr>
      <vt:lpstr>Histórico productos agricultura</vt:lpstr>
      <vt:lpstr>Histórico alimentos</vt:lpstr>
      <vt:lpstr>Histórico equipos transporte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alimentos'!Área_de_impresión</vt:lpstr>
      <vt:lpstr>'Histórico basadas recursos nat'!Área_de_impresión</vt:lpstr>
      <vt:lpstr>'Histórico Ecuador alta tek'!Área_de_impresión</vt:lpstr>
      <vt:lpstr>'Histórico Ecuador baja tek'!Área_de_impresión</vt:lpstr>
      <vt:lpstr>'Histórico Ecuador media tek'!Área_de_impresión</vt:lpstr>
      <vt:lpstr>'Histórico Ecuador primarios'!Área_de_impresión</vt:lpstr>
      <vt:lpstr>'Histórico Ecuador rec naturales'!Área_de_impresión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Ecuador'!Área_de_impresión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agricultura'!Área_de_impresión</vt:lpstr>
      <vt:lpstr>'Histórico productos quimicos'!Área_de_impresión</vt:lpstr>
      <vt:lpstr>'Histórico textiles'!Área_de_impresión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2011-05-25T15:07:26Z</cp:lastPrinted>
  <dcterms:created xsi:type="dcterms:W3CDTF">2009-04-02T15:53:30Z</dcterms:created>
  <dcterms:modified xsi:type="dcterms:W3CDTF">2011-05-25T15:07:28Z</dcterms:modified>
</cp:coreProperties>
</file>