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9.xml" ContentType="application/vnd.openxmlformats-officedocument.spreadsheetml.externalLink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externalLinks/externalLink16.xml" ContentType="application/vnd.openxmlformats-officedocument.spreadsheetml.externalLink+xml"/>
  <Override PartName="/xl/drawings/drawing2.xml" ContentType="application/vnd.openxmlformats-officedocument.drawing+xml"/>
  <Override PartName="/xl/drawings/drawing35.xml" ContentType="application/vnd.openxmlformats-officedocument.drawing+xml"/>
  <Override PartName="/xl/worksheets/sheet3.xml" ContentType="application/vnd.openxmlformats-officedocument.spreadsheetml.worksheet+xml"/>
  <Override PartName="/xl/externalLinks/externalLink3.xml" ContentType="application/vnd.openxmlformats-officedocument.spreadsheetml.externalLink+xml"/>
  <Override PartName="/xl/externalLinks/externalLink14.xml" ContentType="application/vnd.openxmlformats-officedocument.spreadsheetml.externalLink+xml"/>
  <Override PartName="/xl/drawings/drawing13.xml" ContentType="application/vnd.openxmlformats-officedocument.drawing+xml"/>
  <Override PartName="/xl/drawings/drawing22.xml" ContentType="application/vnd.openxmlformats-officedocument.drawing+xml"/>
  <Override PartName="/xl/drawings/drawing24.xml" ContentType="application/vnd.openxmlformats-officedocument.drawing+xml"/>
  <Override PartName="/xl/drawings/drawing33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2.xml" ContentType="application/vnd.openxmlformats-officedocument.spreadsheetml.externalLink+xml"/>
  <Override PartName="/xl/drawings/drawing11.xml" ContentType="application/vnd.openxmlformats-officedocument.drawing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worksheets/sheet29.xml" ContentType="application/vnd.openxmlformats-officedocument.spreadsheetml.worksheet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externalLinks/externalLink8.xml" ContentType="application/vnd.openxmlformats-officedocument.spreadsheetml.externalLink+xml"/>
  <Override PartName="/xl/externalLinks/externalLink19.xml" ContentType="application/vnd.openxmlformats-officedocument.spreadsheetml.externalLink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Override PartName="/xl/externalLinks/externalLink17.xml" ContentType="application/vnd.openxmlformats-officedocument.spreadsheetml.externalLink+xml"/>
  <Default Extension="jpeg" ContentType="image/jpeg"/>
  <Default Extension="emf" ContentType="image/x-emf"/>
  <Override PartName="/xl/drawings/drawing5.xml" ContentType="application/vnd.openxmlformats-officedocument.drawing+xml"/>
  <Override PartName="/xl/drawings/drawing18.xml" ContentType="application/vnd.openxmlformats-officedocument.drawing+xml"/>
  <Override PartName="/xl/charts/chart3.xml" ContentType="application/vnd.openxmlformats-officedocument.drawingml.chart+xml"/>
  <Override PartName="/xl/drawings/drawing27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externalLinks/externalLink15.xml" ContentType="application/vnd.openxmlformats-officedocument.spreadsheetml.externalLink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drawings/drawing23.xml" ContentType="application/vnd.openxmlformats-officedocument.drawing+xml"/>
  <Override PartName="/xl/drawings/drawing32.xml" ContentType="application/vnd.openxmlformats-officedocument.drawing+xml"/>
  <Override PartName="/xl/externalLinks/externalLink11.xml" ContentType="application/vnd.openxmlformats-officedocument.spreadsheetml.externalLink+xml"/>
  <Override PartName="/xl/drawings/drawing12.xml" ContentType="application/vnd.openxmlformats-officedocument.drawing+xml"/>
  <Override PartName="/xl/drawings/drawing21.xml" ContentType="application/vnd.openxmlformats-officedocument.drawing+xml"/>
  <Override PartName="/xl/drawings/drawing30.xml" ContentType="application/vnd.openxmlformats-officedocument.drawing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charts/chart6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worksheets/sheet11.xml" ContentType="application/vnd.openxmlformats-officedocument.spreadsheetml.worksheet+xml"/>
  <Override PartName="/xl/externalLinks/externalLink7.xml" ContentType="application/vnd.openxmlformats-officedocument.spreadsheetml.externalLink+xml"/>
  <Override PartName="/xl/externalLinks/externalLink18.xml" ContentType="application/vnd.openxmlformats-officedocument.spreadsheetml.externalLink+xml"/>
  <Override PartName="/xl/drawings/drawing4.xml" ContentType="application/vnd.openxmlformats-officedocument.drawing+xml"/>
  <Override PartName="/xl/charts/chart2.xml" ContentType="application/vnd.openxmlformats-officedocument.drawingml.chart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drawings/drawing2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Comparativa balanza países" sheetId="68" r:id="rId2"/>
    <sheet name="Resumen importaciones totales" sheetId="19" r:id="rId3"/>
    <sheet name="País de origen con Reducción" sheetId="67" r:id="rId4"/>
    <sheet name="Por país de origen con Aumento" sheetId="119" r:id="rId5"/>
    <sheet name="Resumen impo pais origen" sheetId="120" r:id="rId6"/>
    <sheet name="Impo pais origen primarios" sheetId="124" r:id="rId7"/>
    <sheet name="Impo pais destino manufacturas" sheetId="126" r:id="rId8"/>
    <sheet name="Impo pais origen rec naturales" sheetId="125" r:id="rId9"/>
    <sheet name="Impo pais origen baja tek" sheetId="128" r:id="rId10"/>
    <sheet name="Impo pais origen media tek" sheetId="129" r:id="rId11"/>
    <sheet name="Expo pais destino alta tek" sheetId="130" r:id="rId12"/>
    <sheet name="Resumen actividades economicas" sheetId="107" r:id="rId13"/>
    <sheet name="Resumen capítulos" sheetId="138" r:id="rId14"/>
    <sheet name="Resumen subpartidas" sheetId="132" r:id="rId15"/>
    <sheet name="Resumen cuode" sheetId="156" r:id="rId16"/>
    <sheet name="Histórico importaciones" sheetId="64" r:id="rId17"/>
    <sheet name="Histórico impo primarios" sheetId="139" r:id="rId18"/>
    <sheet name="Histórico impo manufacturas" sheetId="140" r:id="rId19"/>
    <sheet name="Histórico impo rec naturales" sheetId="141" r:id="rId20"/>
    <sheet name="Histórico impo baja tek" sheetId="142" r:id="rId21"/>
    <sheet name="Histórico impo media tek" sheetId="143" r:id="rId22"/>
    <sheet name="Histórico impo alta tek" sheetId="144" r:id="rId23"/>
    <sheet name="Histórico impo EEUU" sheetId="145" r:id="rId24"/>
    <sheet name="Histórico impo China" sheetId="146" r:id="rId25"/>
    <sheet name="Histórico impo México" sheetId="147" r:id="rId26"/>
    <sheet name="Histórico impo Brasil" sheetId="148" r:id="rId27"/>
    <sheet name="Histórico impo Alemania" sheetId="149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</sheets>
  <externalReferences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  <externalReference r:id="rId51"/>
    <externalReference r:id="rId52"/>
    <externalReference r:id="rId53"/>
    <externalReference r:id="rId54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1">#REF!</definedName>
    <definedName name="\a" localSheetId="11">#REF!</definedName>
    <definedName name="\a" localSheetId="27">#REF!</definedName>
    <definedName name="\a" localSheetId="22">#REF!</definedName>
    <definedName name="\a" localSheetId="20">#REF!</definedName>
    <definedName name="\a" localSheetId="26">#REF!</definedName>
    <definedName name="\a" localSheetId="24">#REF!</definedName>
    <definedName name="\a" localSheetId="23">#REF!</definedName>
    <definedName name="\a" localSheetId="18">#REF!</definedName>
    <definedName name="\a" localSheetId="21">#REF!</definedName>
    <definedName name="\a" localSheetId="25">#REF!</definedName>
    <definedName name="\a" localSheetId="17">#REF!</definedName>
    <definedName name="\a" localSheetId="19">#REF!</definedName>
    <definedName name="\a" localSheetId="16">#REF!</definedName>
    <definedName name="\a" localSheetId="7">#REF!</definedName>
    <definedName name="\a" localSheetId="9">#REF!</definedName>
    <definedName name="\a" localSheetId="10">#REF!</definedName>
    <definedName name="\a" localSheetId="6">#REF!</definedName>
    <definedName name="\a" localSheetId="8">#REF!</definedName>
    <definedName name="\a" localSheetId="0">#REF!</definedName>
    <definedName name="\a" localSheetId="3">#REF!</definedName>
    <definedName name="\a" localSheetId="4">#REF!</definedName>
    <definedName name="\a" localSheetId="12">#REF!</definedName>
    <definedName name="\a" localSheetId="13">#REF!</definedName>
    <definedName name="\a" localSheetId="15">#REF!</definedName>
    <definedName name="\a" localSheetId="5">#REF!</definedName>
    <definedName name="\a" localSheetId="2">#REF!</definedName>
    <definedName name="\a" localSheetId="14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1">#REF!</definedName>
    <definedName name="\y" localSheetId="11">#REF!</definedName>
    <definedName name="\y" localSheetId="27">#REF!</definedName>
    <definedName name="\y" localSheetId="22">#REF!</definedName>
    <definedName name="\y" localSheetId="20">#REF!</definedName>
    <definedName name="\y" localSheetId="26">#REF!</definedName>
    <definedName name="\y" localSheetId="24">#REF!</definedName>
    <definedName name="\y" localSheetId="23">#REF!</definedName>
    <definedName name="\y" localSheetId="18">#REF!</definedName>
    <definedName name="\y" localSheetId="21">#REF!</definedName>
    <definedName name="\y" localSheetId="25">#REF!</definedName>
    <definedName name="\y" localSheetId="17">#REF!</definedName>
    <definedName name="\y" localSheetId="19">#REF!</definedName>
    <definedName name="\y" localSheetId="16">#REF!</definedName>
    <definedName name="\y" localSheetId="7">#REF!</definedName>
    <definedName name="\y" localSheetId="9">#REF!</definedName>
    <definedName name="\y" localSheetId="10">#REF!</definedName>
    <definedName name="\y" localSheetId="6">#REF!</definedName>
    <definedName name="\y" localSheetId="8">#REF!</definedName>
    <definedName name="\y" localSheetId="0">#REF!</definedName>
    <definedName name="\y" localSheetId="3">#REF!</definedName>
    <definedName name="\y" localSheetId="4">#REF!</definedName>
    <definedName name="\y" localSheetId="12">#REF!</definedName>
    <definedName name="\y" localSheetId="13">#REF!</definedName>
    <definedName name="\y" localSheetId="15">#REF!</definedName>
    <definedName name="\y" localSheetId="5">#REF!</definedName>
    <definedName name="\y" localSheetId="2">#REF!</definedName>
    <definedName name="\y" localSheetId="14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1">#REF!</definedName>
    <definedName name="\z" localSheetId="11">#REF!</definedName>
    <definedName name="\z" localSheetId="27">#REF!</definedName>
    <definedName name="\z" localSheetId="22">#REF!</definedName>
    <definedName name="\z" localSheetId="20">#REF!</definedName>
    <definedName name="\z" localSheetId="26">#REF!</definedName>
    <definedName name="\z" localSheetId="24">#REF!</definedName>
    <definedName name="\z" localSheetId="23">#REF!</definedName>
    <definedName name="\z" localSheetId="18">#REF!</definedName>
    <definedName name="\z" localSheetId="21">#REF!</definedName>
    <definedName name="\z" localSheetId="25">#REF!</definedName>
    <definedName name="\z" localSheetId="17">#REF!</definedName>
    <definedName name="\z" localSheetId="19">#REF!</definedName>
    <definedName name="\z" localSheetId="16">#REF!</definedName>
    <definedName name="\z" localSheetId="7">#REF!</definedName>
    <definedName name="\z" localSheetId="9">#REF!</definedName>
    <definedName name="\z" localSheetId="10">#REF!</definedName>
    <definedName name="\z" localSheetId="6">#REF!</definedName>
    <definedName name="\z" localSheetId="8">#REF!</definedName>
    <definedName name="\z" localSheetId="0">#REF!</definedName>
    <definedName name="\z" localSheetId="3">#REF!</definedName>
    <definedName name="\z" localSheetId="4">#REF!</definedName>
    <definedName name="\z" localSheetId="12">#REF!</definedName>
    <definedName name="\z" localSheetId="13">#REF!</definedName>
    <definedName name="\z" localSheetId="15">#REF!</definedName>
    <definedName name="\z" localSheetId="5">#REF!</definedName>
    <definedName name="\z" localSheetId="2">#REF!</definedName>
    <definedName name="\z" localSheetId="14">#REF!</definedName>
    <definedName name="_C" localSheetId="27">#REF!</definedName>
    <definedName name="_C" localSheetId="22">#REF!</definedName>
    <definedName name="_C" localSheetId="20">#REF!</definedName>
    <definedName name="_C" localSheetId="26">#REF!</definedName>
    <definedName name="_C" localSheetId="24">#REF!</definedName>
    <definedName name="_C" localSheetId="23">#REF!</definedName>
    <definedName name="_C" localSheetId="18">#REF!</definedName>
    <definedName name="_C" localSheetId="21">#REF!</definedName>
    <definedName name="_C" localSheetId="25">#REF!</definedName>
    <definedName name="_C" localSheetId="17">#REF!</definedName>
    <definedName name="_C" localSheetId="19">#REF!</definedName>
    <definedName name="_C" localSheetId="16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1" hidden="1">#REF!</definedName>
    <definedName name="_Fill" localSheetId="11" hidden="1">#REF!</definedName>
    <definedName name="_Fill" localSheetId="27" hidden="1">#REF!</definedName>
    <definedName name="_Fill" localSheetId="22" hidden="1">#REF!</definedName>
    <definedName name="_Fill" localSheetId="20" hidden="1">#REF!</definedName>
    <definedName name="_Fill" localSheetId="26" hidden="1">#REF!</definedName>
    <definedName name="_Fill" localSheetId="24" hidden="1">#REF!</definedName>
    <definedName name="_Fill" localSheetId="23" hidden="1">#REF!</definedName>
    <definedName name="_Fill" localSheetId="18" hidden="1">#REF!</definedName>
    <definedName name="_Fill" localSheetId="21" hidden="1">#REF!</definedName>
    <definedName name="_Fill" localSheetId="25" hidden="1">#REF!</definedName>
    <definedName name="_Fill" localSheetId="17" hidden="1">#REF!</definedName>
    <definedName name="_Fill" localSheetId="19" hidden="1">#REF!</definedName>
    <definedName name="_Fill" localSheetId="16" hidden="1">#REF!</definedName>
    <definedName name="_Fill" localSheetId="7" hidden="1">#REF!</definedName>
    <definedName name="_Fill" localSheetId="9" hidden="1">#REF!</definedName>
    <definedName name="_Fill" localSheetId="10" hidden="1">#REF!</definedName>
    <definedName name="_Fill" localSheetId="6" hidden="1">#REF!</definedName>
    <definedName name="_Fill" localSheetId="8" hidden="1">#REF!</definedName>
    <definedName name="_Fill" localSheetId="0" hidden="1">#REF!</definedName>
    <definedName name="_Fill" localSheetId="3" hidden="1">#REF!</definedName>
    <definedName name="_Fill" localSheetId="4" hidden="1">#REF!</definedName>
    <definedName name="_Fill" localSheetId="12" hidden="1">#REF!</definedName>
    <definedName name="_Fill" localSheetId="13" hidden="1">#REF!</definedName>
    <definedName name="_Fill" localSheetId="15" hidden="1">#REF!</definedName>
    <definedName name="_Fill" localSheetId="5" hidden="1">#REF!</definedName>
    <definedName name="_Fill" localSheetId="2" hidden="1">#REF!</definedName>
    <definedName name="_Fill" localSheetId="14" hidden="1">#REF!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1" hidden="1">#REF!</definedName>
    <definedName name="_Key1" localSheetId="11" hidden="1">#REF!</definedName>
    <definedName name="_Key1" localSheetId="27" hidden="1">#REF!</definedName>
    <definedName name="_Key1" localSheetId="22" hidden="1">#REF!</definedName>
    <definedName name="_Key1" localSheetId="20" hidden="1">#REF!</definedName>
    <definedName name="_Key1" localSheetId="26" hidden="1">#REF!</definedName>
    <definedName name="_Key1" localSheetId="24" hidden="1">#REF!</definedName>
    <definedName name="_Key1" localSheetId="23" hidden="1">#REF!</definedName>
    <definedName name="_Key1" localSheetId="18" hidden="1">#REF!</definedName>
    <definedName name="_Key1" localSheetId="21" hidden="1">#REF!</definedName>
    <definedName name="_Key1" localSheetId="25" hidden="1">#REF!</definedName>
    <definedName name="_Key1" localSheetId="17" hidden="1">#REF!</definedName>
    <definedName name="_Key1" localSheetId="19" hidden="1">#REF!</definedName>
    <definedName name="_Key1" localSheetId="16" hidden="1">#REF!</definedName>
    <definedName name="_Key1" localSheetId="7" hidden="1">#REF!</definedName>
    <definedName name="_Key1" localSheetId="9" hidden="1">#REF!</definedName>
    <definedName name="_Key1" localSheetId="10" hidden="1">#REF!</definedName>
    <definedName name="_Key1" localSheetId="6" hidden="1">#REF!</definedName>
    <definedName name="_Key1" localSheetId="8" hidden="1">#REF!</definedName>
    <definedName name="_Key1" localSheetId="0" hidden="1">#REF!</definedName>
    <definedName name="_Key1" localSheetId="3" hidden="1">#REF!</definedName>
    <definedName name="_Key1" localSheetId="4" hidden="1">#REF!</definedName>
    <definedName name="_Key1" localSheetId="12" hidden="1">#REF!</definedName>
    <definedName name="_Key1" localSheetId="13" hidden="1">#REF!</definedName>
    <definedName name="_Key1" localSheetId="15" hidden="1">#REF!</definedName>
    <definedName name="_Key1" localSheetId="5" hidden="1">#REF!</definedName>
    <definedName name="_Key1" localSheetId="2" hidden="1">#REF!</definedName>
    <definedName name="_Key1" localSheetId="14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1" hidden="1">#REF!</definedName>
    <definedName name="_Sort" localSheetId="11" hidden="1">#REF!</definedName>
    <definedName name="_Sort" localSheetId="27" hidden="1">#REF!</definedName>
    <definedName name="_Sort" localSheetId="22" hidden="1">#REF!</definedName>
    <definedName name="_Sort" localSheetId="20" hidden="1">#REF!</definedName>
    <definedName name="_Sort" localSheetId="26" hidden="1">#REF!</definedName>
    <definedName name="_Sort" localSheetId="24" hidden="1">#REF!</definedName>
    <definedName name="_Sort" localSheetId="23" hidden="1">#REF!</definedName>
    <definedName name="_Sort" localSheetId="18" hidden="1">#REF!</definedName>
    <definedName name="_Sort" localSheetId="21" hidden="1">#REF!</definedName>
    <definedName name="_Sort" localSheetId="25" hidden="1">#REF!</definedName>
    <definedName name="_Sort" localSheetId="17" hidden="1">#REF!</definedName>
    <definedName name="_Sort" localSheetId="19" hidden="1">#REF!</definedName>
    <definedName name="_Sort" localSheetId="16" hidden="1">#REF!</definedName>
    <definedName name="_Sort" localSheetId="7" hidden="1">#REF!</definedName>
    <definedName name="_Sort" localSheetId="9" hidden="1">#REF!</definedName>
    <definedName name="_Sort" localSheetId="10" hidden="1">#REF!</definedName>
    <definedName name="_Sort" localSheetId="6" hidden="1">#REF!</definedName>
    <definedName name="_Sort" localSheetId="8" hidden="1">#REF!</definedName>
    <definedName name="_Sort" localSheetId="0" hidden="1">#REF!</definedName>
    <definedName name="_Sort" localSheetId="3" hidden="1">#REF!</definedName>
    <definedName name="_Sort" localSheetId="4" hidden="1">#REF!</definedName>
    <definedName name="_Sort" localSheetId="12" hidden="1">#REF!</definedName>
    <definedName name="_Sort" localSheetId="13" hidden="1">#REF!</definedName>
    <definedName name="_Sort" localSheetId="15" hidden="1">#REF!</definedName>
    <definedName name="_Sort" localSheetId="5" hidden="1">#REF!</definedName>
    <definedName name="_Sort" localSheetId="2" hidden="1">#REF!</definedName>
    <definedName name="_Sort" localSheetId="14" hidden="1">#REF!</definedName>
    <definedName name="_Table1_In1" localSheetId="27" hidden="1">#REF!</definedName>
    <definedName name="_Table1_In1" localSheetId="22" hidden="1">#REF!</definedName>
    <definedName name="_Table1_In1" localSheetId="20" hidden="1">#REF!</definedName>
    <definedName name="_Table1_In1" localSheetId="26" hidden="1">#REF!</definedName>
    <definedName name="_Table1_In1" localSheetId="24" hidden="1">#REF!</definedName>
    <definedName name="_Table1_In1" localSheetId="23" hidden="1">#REF!</definedName>
    <definedName name="_Table1_In1" localSheetId="18" hidden="1">#REF!</definedName>
    <definedName name="_Table1_In1" localSheetId="21" hidden="1">#REF!</definedName>
    <definedName name="_Table1_In1" localSheetId="25" hidden="1">#REF!</definedName>
    <definedName name="_Table1_In1" localSheetId="17" hidden="1">#REF!</definedName>
    <definedName name="_Table1_In1" localSheetId="19" hidden="1">#REF!</definedName>
    <definedName name="_Table1_In1" localSheetId="16" hidden="1">#REF!</definedName>
    <definedName name="_Table1_In1" localSheetId="0" hidden="1">#REF!</definedName>
    <definedName name="_Table1_Out" localSheetId="27" hidden="1">#REF!</definedName>
    <definedName name="_Table1_Out" localSheetId="22" hidden="1">#REF!</definedName>
    <definedName name="_Table1_Out" localSheetId="20" hidden="1">#REF!</definedName>
    <definedName name="_Table1_Out" localSheetId="26" hidden="1">#REF!</definedName>
    <definedName name="_Table1_Out" localSheetId="24" hidden="1">#REF!</definedName>
    <definedName name="_Table1_Out" localSheetId="23" hidden="1">#REF!</definedName>
    <definedName name="_Table1_Out" localSheetId="18" hidden="1">#REF!</definedName>
    <definedName name="_Table1_Out" localSheetId="21" hidden="1">#REF!</definedName>
    <definedName name="_Table1_Out" localSheetId="25" hidden="1">#REF!</definedName>
    <definedName name="_Table1_Out" localSheetId="17" hidden="1">#REF!</definedName>
    <definedName name="_Table1_Out" localSheetId="19" hidden="1">#REF!</definedName>
    <definedName name="_Table1_Out" localSheetId="16" hidden="1">#REF!</definedName>
    <definedName name="_Table1_Out" localSheetId="0" hidden="1">#REF!</definedName>
    <definedName name="_TBL3" localSheetId="27">#REF!</definedName>
    <definedName name="_TBL3" localSheetId="22">#REF!</definedName>
    <definedName name="_TBL3" localSheetId="20">#REF!</definedName>
    <definedName name="_TBL3" localSheetId="26">#REF!</definedName>
    <definedName name="_TBL3" localSheetId="24">#REF!</definedName>
    <definedName name="_TBL3" localSheetId="23">#REF!</definedName>
    <definedName name="_TBL3" localSheetId="18">#REF!</definedName>
    <definedName name="_TBL3" localSheetId="21">#REF!</definedName>
    <definedName name="_TBL3" localSheetId="25">#REF!</definedName>
    <definedName name="_TBL3" localSheetId="17">#REF!</definedName>
    <definedName name="_TBL3" localSheetId="19">#REF!</definedName>
    <definedName name="_TBL3" localSheetId="16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11">[1]BASE!#REF!</definedName>
    <definedName name="a" localSheetId="27">[1]BASE!#REF!</definedName>
    <definedName name="a" localSheetId="22">[1]BASE!#REF!</definedName>
    <definedName name="a" localSheetId="20">[1]BASE!#REF!</definedName>
    <definedName name="a" localSheetId="26">[1]BASE!#REF!</definedName>
    <definedName name="a" localSheetId="24">[1]BASE!#REF!</definedName>
    <definedName name="a" localSheetId="23">[1]BASE!#REF!</definedName>
    <definedName name="a" localSheetId="18">[1]BASE!#REF!</definedName>
    <definedName name="a" localSheetId="21">[1]BASE!#REF!</definedName>
    <definedName name="a" localSheetId="25">[1]BASE!#REF!</definedName>
    <definedName name="a" localSheetId="17">[1]BASE!#REF!</definedName>
    <definedName name="a" localSheetId="19">[1]BASE!#REF!</definedName>
    <definedName name="a" localSheetId="7">[1]BASE!#REF!</definedName>
    <definedName name="a" localSheetId="9">[1]BASE!#REF!</definedName>
    <definedName name="a" localSheetId="10">[1]BASE!#REF!</definedName>
    <definedName name="a" localSheetId="6">[1]BASE!#REF!</definedName>
    <definedName name="a" localSheetId="8">[1]BASE!#REF!</definedName>
    <definedName name="a" localSheetId="4">[1]BASE!#REF!</definedName>
    <definedName name="a" localSheetId="12">[1]BASE!#REF!</definedName>
    <definedName name="a" localSheetId="13">[1]BASE!#REF!</definedName>
    <definedName name="a" localSheetId="15">[1]BASE!#REF!</definedName>
    <definedName name="a" localSheetId="5">[1]BASE!#REF!</definedName>
    <definedName name="a" localSheetId="14">[1]BASE!#REF!</definedName>
    <definedName name="a">[1]BASE!#REF!</definedName>
    <definedName name="A_IMPRESIÓN_IM" localSheetId="27">#REF!</definedName>
    <definedName name="A_IMPRESIÓN_IM" localSheetId="22">#REF!</definedName>
    <definedName name="A_IMPRESIÓN_IM" localSheetId="20">#REF!</definedName>
    <definedName name="A_IMPRESIÓN_IM" localSheetId="26">#REF!</definedName>
    <definedName name="A_IMPRESIÓN_IM" localSheetId="24">#REF!</definedName>
    <definedName name="A_IMPRESIÓN_IM" localSheetId="23">#REF!</definedName>
    <definedName name="A_IMPRESIÓN_IM" localSheetId="18">#REF!</definedName>
    <definedName name="A_IMPRESIÓN_IM" localSheetId="21">#REF!</definedName>
    <definedName name="A_IMPRESIÓN_IM" localSheetId="25">#REF!</definedName>
    <definedName name="A_IMPRESIÓN_IM" localSheetId="17">#REF!</definedName>
    <definedName name="A_IMPRESIÓN_IM" localSheetId="19">#REF!</definedName>
    <definedName name="A_IMPRESIÓN_IM" localSheetId="16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1">'[3]ipc indice 2'!$L$1:$L$311</definedName>
    <definedName name="ABR._89" localSheetId="11">'[2]ipc indice 2'!$L$1:$L$311</definedName>
    <definedName name="ABR._89" localSheetId="27">'[2]ipc indice 2'!$L$1:$L$311</definedName>
    <definedName name="ABR._89" localSheetId="22">'[2]ipc indice 2'!$L$1:$L$311</definedName>
    <definedName name="ABR._89" localSheetId="20">'[2]ipc indice 2'!$L$1:$L$311</definedName>
    <definedName name="ABR._89" localSheetId="26">'[2]ipc indice 2'!$L$1:$L$311</definedName>
    <definedName name="ABR._89" localSheetId="24">'[2]ipc indice 2'!$L$1:$L$311</definedName>
    <definedName name="ABR._89" localSheetId="23">'[2]ipc indice 2'!$L$1:$L$311</definedName>
    <definedName name="ABR._89" localSheetId="18">'[2]ipc indice 2'!$L$1:$L$311</definedName>
    <definedName name="ABR._89" localSheetId="21">'[2]ipc indice 2'!$L$1:$L$311</definedName>
    <definedName name="ABR._89" localSheetId="25">'[2]ipc indice 2'!$L$1:$L$311</definedName>
    <definedName name="ABR._89" localSheetId="17">'[2]ipc indice 2'!$L$1:$L$311</definedName>
    <definedName name="ABR._89" localSheetId="19">'[2]ipc indice 2'!$L$1:$L$311</definedName>
    <definedName name="ABR._89" localSheetId="16">'[2]ipc indice 2'!$L$1:$L$311</definedName>
    <definedName name="ABR._89" localSheetId="7">'[2]ipc indice 2'!$L$1:$L$311</definedName>
    <definedName name="ABR._89" localSheetId="9">'[2]ipc indice 2'!$L$1:$L$311</definedName>
    <definedName name="ABR._89" localSheetId="10">'[2]ipc indice 2'!$L$1:$L$311</definedName>
    <definedName name="ABR._89" localSheetId="6">'[2]ipc indice 2'!$L$1:$L$311</definedName>
    <definedName name="ABR._89" localSheetId="8">'[2]ipc indice 2'!$L$1:$L$311</definedName>
    <definedName name="ABR._89" localSheetId="0">'[2]ipc indice 2'!$L$1:$L$311</definedName>
    <definedName name="ABR._89" localSheetId="3">'[2]ipc indice 2'!$L$1:$L$311</definedName>
    <definedName name="ABR._89" localSheetId="4">'[2]ipc indice 2'!$L$1:$L$311</definedName>
    <definedName name="ABR._89" localSheetId="12">'[2]ipc indice 2'!$L$1:$L$311</definedName>
    <definedName name="ABR._89" localSheetId="13">'[2]ipc indice 2'!$L$1:$L$311</definedName>
    <definedName name="ABR._89" localSheetId="15">'[2]ipc indice 2'!$L$1:$L$311</definedName>
    <definedName name="ABR._89" localSheetId="5">'[2]ipc indice 2'!$L$1:$L$311</definedName>
    <definedName name="ABR._89" localSheetId="2">'[2]ipc indice 2'!$L$1:$L$311</definedName>
    <definedName name="ABR._89" localSheetId="14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1">'[3]ipc indice 2'!$P$1:$P$311</definedName>
    <definedName name="AGO._89" localSheetId="11">'[2]ipc indice 2'!$P$1:$P$311</definedName>
    <definedName name="AGO._89" localSheetId="27">'[2]ipc indice 2'!$P$1:$P$311</definedName>
    <definedName name="AGO._89" localSheetId="22">'[2]ipc indice 2'!$P$1:$P$311</definedName>
    <definedName name="AGO._89" localSheetId="20">'[2]ipc indice 2'!$P$1:$P$311</definedName>
    <definedName name="AGO._89" localSheetId="26">'[2]ipc indice 2'!$P$1:$P$311</definedName>
    <definedName name="AGO._89" localSheetId="24">'[2]ipc indice 2'!$P$1:$P$311</definedName>
    <definedName name="AGO._89" localSheetId="23">'[2]ipc indice 2'!$P$1:$P$311</definedName>
    <definedName name="AGO._89" localSheetId="18">'[2]ipc indice 2'!$P$1:$P$311</definedName>
    <definedName name="AGO._89" localSheetId="21">'[2]ipc indice 2'!$P$1:$P$311</definedName>
    <definedName name="AGO._89" localSheetId="25">'[2]ipc indice 2'!$P$1:$P$311</definedName>
    <definedName name="AGO._89" localSheetId="17">'[2]ipc indice 2'!$P$1:$P$311</definedName>
    <definedName name="AGO._89" localSheetId="19">'[2]ipc indice 2'!$P$1:$P$311</definedName>
    <definedName name="AGO._89" localSheetId="16">'[2]ipc indice 2'!$P$1:$P$311</definedName>
    <definedName name="AGO._89" localSheetId="7">'[2]ipc indice 2'!$P$1:$P$311</definedName>
    <definedName name="AGO._89" localSheetId="9">'[2]ipc indice 2'!$P$1:$P$311</definedName>
    <definedName name="AGO._89" localSheetId="10">'[2]ipc indice 2'!$P$1:$P$311</definedName>
    <definedName name="AGO._89" localSheetId="6">'[2]ipc indice 2'!$P$1:$P$311</definedName>
    <definedName name="AGO._89" localSheetId="8">'[2]ipc indice 2'!$P$1:$P$311</definedName>
    <definedName name="AGO._89" localSheetId="0">'[2]ipc indice 2'!$P$1:$P$311</definedName>
    <definedName name="AGO._89" localSheetId="3">'[2]ipc indice 2'!$P$1:$P$311</definedName>
    <definedName name="AGO._89" localSheetId="4">'[2]ipc indice 2'!$P$1:$P$311</definedName>
    <definedName name="AGO._89" localSheetId="12">'[2]ipc indice 2'!$P$1:$P$311</definedName>
    <definedName name="AGO._89" localSheetId="13">'[2]ipc indice 2'!$P$1:$P$311</definedName>
    <definedName name="AGO._89" localSheetId="15">'[2]ipc indice 2'!$P$1:$P$311</definedName>
    <definedName name="AGO._89" localSheetId="5">'[2]ipc indice 2'!$P$1:$P$311</definedName>
    <definedName name="AGO._89" localSheetId="2">'[2]ipc indice 2'!$P$1:$P$311</definedName>
    <definedName name="AGO._89" localSheetId="14">'[2]ipc indice 2'!$P$1:$P$311</definedName>
    <definedName name="AÑO" localSheetId="27">#REF!</definedName>
    <definedName name="AÑO" localSheetId="22">#REF!</definedName>
    <definedName name="AÑO" localSheetId="20">#REF!</definedName>
    <definedName name="AÑO" localSheetId="26">#REF!</definedName>
    <definedName name="AÑO" localSheetId="24">#REF!</definedName>
    <definedName name="AÑO" localSheetId="23">#REF!</definedName>
    <definedName name="AÑO" localSheetId="18">#REF!</definedName>
    <definedName name="AÑO" localSheetId="21">#REF!</definedName>
    <definedName name="AÑO" localSheetId="25">#REF!</definedName>
    <definedName name="AÑO" localSheetId="17">#REF!</definedName>
    <definedName name="AÑO" localSheetId="19">#REF!</definedName>
    <definedName name="AÑO" localSheetId="16">#REF!</definedName>
    <definedName name="AÑO" localSheetId="0">#REF!</definedName>
    <definedName name="_xlnm.Print_Area" localSheetId="34">'% impo alta tek'!$A$1:$K$44</definedName>
    <definedName name="_xlnm.Print_Area" localSheetId="32">'% impo baja tek'!$A$1:$K$46</definedName>
    <definedName name="_xlnm.Print_Area" localSheetId="29">'% impo bienes primarios'!$A$1:$K$43</definedName>
    <definedName name="_xlnm.Print_Area" localSheetId="30">'% impo manufacturas'!$A$1:$K$46</definedName>
    <definedName name="_xlnm.Print_Area" localSheetId="33">'% impo media tek'!$A$1:$K$45</definedName>
    <definedName name="_xlnm.Print_Area" localSheetId="31">'% impo rec naturales'!$A$1:$K$45</definedName>
    <definedName name="_xlnm.Print_Area" localSheetId="28">'% importaciones totales'!$A$1:$K$46</definedName>
    <definedName name="_xlnm.Print_Area" localSheetId="1">'Comparativa balanza países'!$A$1:$J$35</definedName>
    <definedName name="_xlnm.Print_Area" localSheetId="11">'Expo pais destino alta tek'!$A$1:$K$47</definedName>
    <definedName name="_xlnm.Print_Area" localSheetId="27">'Histórico impo Alemania'!$A$1:$K$45</definedName>
    <definedName name="_xlnm.Print_Area" localSheetId="22">'Histórico impo alta tek'!$A$1:$K$45</definedName>
    <definedName name="_xlnm.Print_Area" localSheetId="20">'Histórico impo baja tek'!$A$1:$K$45</definedName>
    <definedName name="_xlnm.Print_Area" localSheetId="26">'Histórico impo Brasil'!$A$1:$K$45</definedName>
    <definedName name="_xlnm.Print_Area" localSheetId="24">'Histórico impo China'!$A$1:$K$45</definedName>
    <definedName name="_xlnm.Print_Area" localSheetId="23">'Histórico impo EEUU'!$A$1:$K$45</definedName>
    <definedName name="_xlnm.Print_Area" localSheetId="18">'Histórico impo manufacturas'!$A$1:$K$45</definedName>
    <definedName name="_xlnm.Print_Area" localSheetId="21">'Histórico impo media tek'!$A$1:$K$45</definedName>
    <definedName name="_xlnm.Print_Area" localSheetId="25">'Histórico impo México'!$A$1:$K$45</definedName>
    <definedName name="_xlnm.Print_Area" localSheetId="17">'Histórico impo primarios'!$A$1:$K$45</definedName>
    <definedName name="_xlnm.Print_Area" localSheetId="19">'Histórico impo rec naturales'!$A$1:$K$45</definedName>
    <definedName name="_xlnm.Print_Area" localSheetId="16">'Histórico importaciones'!$A$1:$K$45</definedName>
    <definedName name="_xlnm.Print_Area" localSheetId="7">'Impo pais destino manufacturas'!$A$1:$K$47</definedName>
    <definedName name="_xlnm.Print_Area" localSheetId="9">'Impo pais origen baja tek'!$A$1:$K$47</definedName>
    <definedName name="_xlnm.Print_Area" localSheetId="10">'Impo pais origen media tek'!$A$1:$K$47</definedName>
    <definedName name="_xlnm.Print_Area" localSheetId="6">'Impo pais origen primarios'!$A$1:$K$47</definedName>
    <definedName name="_xlnm.Print_Area" localSheetId="8">'Impo pais origen rec naturales'!$A$1:$K$47</definedName>
    <definedName name="_xlnm.Print_Area" localSheetId="0">Índice!$A$1:$R$39</definedName>
    <definedName name="_xlnm.Print_Area" localSheetId="3">'País de origen con Reducción'!$A$1:$K$45</definedName>
    <definedName name="_xlnm.Print_Area" localSheetId="4">'Por país de origen con Aumento'!$A$1:$K$39</definedName>
    <definedName name="_xlnm.Print_Area" localSheetId="12">'Resumen actividades economicas'!$A$1:$K$50</definedName>
    <definedName name="_xlnm.Print_Area" localSheetId="13">'Resumen capítulos'!$A$1:$K$48</definedName>
    <definedName name="_xlnm.Print_Area" localSheetId="15">'Resumen cuode'!$A$1:$K$52</definedName>
    <definedName name="_xlnm.Print_Area" localSheetId="5">'Resumen impo pais origen'!$A$1:$K$47</definedName>
    <definedName name="_xlnm.Print_Area" localSheetId="2">'Resumen importaciones totales'!$A$1:$K$41</definedName>
    <definedName name="_xlnm.Print_Area" localSheetId="14">'Resumen subpartidas'!$A$1:$K$36</definedName>
    <definedName name="BASE" localSheetId="27">#REF!</definedName>
    <definedName name="BASE" localSheetId="22">#REF!</definedName>
    <definedName name="BASE" localSheetId="20">#REF!</definedName>
    <definedName name="BASE" localSheetId="26">#REF!</definedName>
    <definedName name="BASE" localSheetId="24">#REF!</definedName>
    <definedName name="BASE" localSheetId="23">#REF!</definedName>
    <definedName name="BASE" localSheetId="18">#REF!</definedName>
    <definedName name="BASE" localSheetId="21">#REF!</definedName>
    <definedName name="BASE" localSheetId="25">#REF!</definedName>
    <definedName name="BASE" localSheetId="17">#REF!</definedName>
    <definedName name="BASE" localSheetId="19">#REF!</definedName>
    <definedName name="BASE" localSheetId="16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1">[4]BASE!#REF!</definedName>
    <definedName name="_xlnm.Database" localSheetId="11">[1]BASE!#REF!</definedName>
    <definedName name="_xlnm.Database" localSheetId="27">[5]BASE!#REF!</definedName>
    <definedName name="_xlnm.Database" localSheetId="22">[5]BASE!#REF!</definedName>
    <definedName name="_xlnm.Database" localSheetId="20">[5]BASE!#REF!</definedName>
    <definedName name="_xlnm.Database" localSheetId="26">[5]BASE!#REF!</definedName>
    <definedName name="_xlnm.Database" localSheetId="24">[5]BASE!#REF!</definedName>
    <definedName name="_xlnm.Database" localSheetId="23">[5]BASE!#REF!</definedName>
    <definedName name="_xlnm.Database" localSheetId="18">[5]BASE!#REF!</definedName>
    <definedName name="_xlnm.Database" localSheetId="21">[5]BASE!#REF!</definedName>
    <definedName name="_xlnm.Database" localSheetId="25">[5]BASE!#REF!</definedName>
    <definedName name="_xlnm.Database" localSheetId="17">[5]BASE!#REF!</definedName>
    <definedName name="_xlnm.Database" localSheetId="19">[5]BASE!#REF!</definedName>
    <definedName name="_xlnm.Database" localSheetId="16">[5]BASE!#REF!</definedName>
    <definedName name="_xlnm.Database" localSheetId="7">[1]BASE!#REF!</definedName>
    <definedName name="_xlnm.Database" localSheetId="9">[1]BASE!#REF!</definedName>
    <definedName name="_xlnm.Database" localSheetId="10">[1]BASE!#REF!</definedName>
    <definedName name="_xlnm.Database" localSheetId="6">[1]BASE!#REF!</definedName>
    <definedName name="_xlnm.Database" localSheetId="8">[1]BASE!#REF!</definedName>
    <definedName name="_xlnm.Database" localSheetId="0">[1]BASE!#REF!</definedName>
    <definedName name="_xlnm.Database" localSheetId="3">[1]BASE!#REF!</definedName>
    <definedName name="_xlnm.Database" localSheetId="4">[1]BASE!#REF!</definedName>
    <definedName name="_xlnm.Database" localSheetId="12">[1]BASE!#REF!</definedName>
    <definedName name="_xlnm.Database" localSheetId="13">[1]BASE!#REF!</definedName>
    <definedName name="_xlnm.Database" localSheetId="15">[1]BASE!#REF!</definedName>
    <definedName name="_xlnm.Database" localSheetId="5">[1]BASE!#REF!</definedName>
    <definedName name="_xlnm.Database" localSheetId="2">[1]BASE!#REF!</definedName>
    <definedName name="_xlnm.Database" localSheetId="14">[1]BASE!#REF!</definedName>
    <definedName name="_xlnm.Database">[1]BASE!#REF!</definedName>
    <definedName name="BasePermanentes" localSheetId="27">#REF!</definedName>
    <definedName name="BasePermanentes" localSheetId="22">#REF!</definedName>
    <definedName name="BasePermanentes" localSheetId="20">#REF!</definedName>
    <definedName name="BasePermanentes" localSheetId="26">#REF!</definedName>
    <definedName name="BasePermanentes" localSheetId="24">#REF!</definedName>
    <definedName name="BasePermanentes" localSheetId="23">#REF!</definedName>
    <definedName name="BasePermanentes" localSheetId="18">#REF!</definedName>
    <definedName name="BasePermanentes" localSheetId="21">#REF!</definedName>
    <definedName name="BasePermanentes" localSheetId="25">#REF!</definedName>
    <definedName name="BasePermanentes" localSheetId="17">#REF!</definedName>
    <definedName name="BasePermanentes" localSheetId="19">#REF!</definedName>
    <definedName name="BasePermanentes" localSheetId="16">#REF!</definedName>
    <definedName name="BasePermanentes" localSheetId="0">#REF!</definedName>
    <definedName name="BASETRANSITORIOS" localSheetId="27">#REF!</definedName>
    <definedName name="BASETRANSITORIOS" localSheetId="22">#REF!</definedName>
    <definedName name="BASETRANSITORIOS" localSheetId="20">#REF!</definedName>
    <definedName name="BASETRANSITORIOS" localSheetId="26">#REF!</definedName>
    <definedName name="BASETRANSITORIOS" localSheetId="24">#REF!</definedName>
    <definedName name="BASETRANSITORIOS" localSheetId="23">#REF!</definedName>
    <definedName name="BASETRANSITORIOS" localSheetId="18">#REF!</definedName>
    <definedName name="BASETRANSITORIOS" localSheetId="21">#REF!</definedName>
    <definedName name="BASETRANSITORIOS" localSheetId="25">#REF!</definedName>
    <definedName name="BASETRANSITORIOS" localSheetId="17">#REF!</definedName>
    <definedName name="BASETRANSITORIOS" localSheetId="19">#REF!</definedName>
    <definedName name="BASETRANSITORIOS" localSheetId="16">#REF!</definedName>
    <definedName name="BASETRANSITORIOS" localSheetId="0">#REF!</definedName>
    <definedName name="BASETRANSITORIOS1" localSheetId="27">#REF!</definedName>
    <definedName name="BASETRANSITORIOS1" localSheetId="22">#REF!</definedName>
    <definedName name="BASETRANSITORIOS1" localSheetId="20">#REF!</definedName>
    <definedName name="BASETRANSITORIOS1" localSheetId="26">#REF!</definedName>
    <definedName name="BASETRANSITORIOS1" localSheetId="24">#REF!</definedName>
    <definedName name="BASETRANSITORIOS1" localSheetId="23">#REF!</definedName>
    <definedName name="BASETRANSITORIOS1" localSheetId="18">#REF!</definedName>
    <definedName name="BASETRANSITORIOS1" localSheetId="21">#REF!</definedName>
    <definedName name="BASETRANSITORIOS1" localSheetId="25">#REF!</definedName>
    <definedName name="BASETRANSITORIOS1" localSheetId="17">#REF!</definedName>
    <definedName name="BASETRANSITORIOS1" localSheetId="19">#REF!</definedName>
    <definedName name="BASETRANSITORIOS1" localSheetId="16">#REF!</definedName>
    <definedName name="BASETRANSITORIOS1" localSheetId="0">#REF!</definedName>
    <definedName name="BaseTransitorios2" localSheetId="27">#REF!</definedName>
    <definedName name="BaseTransitorios2" localSheetId="22">#REF!</definedName>
    <definedName name="BaseTransitorios2" localSheetId="20">#REF!</definedName>
    <definedName name="BaseTransitorios2" localSheetId="26">#REF!</definedName>
    <definedName name="BaseTransitorios2" localSheetId="24">#REF!</definedName>
    <definedName name="BaseTransitorios2" localSheetId="23">#REF!</definedName>
    <definedName name="BaseTransitorios2" localSheetId="18">#REF!</definedName>
    <definedName name="BaseTransitorios2" localSheetId="21">#REF!</definedName>
    <definedName name="BaseTransitorios2" localSheetId="25">#REF!</definedName>
    <definedName name="BaseTransitorios2" localSheetId="17">#REF!</definedName>
    <definedName name="BaseTransitorios2" localSheetId="19">#REF!</definedName>
    <definedName name="BaseTransitorios2" localSheetId="16">#REF!</definedName>
    <definedName name="BaseTransitorios2" localSheetId="0">#REF!</definedName>
    <definedName name="BaseTransitorios3" localSheetId="27">#REF!</definedName>
    <definedName name="BaseTransitorios3" localSheetId="22">#REF!</definedName>
    <definedName name="BaseTransitorios3" localSheetId="20">#REF!</definedName>
    <definedName name="BaseTransitorios3" localSheetId="26">#REF!</definedName>
    <definedName name="BaseTransitorios3" localSheetId="24">#REF!</definedName>
    <definedName name="BaseTransitorios3" localSheetId="23">#REF!</definedName>
    <definedName name="BaseTransitorios3" localSheetId="18">#REF!</definedName>
    <definedName name="BaseTransitorios3" localSheetId="21">#REF!</definedName>
    <definedName name="BaseTransitorios3" localSheetId="25">#REF!</definedName>
    <definedName name="BaseTransitorios3" localSheetId="17">#REF!</definedName>
    <definedName name="BaseTransitorios3" localSheetId="19">#REF!</definedName>
    <definedName name="BaseTransitorios3" localSheetId="16">#REF!</definedName>
    <definedName name="BaseTransitorios3" localSheetId="0">#REF!</definedName>
    <definedName name="CRIT" localSheetId="27">#REF!</definedName>
    <definedName name="CRIT" localSheetId="22">#REF!</definedName>
    <definedName name="CRIT" localSheetId="20">#REF!</definedName>
    <definedName name="CRIT" localSheetId="26">#REF!</definedName>
    <definedName name="CRIT" localSheetId="24">#REF!</definedName>
    <definedName name="CRIT" localSheetId="23">#REF!</definedName>
    <definedName name="CRIT" localSheetId="18">#REF!</definedName>
    <definedName name="CRIT" localSheetId="21">#REF!</definedName>
    <definedName name="CRIT" localSheetId="25">#REF!</definedName>
    <definedName name="CRIT" localSheetId="17">#REF!</definedName>
    <definedName name="CRIT" localSheetId="19">#REF!</definedName>
    <definedName name="CRIT" localSheetId="16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1">'[3]ipc indice 2'!$H$1:$H$311</definedName>
    <definedName name="DIC._88" localSheetId="11">'[2]ipc indice 2'!$H$1:$H$311</definedName>
    <definedName name="DIC._88" localSheetId="27">'[2]ipc indice 2'!$H$1:$H$311</definedName>
    <definedName name="DIC._88" localSheetId="22">'[2]ipc indice 2'!$H$1:$H$311</definedName>
    <definedName name="DIC._88" localSheetId="20">'[2]ipc indice 2'!$H$1:$H$311</definedName>
    <definedName name="DIC._88" localSheetId="26">'[2]ipc indice 2'!$H$1:$H$311</definedName>
    <definedName name="DIC._88" localSheetId="24">'[2]ipc indice 2'!$H$1:$H$311</definedName>
    <definedName name="DIC._88" localSheetId="23">'[2]ipc indice 2'!$H$1:$H$311</definedName>
    <definedName name="DIC._88" localSheetId="18">'[2]ipc indice 2'!$H$1:$H$311</definedName>
    <definedName name="DIC._88" localSheetId="21">'[2]ipc indice 2'!$H$1:$H$311</definedName>
    <definedName name="DIC._88" localSheetId="25">'[2]ipc indice 2'!$H$1:$H$311</definedName>
    <definedName name="DIC._88" localSheetId="17">'[2]ipc indice 2'!$H$1:$H$311</definedName>
    <definedName name="DIC._88" localSheetId="19">'[2]ipc indice 2'!$H$1:$H$311</definedName>
    <definedName name="DIC._88" localSheetId="16">'[2]ipc indice 2'!$H$1:$H$311</definedName>
    <definedName name="DIC._88" localSheetId="7">'[2]ipc indice 2'!$H$1:$H$311</definedName>
    <definedName name="DIC._88" localSheetId="9">'[2]ipc indice 2'!$H$1:$H$311</definedName>
    <definedName name="DIC._88" localSheetId="10">'[2]ipc indice 2'!$H$1:$H$311</definedName>
    <definedName name="DIC._88" localSheetId="6">'[2]ipc indice 2'!$H$1:$H$311</definedName>
    <definedName name="DIC._88" localSheetId="8">'[2]ipc indice 2'!$H$1:$H$311</definedName>
    <definedName name="DIC._88" localSheetId="0">'[2]ipc indice 2'!$H$1:$H$311</definedName>
    <definedName name="DIC._88" localSheetId="3">'[2]ipc indice 2'!$H$1:$H$311</definedName>
    <definedName name="DIC._88" localSheetId="4">'[2]ipc indice 2'!$H$1:$H$311</definedName>
    <definedName name="DIC._88" localSheetId="12">'[2]ipc indice 2'!$H$1:$H$311</definedName>
    <definedName name="DIC._88" localSheetId="13">'[2]ipc indice 2'!$H$1:$H$311</definedName>
    <definedName name="DIC._88" localSheetId="15">'[2]ipc indice 2'!$H$1:$H$311</definedName>
    <definedName name="DIC._88" localSheetId="5">'[2]ipc indice 2'!$H$1:$H$311</definedName>
    <definedName name="DIC._88" localSheetId="2">'[2]ipc indice 2'!$H$1:$H$311</definedName>
    <definedName name="DIC._88" localSheetId="14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1">'[3]ipc indice 2'!$T$1:$T$311</definedName>
    <definedName name="DIC._89" localSheetId="11">'[2]ipc indice 2'!$T$1:$T$311</definedName>
    <definedName name="DIC._89" localSheetId="27">'[2]ipc indice 2'!$T$1:$T$311</definedName>
    <definedName name="DIC._89" localSheetId="22">'[2]ipc indice 2'!$T$1:$T$311</definedName>
    <definedName name="DIC._89" localSheetId="20">'[2]ipc indice 2'!$T$1:$T$311</definedName>
    <definedName name="DIC._89" localSheetId="26">'[2]ipc indice 2'!$T$1:$T$311</definedName>
    <definedName name="DIC._89" localSheetId="24">'[2]ipc indice 2'!$T$1:$T$311</definedName>
    <definedName name="DIC._89" localSheetId="23">'[2]ipc indice 2'!$T$1:$T$311</definedName>
    <definedName name="DIC._89" localSheetId="18">'[2]ipc indice 2'!$T$1:$T$311</definedName>
    <definedName name="DIC._89" localSheetId="21">'[2]ipc indice 2'!$T$1:$T$311</definedName>
    <definedName name="DIC._89" localSheetId="25">'[2]ipc indice 2'!$T$1:$T$311</definedName>
    <definedName name="DIC._89" localSheetId="17">'[2]ipc indice 2'!$T$1:$T$311</definedName>
    <definedName name="DIC._89" localSheetId="19">'[2]ipc indice 2'!$T$1:$T$311</definedName>
    <definedName name="DIC._89" localSheetId="16">'[2]ipc indice 2'!$T$1:$T$311</definedName>
    <definedName name="DIC._89" localSheetId="7">'[2]ipc indice 2'!$T$1:$T$311</definedName>
    <definedName name="DIC._89" localSheetId="9">'[2]ipc indice 2'!$T$1:$T$311</definedName>
    <definedName name="DIC._89" localSheetId="10">'[2]ipc indice 2'!$T$1:$T$311</definedName>
    <definedName name="DIC._89" localSheetId="6">'[2]ipc indice 2'!$T$1:$T$311</definedName>
    <definedName name="DIC._89" localSheetId="8">'[2]ipc indice 2'!$T$1:$T$311</definedName>
    <definedName name="DIC._89" localSheetId="0">'[2]ipc indice 2'!$T$1:$T$311</definedName>
    <definedName name="DIC._89" localSheetId="3">'[2]ipc indice 2'!$T$1:$T$311</definedName>
    <definedName name="DIC._89" localSheetId="4">'[2]ipc indice 2'!$T$1:$T$311</definedName>
    <definedName name="DIC._89" localSheetId="12">'[2]ipc indice 2'!$T$1:$T$311</definedName>
    <definedName name="DIC._89" localSheetId="13">'[2]ipc indice 2'!$T$1:$T$311</definedName>
    <definedName name="DIC._89" localSheetId="15">'[2]ipc indice 2'!$T$1:$T$311</definedName>
    <definedName name="DIC._89" localSheetId="5">'[2]ipc indice 2'!$T$1:$T$311</definedName>
    <definedName name="DIC._89" localSheetId="2">'[2]ipc indice 2'!$T$1:$T$311</definedName>
    <definedName name="DIC._89" localSheetId="14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1">'[3]ipc indice 2'!$I$1:$I$311</definedName>
    <definedName name="ENE._89" localSheetId="11">'[2]ipc indice 2'!$I$1:$I$311</definedName>
    <definedName name="ENE._89" localSheetId="27">'[2]ipc indice 2'!$I$1:$I$311</definedName>
    <definedName name="ENE._89" localSheetId="22">'[2]ipc indice 2'!$I$1:$I$311</definedName>
    <definedName name="ENE._89" localSheetId="20">'[2]ipc indice 2'!$I$1:$I$311</definedName>
    <definedName name="ENE._89" localSheetId="26">'[2]ipc indice 2'!$I$1:$I$311</definedName>
    <definedName name="ENE._89" localSheetId="24">'[2]ipc indice 2'!$I$1:$I$311</definedName>
    <definedName name="ENE._89" localSheetId="23">'[2]ipc indice 2'!$I$1:$I$311</definedName>
    <definedName name="ENE._89" localSheetId="18">'[2]ipc indice 2'!$I$1:$I$311</definedName>
    <definedName name="ENE._89" localSheetId="21">'[2]ipc indice 2'!$I$1:$I$311</definedName>
    <definedName name="ENE._89" localSheetId="25">'[2]ipc indice 2'!$I$1:$I$311</definedName>
    <definedName name="ENE._89" localSheetId="17">'[2]ipc indice 2'!$I$1:$I$311</definedName>
    <definedName name="ENE._89" localSheetId="19">'[2]ipc indice 2'!$I$1:$I$311</definedName>
    <definedName name="ENE._89" localSheetId="16">'[2]ipc indice 2'!$I$1:$I$311</definedName>
    <definedName name="ENE._89" localSheetId="7">'[2]ipc indice 2'!$I$1:$I$311</definedName>
    <definedName name="ENE._89" localSheetId="9">'[2]ipc indice 2'!$I$1:$I$311</definedName>
    <definedName name="ENE._89" localSheetId="10">'[2]ipc indice 2'!$I$1:$I$311</definedName>
    <definedName name="ENE._89" localSheetId="6">'[2]ipc indice 2'!$I$1:$I$311</definedName>
    <definedName name="ENE._89" localSheetId="8">'[2]ipc indice 2'!$I$1:$I$311</definedName>
    <definedName name="ENE._89" localSheetId="0">'[2]ipc indice 2'!$I$1:$I$311</definedName>
    <definedName name="ENE._89" localSheetId="3">'[2]ipc indice 2'!$I$1:$I$311</definedName>
    <definedName name="ENE._89" localSheetId="4">'[2]ipc indice 2'!$I$1:$I$311</definedName>
    <definedName name="ENE._89" localSheetId="12">'[2]ipc indice 2'!$I$1:$I$311</definedName>
    <definedName name="ENE._89" localSheetId="13">'[2]ipc indice 2'!$I$1:$I$311</definedName>
    <definedName name="ENE._89" localSheetId="15">'[2]ipc indice 2'!$I$1:$I$311</definedName>
    <definedName name="ENE._89" localSheetId="5">'[2]ipc indice 2'!$I$1:$I$311</definedName>
    <definedName name="ENE._89" localSheetId="2">'[2]ipc indice 2'!$I$1:$I$311</definedName>
    <definedName name="ENE._89" localSheetId="14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1">'[3]ipc indice 2'!$U$1:$U$311</definedName>
    <definedName name="ENE._90" localSheetId="11">'[2]ipc indice 2'!$U$1:$U$311</definedName>
    <definedName name="ENE._90" localSheetId="27">'[2]ipc indice 2'!$U$1:$U$311</definedName>
    <definedName name="ENE._90" localSheetId="22">'[2]ipc indice 2'!$U$1:$U$311</definedName>
    <definedName name="ENE._90" localSheetId="20">'[2]ipc indice 2'!$U$1:$U$311</definedName>
    <definedName name="ENE._90" localSheetId="26">'[2]ipc indice 2'!$U$1:$U$311</definedName>
    <definedName name="ENE._90" localSheetId="24">'[2]ipc indice 2'!$U$1:$U$311</definedName>
    <definedName name="ENE._90" localSheetId="23">'[2]ipc indice 2'!$U$1:$U$311</definedName>
    <definedName name="ENE._90" localSheetId="18">'[2]ipc indice 2'!$U$1:$U$311</definedName>
    <definedName name="ENE._90" localSheetId="21">'[2]ipc indice 2'!$U$1:$U$311</definedName>
    <definedName name="ENE._90" localSheetId="25">'[2]ipc indice 2'!$U$1:$U$311</definedName>
    <definedName name="ENE._90" localSheetId="17">'[2]ipc indice 2'!$U$1:$U$311</definedName>
    <definedName name="ENE._90" localSheetId="19">'[2]ipc indice 2'!$U$1:$U$311</definedName>
    <definedName name="ENE._90" localSheetId="16">'[2]ipc indice 2'!$U$1:$U$311</definedName>
    <definedName name="ENE._90" localSheetId="7">'[2]ipc indice 2'!$U$1:$U$311</definedName>
    <definedName name="ENE._90" localSheetId="9">'[2]ipc indice 2'!$U$1:$U$311</definedName>
    <definedName name="ENE._90" localSheetId="10">'[2]ipc indice 2'!$U$1:$U$311</definedName>
    <definedName name="ENE._90" localSheetId="6">'[2]ipc indice 2'!$U$1:$U$311</definedName>
    <definedName name="ENE._90" localSheetId="8">'[2]ipc indice 2'!$U$1:$U$311</definedName>
    <definedName name="ENE._90" localSheetId="0">'[2]ipc indice 2'!$U$1:$U$311</definedName>
    <definedName name="ENE._90" localSheetId="3">'[2]ipc indice 2'!$U$1:$U$311</definedName>
    <definedName name="ENE._90" localSheetId="4">'[2]ipc indice 2'!$U$1:$U$311</definedName>
    <definedName name="ENE._90" localSheetId="12">'[2]ipc indice 2'!$U$1:$U$311</definedName>
    <definedName name="ENE._90" localSheetId="13">'[2]ipc indice 2'!$U$1:$U$311</definedName>
    <definedName name="ENE._90" localSheetId="15">'[2]ipc indice 2'!$U$1:$U$311</definedName>
    <definedName name="ENE._90" localSheetId="5">'[2]ipc indice 2'!$U$1:$U$311</definedName>
    <definedName name="ENE._90" localSheetId="2">'[2]ipc indice 2'!$U$1:$U$311</definedName>
    <definedName name="ENE._90" localSheetId="14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1">'[3]ipc indice 2'!$J$1:$J$311</definedName>
    <definedName name="FEB._89" localSheetId="11">'[2]ipc indice 2'!$J$1:$J$311</definedName>
    <definedName name="FEB._89" localSheetId="27">'[2]ipc indice 2'!$J$1:$J$311</definedName>
    <definedName name="FEB._89" localSheetId="22">'[2]ipc indice 2'!$J$1:$J$311</definedName>
    <definedName name="FEB._89" localSheetId="20">'[2]ipc indice 2'!$J$1:$J$311</definedName>
    <definedName name="FEB._89" localSheetId="26">'[2]ipc indice 2'!$J$1:$J$311</definedName>
    <definedName name="FEB._89" localSheetId="24">'[2]ipc indice 2'!$J$1:$J$311</definedName>
    <definedName name="FEB._89" localSheetId="23">'[2]ipc indice 2'!$J$1:$J$311</definedName>
    <definedName name="FEB._89" localSheetId="18">'[2]ipc indice 2'!$J$1:$J$311</definedName>
    <definedName name="FEB._89" localSheetId="21">'[2]ipc indice 2'!$J$1:$J$311</definedName>
    <definedName name="FEB._89" localSheetId="25">'[2]ipc indice 2'!$J$1:$J$311</definedName>
    <definedName name="FEB._89" localSheetId="17">'[2]ipc indice 2'!$J$1:$J$311</definedName>
    <definedName name="FEB._89" localSheetId="19">'[2]ipc indice 2'!$J$1:$J$311</definedName>
    <definedName name="FEB._89" localSheetId="16">'[2]ipc indice 2'!$J$1:$J$311</definedName>
    <definedName name="FEB._89" localSheetId="7">'[2]ipc indice 2'!$J$1:$J$311</definedName>
    <definedName name="FEB._89" localSheetId="9">'[2]ipc indice 2'!$J$1:$J$311</definedName>
    <definedName name="FEB._89" localSheetId="10">'[2]ipc indice 2'!$J$1:$J$311</definedName>
    <definedName name="FEB._89" localSheetId="6">'[2]ipc indice 2'!$J$1:$J$311</definedName>
    <definedName name="FEB._89" localSheetId="8">'[2]ipc indice 2'!$J$1:$J$311</definedName>
    <definedName name="FEB._89" localSheetId="0">'[2]ipc indice 2'!$J$1:$J$311</definedName>
    <definedName name="FEB._89" localSheetId="3">'[2]ipc indice 2'!$J$1:$J$311</definedName>
    <definedName name="FEB._89" localSheetId="4">'[2]ipc indice 2'!$J$1:$J$311</definedName>
    <definedName name="FEB._89" localSheetId="12">'[2]ipc indice 2'!$J$1:$J$311</definedName>
    <definedName name="FEB._89" localSheetId="13">'[2]ipc indice 2'!$J$1:$J$311</definedName>
    <definedName name="FEB._89" localSheetId="15">'[2]ipc indice 2'!$J$1:$J$311</definedName>
    <definedName name="FEB._89" localSheetId="5">'[2]ipc indice 2'!$J$1:$J$311</definedName>
    <definedName name="FEB._89" localSheetId="2">'[2]ipc indice 2'!$J$1:$J$311</definedName>
    <definedName name="FEB._89" localSheetId="14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1" hidden="1">{"'Hoja1'!$A$2:$E$19"}</definedName>
    <definedName name="HTML_Control" localSheetId="11" hidden="1">{"'Hoja1'!$A$2:$E$19"}</definedName>
    <definedName name="HTML_Control" localSheetId="27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23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25" hidden="1">{"'Hoja1'!$A$2:$E$19"}</definedName>
    <definedName name="HTML_Control" localSheetId="17" hidden="1">{"'Hoja1'!$A$2:$E$19"}</definedName>
    <definedName name="HTML_Control" localSheetId="19" hidden="1">{"'Hoja1'!$A$2:$E$19"}</definedName>
    <definedName name="HTML_Control" localSheetId="16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6" hidden="1">{"'Hoja1'!$A$2:$E$19"}</definedName>
    <definedName name="HTML_Control" localSheetId="8" hidden="1">{"'Hoja1'!$A$2:$E$19"}</definedName>
    <definedName name="HTML_Control" localSheetId="0" hidden="1">{"'Hoja1'!$A$2:$E$19"}</definedName>
    <definedName name="HTML_Control" localSheetId="3" hidden="1">{"'Hoja1'!$A$2:$E$19"}</definedName>
    <definedName name="HTML_Control" localSheetId="4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5" hidden="1">{"'Hoja1'!$A$2:$E$19"}</definedName>
    <definedName name="HTML_Control" localSheetId="2" hidden="1">{"'Hoja1'!$A$2:$E$19"}</definedName>
    <definedName name="HTML_Control" localSheetId="1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1">'[3]ipc indice 2'!$O$1:$O$311</definedName>
    <definedName name="JUL._89" localSheetId="11">'[2]ipc indice 2'!$O$1:$O$311</definedName>
    <definedName name="JUL._89" localSheetId="27">'[2]ipc indice 2'!$O$1:$O$311</definedName>
    <definedName name="JUL._89" localSheetId="22">'[2]ipc indice 2'!$O$1:$O$311</definedName>
    <definedName name="JUL._89" localSheetId="20">'[2]ipc indice 2'!$O$1:$O$311</definedName>
    <definedName name="JUL._89" localSheetId="26">'[2]ipc indice 2'!$O$1:$O$311</definedName>
    <definedName name="JUL._89" localSheetId="24">'[2]ipc indice 2'!$O$1:$O$311</definedName>
    <definedName name="JUL._89" localSheetId="23">'[2]ipc indice 2'!$O$1:$O$311</definedName>
    <definedName name="JUL._89" localSheetId="18">'[2]ipc indice 2'!$O$1:$O$311</definedName>
    <definedName name="JUL._89" localSheetId="21">'[2]ipc indice 2'!$O$1:$O$311</definedName>
    <definedName name="JUL._89" localSheetId="25">'[2]ipc indice 2'!$O$1:$O$311</definedName>
    <definedName name="JUL._89" localSheetId="17">'[2]ipc indice 2'!$O$1:$O$311</definedName>
    <definedName name="JUL._89" localSheetId="19">'[2]ipc indice 2'!$O$1:$O$311</definedName>
    <definedName name="JUL._89" localSheetId="16">'[2]ipc indice 2'!$O$1:$O$311</definedName>
    <definedName name="JUL._89" localSheetId="7">'[2]ipc indice 2'!$O$1:$O$311</definedName>
    <definedName name="JUL._89" localSheetId="9">'[2]ipc indice 2'!$O$1:$O$311</definedName>
    <definedName name="JUL._89" localSheetId="10">'[2]ipc indice 2'!$O$1:$O$311</definedName>
    <definedName name="JUL._89" localSheetId="6">'[2]ipc indice 2'!$O$1:$O$311</definedName>
    <definedName name="JUL._89" localSheetId="8">'[2]ipc indice 2'!$O$1:$O$311</definedName>
    <definedName name="JUL._89" localSheetId="0">'[2]ipc indice 2'!$O$1:$O$311</definedName>
    <definedName name="JUL._89" localSheetId="3">'[2]ipc indice 2'!$O$1:$O$311</definedName>
    <definedName name="JUL._89" localSheetId="4">'[2]ipc indice 2'!$O$1:$O$311</definedName>
    <definedName name="JUL._89" localSheetId="12">'[2]ipc indice 2'!$O$1:$O$311</definedName>
    <definedName name="JUL._89" localSheetId="13">'[2]ipc indice 2'!$O$1:$O$311</definedName>
    <definedName name="JUL._89" localSheetId="15">'[2]ipc indice 2'!$O$1:$O$311</definedName>
    <definedName name="JUL._89" localSheetId="5">'[2]ipc indice 2'!$O$1:$O$311</definedName>
    <definedName name="JUL._89" localSheetId="2">'[2]ipc indice 2'!$O$1:$O$311</definedName>
    <definedName name="JUL._89" localSheetId="14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1">'[3]ipc indice 2'!$N$1:$N$311</definedName>
    <definedName name="JUN._89" localSheetId="11">'[2]ipc indice 2'!$N$1:$N$311</definedName>
    <definedName name="JUN._89" localSheetId="27">'[2]ipc indice 2'!$N$1:$N$311</definedName>
    <definedName name="JUN._89" localSheetId="22">'[2]ipc indice 2'!$N$1:$N$311</definedName>
    <definedName name="JUN._89" localSheetId="20">'[2]ipc indice 2'!$N$1:$N$311</definedName>
    <definedName name="JUN._89" localSheetId="26">'[2]ipc indice 2'!$N$1:$N$311</definedName>
    <definedName name="JUN._89" localSheetId="24">'[2]ipc indice 2'!$N$1:$N$311</definedName>
    <definedName name="JUN._89" localSheetId="23">'[2]ipc indice 2'!$N$1:$N$311</definedName>
    <definedName name="JUN._89" localSheetId="18">'[2]ipc indice 2'!$N$1:$N$311</definedName>
    <definedName name="JUN._89" localSheetId="21">'[2]ipc indice 2'!$N$1:$N$311</definedName>
    <definedName name="JUN._89" localSheetId="25">'[2]ipc indice 2'!$N$1:$N$311</definedName>
    <definedName name="JUN._89" localSheetId="17">'[2]ipc indice 2'!$N$1:$N$311</definedName>
    <definedName name="JUN._89" localSheetId="19">'[2]ipc indice 2'!$N$1:$N$311</definedName>
    <definedName name="JUN._89" localSheetId="16">'[2]ipc indice 2'!$N$1:$N$311</definedName>
    <definedName name="JUN._89" localSheetId="7">'[2]ipc indice 2'!$N$1:$N$311</definedName>
    <definedName name="JUN._89" localSheetId="9">'[2]ipc indice 2'!$N$1:$N$311</definedName>
    <definedName name="JUN._89" localSheetId="10">'[2]ipc indice 2'!$N$1:$N$311</definedName>
    <definedName name="JUN._89" localSheetId="6">'[2]ipc indice 2'!$N$1:$N$311</definedName>
    <definedName name="JUN._89" localSheetId="8">'[2]ipc indice 2'!$N$1:$N$311</definedName>
    <definedName name="JUN._89" localSheetId="0">'[2]ipc indice 2'!$N$1:$N$311</definedName>
    <definedName name="JUN._89" localSheetId="3">'[2]ipc indice 2'!$N$1:$N$311</definedName>
    <definedName name="JUN._89" localSheetId="4">'[2]ipc indice 2'!$N$1:$N$311</definedName>
    <definedName name="JUN._89" localSheetId="12">'[2]ipc indice 2'!$N$1:$N$311</definedName>
    <definedName name="JUN._89" localSheetId="13">'[2]ipc indice 2'!$N$1:$N$311</definedName>
    <definedName name="JUN._89" localSheetId="15">'[2]ipc indice 2'!$N$1:$N$311</definedName>
    <definedName name="JUN._89" localSheetId="5">'[2]ipc indice 2'!$N$1:$N$311</definedName>
    <definedName name="JUN._89" localSheetId="2">'[2]ipc indice 2'!$N$1:$N$311</definedName>
    <definedName name="JUN._89" localSheetId="14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1">'[3]ipc indice 2'!$K$1:$K$311</definedName>
    <definedName name="MAR._89" localSheetId="11">'[2]ipc indice 2'!$K$1:$K$311</definedName>
    <definedName name="MAR._89" localSheetId="27">'[2]ipc indice 2'!$K$1:$K$311</definedName>
    <definedName name="MAR._89" localSheetId="22">'[2]ipc indice 2'!$K$1:$K$311</definedName>
    <definedName name="MAR._89" localSheetId="20">'[2]ipc indice 2'!$K$1:$K$311</definedName>
    <definedName name="MAR._89" localSheetId="26">'[2]ipc indice 2'!$K$1:$K$311</definedName>
    <definedName name="MAR._89" localSheetId="24">'[2]ipc indice 2'!$K$1:$K$311</definedName>
    <definedName name="MAR._89" localSheetId="23">'[2]ipc indice 2'!$K$1:$K$311</definedName>
    <definedName name="MAR._89" localSheetId="18">'[2]ipc indice 2'!$K$1:$K$311</definedName>
    <definedName name="MAR._89" localSheetId="21">'[2]ipc indice 2'!$K$1:$K$311</definedName>
    <definedName name="MAR._89" localSheetId="25">'[2]ipc indice 2'!$K$1:$K$311</definedName>
    <definedName name="MAR._89" localSheetId="17">'[2]ipc indice 2'!$K$1:$K$311</definedName>
    <definedName name="MAR._89" localSheetId="19">'[2]ipc indice 2'!$K$1:$K$311</definedName>
    <definedName name="MAR._89" localSheetId="16">'[2]ipc indice 2'!$K$1:$K$311</definedName>
    <definedName name="MAR._89" localSheetId="7">'[2]ipc indice 2'!$K$1:$K$311</definedName>
    <definedName name="MAR._89" localSheetId="9">'[2]ipc indice 2'!$K$1:$K$311</definedName>
    <definedName name="MAR._89" localSheetId="10">'[2]ipc indice 2'!$K$1:$K$311</definedName>
    <definedName name="MAR._89" localSheetId="6">'[2]ipc indice 2'!$K$1:$K$311</definedName>
    <definedName name="MAR._89" localSheetId="8">'[2]ipc indice 2'!$K$1:$K$311</definedName>
    <definedName name="MAR._89" localSheetId="0">'[2]ipc indice 2'!$K$1:$K$311</definedName>
    <definedName name="MAR._89" localSheetId="3">'[2]ipc indice 2'!$K$1:$K$311</definedName>
    <definedName name="MAR._89" localSheetId="4">'[2]ipc indice 2'!$K$1:$K$311</definedName>
    <definedName name="MAR._89" localSheetId="12">'[2]ipc indice 2'!$K$1:$K$311</definedName>
    <definedName name="MAR._89" localSheetId="13">'[2]ipc indice 2'!$K$1:$K$311</definedName>
    <definedName name="MAR._89" localSheetId="15">'[2]ipc indice 2'!$K$1:$K$311</definedName>
    <definedName name="MAR._89" localSheetId="5">'[2]ipc indice 2'!$K$1:$K$311</definedName>
    <definedName name="MAR._89" localSheetId="2">'[2]ipc indice 2'!$K$1:$K$311</definedName>
    <definedName name="MAR._89" localSheetId="14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1">'[3]ipc indice 2'!$M$1:$M$311</definedName>
    <definedName name="MAY._89" localSheetId="11">'[2]ipc indice 2'!$M$1:$M$311</definedName>
    <definedName name="MAY._89" localSheetId="27">'[2]ipc indice 2'!$M$1:$M$311</definedName>
    <definedName name="MAY._89" localSheetId="22">'[2]ipc indice 2'!$M$1:$M$311</definedName>
    <definedName name="MAY._89" localSheetId="20">'[2]ipc indice 2'!$M$1:$M$311</definedName>
    <definedName name="MAY._89" localSheetId="26">'[2]ipc indice 2'!$M$1:$M$311</definedName>
    <definedName name="MAY._89" localSheetId="24">'[2]ipc indice 2'!$M$1:$M$311</definedName>
    <definedName name="MAY._89" localSheetId="23">'[2]ipc indice 2'!$M$1:$M$311</definedName>
    <definedName name="MAY._89" localSheetId="18">'[2]ipc indice 2'!$M$1:$M$311</definedName>
    <definedName name="MAY._89" localSheetId="21">'[2]ipc indice 2'!$M$1:$M$311</definedName>
    <definedName name="MAY._89" localSheetId="25">'[2]ipc indice 2'!$M$1:$M$311</definedName>
    <definedName name="MAY._89" localSheetId="17">'[2]ipc indice 2'!$M$1:$M$311</definedName>
    <definedName name="MAY._89" localSheetId="19">'[2]ipc indice 2'!$M$1:$M$311</definedName>
    <definedName name="MAY._89" localSheetId="16">'[2]ipc indice 2'!$M$1:$M$311</definedName>
    <definedName name="MAY._89" localSheetId="7">'[2]ipc indice 2'!$M$1:$M$311</definedName>
    <definedName name="MAY._89" localSheetId="9">'[2]ipc indice 2'!$M$1:$M$311</definedName>
    <definedName name="MAY._89" localSheetId="10">'[2]ipc indice 2'!$M$1:$M$311</definedName>
    <definedName name="MAY._89" localSheetId="6">'[2]ipc indice 2'!$M$1:$M$311</definedName>
    <definedName name="MAY._89" localSheetId="8">'[2]ipc indice 2'!$M$1:$M$311</definedName>
    <definedName name="MAY._89" localSheetId="0">'[2]ipc indice 2'!$M$1:$M$311</definedName>
    <definedName name="MAY._89" localSheetId="3">'[2]ipc indice 2'!$M$1:$M$311</definedName>
    <definedName name="MAY._89" localSheetId="4">'[2]ipc indice 2'!$M$1:$M$311</definedName>
    <definedName name="MAY._89" localSheetId="12">'[2]ipc indice 2'!$M$1:$M$311</definedName>
    <definedName name="MAY._89" localSheetId="13">'[2]ipc indice 2'!$M$1:$M$311</definedName>
    <definedName name="MAY._89" localSheetId="15">'[2]ipc indice 2'!$M$1:$M$311</definedName>
    <definedName name="MAY._89" localSheetId="5">'[2]ipc indice 2'!$M$1:$M$311</definedName>
    <definedName name="MAY._89" localSheetId="2">'[2]ipc indice 2'!$M$1:$M$311</definedName>
    <definedName name="MAY._89" localSheetId="14">'[2]ipc indice 2'!$M$1:$M$311</definedName>
    <definedName name="MES" localSheetId="27">#REF!</definedName>
    <definedName name="MES" localSheetId="22">#REF!</definedName>
    <definedName name="MES" localSheetId="20">#REF!</definedName>
    <definedName name="MES" localSheetId="26">#REF!</definedName>
    <definedName name="MES" localSheetId="24">#REF!</definedName>
    <definedName name="MES" localSheetId="23">#REF!</definedName>
    <definedName name="MES" localSheetId="18">#REF!</definedName>
    <definedName name="MES" localSheetId="21">#REF!</definedName>
    <definedName name="MES" localSheetId="25">#REF!</definedName>
    <definedName name="MES" localSheetId="17">#REF!</definedName>
    <definedName name="MES" localSheetId="19">#REF!</definedName>
    <definedName name="MES" localSheetId="16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1">'[3]ipc indice 2'!$S$1:$S$311</definedName>
    <definedName name="NOV._89" localSheetId="11">'[2]ipc indice 2'!$S$1:$S$311</definedName>
    <definedName name="NOV._89" localSheetId="27">'[2]ipc indice 2'!$S$1:$S$311</definedName>
    <definedName name="NOV._89" localSheetId="22">'[2]ipc indice 2'!$S$1:$S$311</definedName>
    <definedName name="NOV._89" localSheetId="20">'[2]ipc indice 2'!$S$1:$S$311</definedName>
    <definedName name="NOV._89" localSheetId="26">'[2]ipc indice 2'!$S$1:$S$311</definedName>
    <definedName name="NOV._89" localSheetId="24">'[2]ipc indice 2'!$S$1:$S$311</definedName>
    <definedName name="NOV._89" localSheetId="23">'[2]ipc indice 2'!$S$1:$S$311</definedName>
    <definedName name="NOV._89" localSheetId="18">'[2]ipc indice 2'!$S$1:$S$311</definedName>
    <definedName name="NOV._89" localSheetId="21">'[2]ipc indice 2'!$S$1:$S$311</definedName>
    <definedName name="NOV._89" localSheetId="25">'[2]ipc indice 2'!$S$1:$S$311</definedName>
    <definedName name="NOV._89" localSheetId="17">'[2]ipc indice 2'!$S$1:$S$311</definedName>
    <definedName name="NOV._89" localSheetId="19">'[2]ipc indice 2'!$S$1:$S$311</definedName>
    <definedName name="NOV._89" localSheetId="16">'[2]ipc indice 2'!$S$1:$S$311</definedName>
    <definedName name="NOV._89" localSheetId="7">'[2]ipc indice 2'!$S$1:$S$311</definedName>
    <definedName name="NOV._89" localSheetId="9">'[2]ipc indice 2'!$S$1:$S$311</definedName>
    <definedName name="NOV._89" localSheetId="10">'[2]ipc indice 2'!$S$1:$S$311</definedName>
    <definedName name="NOV._89" localSheetId="6">'[2]ipc indice 2'!$S$1:$S$311</definedName>
    <definedName name="NOV._89" localSheetId="8">'[2]ipc indice 2'!$S$1:$S$311</definedName>
    <definedName name="NOV._89" localSheetId="0">'[2]ipc indice 2'!$S$1:$S$311</definedName>
    <definedName name="NOV._89" localSheetId="3">'[2]ipc indice 2'!$S$1:$S$311</definedName>
    <definedName name="NOV._89" localSheetId="4">'[2]ipc indice 2'!$S$1:$S$311</definedName>
    <definedName name="NOV._89" localSheetId="12">'[2]ipc indice 2'!$S$1:$S$311</definedName>
    <definedName name="NOV._89" localSheetId="13">'[2]ipc indice 2'!$S$1:$S$311</definedName>
    <definedName name="NOV._89" localSheetId="15">'[2]ipc indice 2'!$S$1:$S$311</definedName>
    <definedName name="NOV._89" localSheetId="5">'[2]ipc indice 2'!$S$1:$S$311</definedName>
    <definedName name="NOV._89" localSheetId="2">'[2]ipc indice 2'!$S$1:$S$311</definedName>
    <definedName name="NOV._89" localSheetId="14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1">#REF!</definedName>
    <definedName name="OCT._89" localSheetId="11">#REF!</definedName>
    <definedName name="OCT._89" localSheetId="27">#REF!</definedName>
    <definedName name="OCT._89" localSheetId="22">#REF!</definedName>
    <definedName name="OCT._89" localSheetId="20">#REF!</definedName>
    <definedName name="OCT._89" localSheetId="26">#REF!</definedName>
    <definedName name="OCT._89" localSheetId="24">#REF!</definedName>
    <definedName name="OCT._89" localSheetId="23">#REF!</definedName>
    <definedName name="OCT._89" localSheetId="18">#REF!</definedName>
    <definedName name="OCT._89" localSheetId="21">#REF!</definedName>
    <definedName name="OCT._89" localSheetId="25">#REF!</definedName>
    <definedName name="OCT._89" localSheetId="17">#REF!</definedName>
    <definedName name="OCT._89" localSheetId="19">#REF!</definedName>
    <definedName name="OCT._89" localSheetId="16">#REF!</definedName>
    <definedName name="OCT._89" localSheetId="7">#REF!</definedName>
    <definedName name="OCT._89" localSheetId="9">#REF!</definedName>
    <definedName name="OCT._89" localSheetId="10">#REF!</definedName>
    <definedName name="OCT._89" localSheetId="6">#REF!</definedName>
    <definedName name="OCT._89" localSheetId="8">#REF!</definedName>
    <definedName name="OCT._89" localSheetId="0">#REF!</definedName>
    <definedName name="OCT._89" localSheetId="3">#REF!</definedName>
    <definedName name="OCT._89" localSheetId="4">#REF!</definedName>
    <definedName name="OCT._89" localSheetId="12">#REF!</definedName>
    <definedName name="OCT._89" localSheetId="13">#REF!</definedName>
    <definedName name="OCT._89" localSheetId="15">#REF!</definedName>
    <definedName name="OCT._89" localSheetId="5">#REF!</definedName>
    <definedName name="OCT._89" localSheetId="2">#REF!</definedName>
    <definedName name="OCT._89" localSheetId="14">#REF!</definedName>
    <definedName name="RESUMEN">#N/A</definedName>
    <definedName name="s" localSheetId="27">#REF!</definedName>
    <definedName name="s" localSheetId="22">#REF!</definedName>
    <definedName name="s" localSheetId="20">#REF!</definedName>
    <definedName name="s" localSheetId="26">#REF!</definedName>
    <definedName name="s" localSheetId="24">#REF!</definedName>
    <definedName name="s" localSheetId="23">#REF!</definedName>
    <definedName name="s" localSheetId="18">#REF!</definedName>
    <definedName name="s" localSheetId="21">#REF!</definedName>
    <definedName name="s" localSheetId="25">#REF!</definedName>
    <definedName name="s" localSheetId="17">#REF!</definedName>
    <definedName name="s" localSheetId="19">#REF!</definedName>
    <definedName name="s" localSheetId="16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1">'[3]ipc indice 2'!$Q$1:$Q$311</definedName>
    <definedName name="SEP._89" localSheetId="11">'[2]ipc indice 2'!$Q$1:$Q$311</definedName>
    <definedName name="SEP._89" localSheetId="27">'[2]ipc indice 2'!$Q$1:$Q$311</definedName>
    <definedName name="SEP._89" localSheetId="22">'[2]ipc indice 2'!$Q$1:$Q$311</definedName>
    <definedName name="SEP._89" localSheetId="20">'[2]ipc indice 2'!$Q$1:$Q$311</definedName>
    <definedName name="SEP._89" localSheetId="26">'[2]ipc indice 2'!$Q$1:$Q$311</definedName>
    <definedName name="SEP._89" localSheetId="24">'[2]ipc indice 2'!$Q$1:$Q$311</definedName>
    <definedName name="SEP._89" localSheetId="23">'[2]ipc indice 2'!$Q$1:$Q$311</definedName>
    <definedName name="SEP._89" localSheetId="18">'[2]ipc indice 2'!$Q$1:$Q$311</definedName>
    <definedName name="SEP._89" localSheetId="21">'[2]ipc indice 2'!$Q$1:$Q$311</definedName>
    <definedName name="SEP._89" localSheetId="25">'[2]ipc indice 2'!$Q$1:$Q$311</definedName>
    <definedName name="SEP._89" localSheetId="17">'[2]ipc indice 2'!$Q$1:$Q$311</definedName>
    <definedName name="SEP._89" localSheetId="19">'[2]ipc indice 2'!$Q$1:$Q$311</definedName>
    <definedName name="SEP._89" localSheetId="16">'[2]ipc indice 2'!$Q$1:$Q$311</definedName>
    <definedName name="SEP._89" localSheetId="7">'[2]ipc indice 2'!$Q$1:$Q$311</definedName>
    <definedName name="SEP._89" localSheetId="9">'[2]ipc indice 2'!$Q$1:$Q$311</definedName>
    <definedName name="SEP._89" localSheetId="10">'[2]ipc indice 2'!$Q$1:$Q$311</definedName>
    <definedName name="SEP._89" localSheetId="6">'[2]ipc indice 2'!$Q$1:$Q$311</definedName>
    <definedName name="SEP._89" localSheetId="8">'[2]ipc indice 2'!$Q$1:$Q$311</definedName>
    <definedName name="SEP._89" localSheetId="0">'[2]ipc indice 2'!$Q$1:$Q$311</definedName>
    <definedName name="SEP._89" localSheetId="3">'[2]ipc indice 2'!$Q$1:$Q$311</definedName>
    <definedName name="SEP._89" localSheetId="4">'[2]ipc indice 2'!$Q$1:$Q$311</definedName>
    <definedName name="SEP._89" localSheetId="12">'[2]ipc indice 2'!$Q$1:$Q$311</definedName>
    <definedName name="SEP._89" localSheetId="13">'[2]ipc indice 2'!$Q$1:$Q$311</definedName>
    <definedName name="SEP._89" localSheetId="15">'[2]ipc indice 2'!$Q$1:$Q$311</definedName>
    <definedName name="SEP._89" localSheetId="5">'[2]ipc indice 2'!$Q$1:$Q$311</definedName>
    <definedName name="SEP._89" localSheetId="2">'[2]ipc indice 2'!$Q$1:$Q$311</definedName>
    <definedName name="SEP._89" localSheetId="14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1">[4]BASE!#REF!</definedName>
    <definedName name="sss" localSheetId="11">[1]BASE!#REF!</definedName>
    <definedName name="sss" localSheetId="27">[1]BASE!#REF!</definedName>
    <definedName name="sss" localSheetId="22">[1]BASE!#REF!</definedName>
    <definedName name="sss" localSheetId="20">[1]BASE!#REF!</definedName>
    <definedName name="sss" localSheetId="26">[1]BASE!#REF!</definedName>
    <definedName name="sss" localSheetId="24">[1]BASE!#REF!</definedName>
    <definedName name="sss" localSheetId="23">[1]BASE!#REF!</definedName>
    <definedName name="sss" localSheetId="18">[1]BASE!#REF!</definedName>
    <definedName name="sss" localSheetId="21">[1]BASE!#REF!</definedName>
    <definedName name="sss" localSheetId="25">[1]BASE!#REF!</definedName>
    <definedName name="sss" localSheetId="17">[1]BASE!#REF!</definedName>
    <definedName name="sss" localSheetId="19">[1]BASE!#REF!</definedName>
    <definedName name="sss" localSheetId="7">[1]BASE!#REF!</definedName>
    <definedName name="sss" localSheetId="9">[1]BASE!#REF!</definedName>
    <definedName name="sss" localSheetId="10">[1]BASE!#REF!</definedName>
    <definedName name="sss" localSheetId="6">[1]BASE!#REF!</definedName>
    <definedName name="sss" localSheetId="8">[1]BASE!#REF!</definedName>
    <definedName name="sss" localSheetId="3">[1]BASE!#REF!</definedName>
    <definedName name="sss" localSheetId="4">[1]BASE!#REF!</definedName>
    <definedName name="sss" localSheetId="12">[1]BASE!#REF!</definedName>
    <definedName name="sss" localSheetId="13">[1]BASE!#REF!</definedName>
    <definedName name="sss" localSheetId="15">[1]BASE!#REF!</definedName>
    <definedName name="sss" localSheetId="5">[1]BASE!#REF!</definedName>
    <definedName name="sss" localSheetId="14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2">#REF!</definedName>
    <definedName name="z" localSheetId="20">#REF!</definedName>
    <definedName name="z" localSheetId="26">#REF!</definedName>
    <definedName name="z" localSheetId="24">#REF!</definedName>
    <definedName name="z" localSheetId="23">#REF!</definedName>
    <definedName name="z" localSheetId="18">#REF!</definedName>
    <definedName name="z" localSheetId="21">#REF!</definedName>
    <definedName name="z" localSheetId="25">#REF!</definedName>
    <definedName name="z" localSheetId="17">#REF!</definedName>
    <definedName name="z" localSheetId="19">#REF!</definedName>
    <definedName name="z" localSheetId="16">#REF!</definedName>
    <definedName name="z" localSheetId="0">#REF!</definedName>
  </definedNames>
  <calcPr calcId="125725"/>
  <extLst>
    <ext xmlns:mx="http://schemas.microsoft.com/office/mac/excel/2008/main" uri="http://schemas.microsoft.com/office/mac/excel/2008/main">
      <mx:ArchID Flags="2"/>
    </ext>
  </extLst>
</workbook>
</file>

<file path=xl/calcChain.xml><?xml version="1.0" encoding="utf-8"?>
<calcChain xmlns="http://schemas.openxmlformats.org/spreadsheetml/2006/main">
  <c r="G22" i="149"/>
  <c r="I22" s="1"/>
  <c r="G21" i="147"/>
  <c r="I21" s="1"/>
  <c r="G22" i="146"/>
  <c r="I22" s="1"/>
  <c r="G22" i="145"/>
  <c r="I22" s="1"/>
  <c r="G22" i="144"/>
  <c r="I22" s="1"/>
  <c r="G22" i="143"/>
  <c r="I22" s="1"/>
  <c r="G22" i="142"/>
  <c r="I22" s="1"/>
  <c r="G22" i="141"/>
  <c r="I22" s="1"/>
  <c r="G22" i="140"/>
  <c r="I22" s="1"/>
  <c r="G22" i="139"/>
  <c r="I22" s="1"/>
  <c r="G22" i="64"/>
  <c r="I22" s="1"/>
  <c r="H49" i="156"/>
  <c r="G49"/>
  <c r="H48"/>
  <c r="G48"/>
  <c r="H47"/>
  <c r="G47"/>
  <c r="H46"/>
  <c r="G46"/>
  <c r="H45"/>
  <c r="G45"/>
  <c r="H44"/>
  <c r="G44"/>
  <c r="H43"/>
  <c r="G43"/>
  <c r="H42"/>
  <c r="G42"/>
  <c r="H41"/>
  <c r="G41"/>
  <c r="H40"/>
  <c r="G40"/>
  <c r="H39"/>
  <c r="G39"/>
  <c r="G50"/>
  <c r="H50"/>
  <c r="H38"/>
  <c r="G38"/>
  <c r="D49"/>
  <c r="C49"/>
  <c r="D48"/>
  <c r="C48"/>
  <c r="D47"/>
  <c r="C47"/>
  <c r="D46"/>
  <c r="C46"/>
  <c r="D45"/>
  <c r="C45"/>
  <c r="D44"/>
  <c r="C44"/>
  <c r="D43"/>
  <c r="C43"/>
  <c r="D42"/>
  <c r="C42"/>
  <c r="D41"/>
  <c r="C41"/>
  <c r="D40"/>
  <c r="C40"/>
  <c r="D39"/>
  <c r="C39"/>
  <c r="D38"/>
  <c r="C38"/>
  <c r="H36"/>
  <c r="G36"/>
  <c r="H35"/>
  <c r="G35"/>
  <c r="H34"/>
  <c r="G34"/>
  <c r="H33"/>
  <c r="G33"/>
  <c r="H32"/>
  <c r="G32"/>
  <c r="H31"/>
  <c r="G31"/>
  <c r="H30"/>
  <c r="G30"/>
  <c r="H29"/>
  <c r="G29"/>
  <c r="D36"/>
  <c r="C36"/>
  <c r="D35"/>
  <c r="C35"/>
  <c r="D34"/>
  <c r="C34"/>
  <c r="D33"/>
  <c r="C33"/>
  <c r="D32"/>
  <c r="C32"/>
  <c r="D31"/>
  <c r="C31"/>
  <c r="D30"/>
  <c r="C30"/>
  <c r="D29"/>
  <c r="C29"/>
  <c r="H28"/>
  <c r="G28"/>
  <c r="D28"/>
  <c r="C28"/>
  <c r="H26"/>
  <c r="G26"/>
  <c r="H25"/>
  <c r="G25"/>
  <c r="H24"/>
  <c r="G24"/>
  <c r="H23"/>
  <c r="G23"/>
  <c r="H22"/>
  <c r="G22"/>
  <c r="H21"/>
  <c r="G21"/>
  <c r="H20"/>
  <c r="G20"/>
  <c r="H19"/>
  <c r="G19"/>
  <c r="H18"/>
  <c r="G18"/>
  <c r="H17"/>
  <c r="G17"/>
  <c r="H16"/>
  <c r="G16"/>
  <c r="H15"/>
  <c r="G15"/>
  <c r="D26"/>
  <c r="C26"/>
  <c r="D25"/>
  <c r="C25"/>
  <c r="D24"/>
  <c r="C24"/>
  <c r="D23"/>
  <c r="C23"/>
  <c r="D22"/>
  <c r="C22"/>
  <c r="D21"/>
  <c r="C21"/>
  <c r="D20"/>
  <c r="C20"/>
  <c r="D19"/>
  <c r="C19"/>
  <c r="D18"/>
  <c r="C18"/>
  <c r="D17"/>
  <c r="C17"/>
  <c r="D16"/>
  <c r="C16"/>
  <c r="D15"/>
  <c r="C15"/>
  <c r="D50"/>
  <c r="C50"/>
  <c r="H37"/>
  <c r="G37"/>
  <c r="D37"/>
  <c r="C37"/>
  <c r="H27"/>
  <c r="G27"/>
  <c r="D27"/>
  <c r="C27"/>
  <c r="H14"/>
  <c r="G14"/>
  <c r="D14"/>
  <c r="C14"/>
  <c r="I36"/>
  <c r="E36"/>
  <c r="E35"/>
  <c r="I34"/>
  <c r="E34"/>
  <c r="E33"/>
  <c r="I32"/>
  <c r="E32"/>
  <c r="E31"/>
  <c r="I30"/>
  <c r="E30"/>
  <c r="E29"/>
  <c r="I28"/>
  <c r="E28"/>
  <c r="E27"/>
  <c r="I26"/>
  <c r="E26"/>
  <c r="E25"/>
  <c r="I24"/>
  <c r="E24"/>
  <c r="E23"/>
  <c r="I22"/>
  <c r="E22"/>
  <c r="E21"/>
  <c r="E37"/>
  <c r="I37"/>
  <c r="G21" i="149"/>
  <c r="G21" i="148"/>
  <c r="G21" i="146"/>
  <c r="G21" i="145"/>
  <c r="G21" i="144"/>
  <c r="G21" i="143"/>
  <c r="G21" i="142"/>
  <c r="G21" i="141"/>
  <c r="G21" i="140"/>
  <c r="G21" i="139"/>
  <c r="G21" i="64"/>
  <c r="H31" i="128"/>
  <c r="G31"/>
  <c r="D31"/>
  <c r="C31"/>
  <c r="C32"/>
  <c r="B31"/>
  <c r="H42" i="155"/>
  <c r="G42"/>
  <c r="H41"/>
  <c r="G41"/>
  <c r="H40"/>
  <c r="G40"/>
  <c r="H39"/>
  <c r="G39"/>
  <c r="H38"/>
  <c r="G38"/>
  <c r="H37"/>
  <c r="G37"/>
  <c r="H36"/>
  <c r="G36"/>
  <c r="H35"/>
  <c r="G35"/>
  <c r="H34"/>
  <c r="G34"/>
  <c r="H33"/>
  <c r="G33"/>
  <c r="H32"/>
  <c r="G32"/>
  <c r="H31"/>
  <c r="G31"/>
  <c r="H30"/>
  <c r="G30"/>
  <c r="H29"/>
  <c r="G29"/>
  <c r="H28"/>
  <c r="G28"/>
  <c r="H27"/>
  <c r="G27"/>
  <c r="H26"/>
  <c r="G26"/>
  <c r="H25"/>
  <c r="G25"/>
  <c r="H24"/>
  <c r="G24"/>
  <c r="H23"/>
  <c r="G23"/>
  <c r="H22"/>
  <c r="G22"/>
  <c r="H21"/>
  <c r="G21"/>
  <c r="H20"/>
  <c r="G20"/>
  <c r="H19"/>
  <c r="G19"/>
  <c r="H18"/>
  <c r="G18"/>
  <c r="H17"/>
  <c r="G17"/>
  <c r="H16"/>
  <c r="G16"/>
  <c r="H15"/>
  <c r="G15"/>
  <c r="H14"/>
  <c r="G14"/>
  <c r="D42"/>
  <c r="C42"/>
  <c r="D41"/>
  <c r="C41"/>
  <c r="D40"/>
  <c r="C40"/>
  <c r="D39"/>
  <c r="C39"/>
  <c r="D38"/>
  <c r="C38"/>
  <c r="D37"/>
  <c r="C37"/>
  <c r="D36"/>
  <c r="C36"/>
  <c r="D35"/>
  <c r="C35"/>
  <c r="D34"/>
  <c r="C34"/>
  <c r="D33"/>
  <c r="C33"/>
  <c r="D32"/>
  <c r="C32"/>
  <c r="D31"/>
  <c r="C31"/>
  <c r="D30"/>
  <c r="C30"/>
  <c r="D29"/>
  <c r="C29"/>
  <c r="D28"/>
  <c r="C28"/>
  <c r="D27"/>
  <c r="C27"/>
  <c r="D26"/>
  <c r="C26"/>
  <c r="D25"/>
  <c r="C25"/>
  <c r="D24"/>
  <c r="C24"/>
  <c r="D23"/>
  <c r="C23"/>
  <c r="D22"/>
  <c r="C22"/>
  <c r="D21"/>
  <c r="C21"/>
  <c r="D20"/>
  <c r="C20"/>
  <c r="D19"/>
  <c r="C19"/>
  <c r="D18"/>
  <c r="C18"/>
  <c r="D17"/>
  <c r="C17"/>
  <c r="D16"/>
  <c r="C16"/>
  <c r="D15"/>
  <c r="C15"/>
  <c r="D14"/>
  <c r="C14"/>
  <c r="B42"/>
  <c r="B41"/>
  <c r="B40"/>
  <c r="B39"/>
  <c r="B38"/>
  <c r="B37"/>
  <c r="B36"/>
  <c r="B35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4"/>
  <c r="M43"/>
  <c r="I42"/>
  <c r="E42"/>
  <c r="I40"/>
  <c r="E40"/>
  <c r="I38"/>
  <c r="E38"/>
  <c r="I36"/>
  <c r="E36"/>
  <c r="I34"/>
  <c r="E33"/>
  <c r="I30"/>
  <c r="E30"/>
  <c r="I28"/>
  <c r="E28"/>
  <c r="I26"/>
  <c r="E26"/>
  <c r="I24"/>
  <c r="E24"/>
  <c r="I22"/>
  <c r="E22"/>
  <c r="I20"/>
  <c r="E20"/>
  <c r="I16"/>
  <c r="E16"/>
  <c r="I15"/>
  <c r="E15"/>
  <c r="I14"/>
  <c r="E14"/>
  <c r="H13"/>
  <c r="J13" s="1"/>
  <c r="G13"/>
  <c r="D13"/>
  <c r="F13" s="1"/>
  <c r="C13"/>
  <c r="H43" i="154"/>
  <c r="G43"/>
  <c r="H42"/>
  <c r="I42" s="1"/>
  <c r="G42"/>
  <c r="H41"/>
  <c r="G41"/>
  <c r="H40"/>
  <c r="I40" s="1"/>
  <c r="G40"/>
  <c r="H39"/>
  <c r="G39"/>
  <c r="H38"/>
  <c r="I38" s="1"/>
  <c r="G38"/>
  <c r="H37"/>
  <c r="G37"/>
  <c r="H36"/>
  <c r="I36" s="1"/>
  <c r="G36"/>
  <c r="H35"/>
  <c r="G35"/>
  <c r="H34"/>
  <c r="I34" s="1"/>
  <c r="G34"/>
  <c r="H33"/>
  <c r="G33"/>
  <c r="H32"/>
  <c r="I32" s="1"/>
  <c r="G32"/>
  <c r="H31"/>
  <c r="G31"/>
  <c r="H30"/>
  <c r="I30" s="1"/>
  <c r="G30"/>
  <c r="H29"/>
  <c r="G29"/>
  <c r="H28"/>
  <c r="I28" s="1"/>
  <c r="G28"/>
  <c r="H27"/>
  <c r="G27"/>
  <c r="H26"/>
  <c r="I26" s="1"/>
  <c r="G26"/>
  <c r="H25"/>
  <c r="G25"/>
  <c r="H24"/>
  <c r="I24" s="1"/>
  <c r="G24"/>
  <c r="H23"/>
  <c r="G23"/>
  <c r="H22"/>
  <c r="I22" s="1"/>
  <c r="G22"/>
  <c r="H21"/>
  <c r="G21"/>
  <c r="H20"/>
  <c r="I20" s="1"/>
  <c r="G20"/>
  <c r="H19"/>
  <c r="G19"/>
  <c r="H18"/>
  <c r="G18"/>
  <c r="H17"/>
  <c r="G17"/>
  <c r="H16"/>
  <c r="G16"/>
  <c r="H15"/>
  <c r="G15"/>
  <c r="H14"/>
  <c r="H13" s="1"/>
  <c r="G14"/>
  <c r="D43"/>
  <c r="C43"/>
  <c r="D42"/>
  <c r="C42"/>
  <c r="D41"/>
  <c r="C41"/>
  <c r="D40"/>
  <c r="C40"/>
  <c r="D39"/>
  <c r="C39"/>
  <c r="D38"/>
  <c r="C38"/>
  <c r="D37"/>
  <c r="C37"/>
  <c r="D36"/>
  <c r="C36"/>
  <c r="D35"/>
  <c r="C35"/>
  <c r="D34"/>
  <c r="C34"/>
  <c r="D33"/>
  <c r="C33"/>
  <c r="D32"/>
  <c r="C32"/>
  <c r="D31"/>
  <c r="C31"/>
  <c r="D30"/>
  <c r="C30"/>
  <c r="D29"/>
  <c r="C29"/>
  <c r="D28"/>
  <c r="C28"/>
  <c r="D27"/>
  <c r="C27"/>
  <c r="D26"/>
  <c r="C26"/>
  <c r="D25"/>
  <c r="C25"/>
  <c r="D24"/>
  <c r="C24"/>
  <c r="D23"/>
  <c r="C23"/>
  <c r="D22"/>
  <c r="C22"/>
  <c r="D21"/>
  <c r="C21"/>
  <c r="D20"/>
  <c r="C20"/>
  <c r="D19"/>
  <c r="C19"/>
  <c r="D18"/>
  <c r="C18"/>
  <c r="D17"/>
  <c r="C17"/>
  <c r="D16"/>
  <c r="C16"/>
  <c r="D15"/>
  <c r="C15"/>
  <c r="D14"/>
  <c r="C14"/>
  <c r="B43"/>
  <c r="B42"/>
  <c r="B41"/>
  <c r="B40"/>
  <c r="B39"/>
  <c r="B38"/>
  <c r="B37"/>
  <c r="B36"/>
  <c r="B35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4"/>
  <c r="M44"/>
  <c r="E42"/>
  <c r="E40"/>
  <c r="E38"/>
  <c r="E36"/>
  <c r="E34"/>
  <c r="E32"/>
  <c r="E30"/>
  <c r="E28"/>
  <c r="E26"/>
  <c r="E24"/>
  <c r="E22"/>
  <c r="E20"/>
  <c r="E19"/>
  <c r="I17"/>
  <c r="E17"/>
  <c r="I15"/>
  <c r="E15"/>
  <c r="G13"/>
  <c r="D13"/>
  <c r="C13"/>
  <c r="H44" i="153"/>
  <c r="G44"/>
  <c r="H43"/>
  <c r="G43"/>
  <c r="H42"/>
  <c r="G42"/>
  <c r="H41"/>
  <c r="G41"/>
  <c r="H40"/>
  <c r="G40"/>
  <c r="H39"/>
  <c r="G39"/>
  <c r="H38"/>
  <c r="G38"/>
  <c r="H37"/>
  <c r="G37"/>
  <c r="H36"/>
  <c r="G36"/>
  <c r="H35"/>
  <c r="G35"/>
  <c r="H34"/>
  <c r="G34"/>
  <c r="H33"/>
  <c r="G33"/>
  <c r="H32"/>
  <c r="G32"/>
  <c r="H31"/>
  <c r="G31"/>
  <c r="H30"/>
  <c r="G30"/>
  <c r="H29"/>
  <c r="G29"/>
  <c r="H28"/>
  <c r="G28"/>
  <c r="H27"/>
  <c r="G27"/>
  <c r="H26"/>
  <c r="G26"/>
  <c r="H25"/>
  <c r="G25"/>
  <c r="H24"/>
  <c r="G24"/>
  <c r="H23"/>
  <c r="G23"/>
  <c r="H22"/>
  <c r="G22"/>
  <c r="H21"/>
  <c r="G21"/>
  <c r="H20"/>
  <c r="G20"/>
  <c r="H19"/>
  <c r="G19"/>
  <c r="H18"/>
  <c r="G18"/>
  <c r="H17"/>
  <c r="G17"/>
  <c r="H16"/>
  <c r="G16"/>
  <c r="H15"/>
  <c r="G15"/>
  <c r="H14"/>
  <c r="H13" s="1"/>
  <c r="J13" s="1"/>
  <c r="G14"/>
  <c r="G13" s="1"/>
  <c r="D44"/>
  <c r="C44"/>
  <c r="D43"/>
  <c r="C43"/>
  <c r="D42"/>
  <c r="C42"/>
  <c r="D41"/>
  <c r="C41"/>
  <c r="D40"/>
  <c r="C40"/>
  <c r="D39"/>
  <c r="C39"/>
  <c r="D38"/>
  <c r="C38"/>
  <c r="D37"/>
  <c r="C37"/>
  <c r="D36"/>
  <c r="C36"/>
  <c r="D35"/>
  <c r="C35"/>
  <c r="D34"/>
  <c r="C34"/>
  <c r="D33"/>
  <c r="C33"/>
  <c r="D32"/>
  <c r="C32"/>
  <c r="D31"/>
  <c r="C31"/>
  <c r="D30"/>
  <c r="C30"/>
  <c r="D29"/>
  <c r="C29"/>
  <c r="D28"/>
  <c r="C28"/>
  <c r="D27"/>
  <c r="C27"/>
  <c r="D26"/>
  <c r="C26"/>
  <c r="D25"/>
  <c r="C25"/>
  <c r="D24"/>
  <c r="C24"/>
  <c r="D23"/>
  <c r="C23"/>
  <c r="D22"/>
  <c r="C22"/>
  <c r="D21"/>
  <c r="C21"/>
  <c r="D20"/>
  <c r="C20"/>
  <c r="D19"/>
  <c r="C19"/>
  <c r="D18"/>
  <c r="C18"/>
  <c r="D17"/>
  <c r="C17"/>
  <c r="D16"/>
  <c r="C16"/>
  <c r="D15"/>
  <c r="C15"/>
  <c r="D14"/>
  <c r="D13" s="1"/>
  <c r="F13" s="1"/>
  <c r="C14"/>
  <c r="C13" s="1"/>
  <c r="G14" i="70"/>
  <c r="H14"/>
  <c r="I44" i="153"/>
  <c r="E44"/>
  <c r="B44"/>
  <c r="B43"/>
  <c r="B42"/>
  <c r="B41"/>
  <c r="B40"/>
  <c r="B39"/>
  <c r="B38"/>
  <c r="B37"/>
  <c r="B36"/>
  <c r="B35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4"/>
  <c r="M45"/>
  <c r="I40"/>
  <c r="E40"/>
  <c r="I38"/>
  <c r="E38"/>
  <c r="I36"/>
  <c r="E36"/>
  <c r="I34"/>
  <c r="E34"/>
  <c r="I32"/>
  <c r="E32"/>
  <c r="I30"/>
  <c r="E30"/>
  <c r="I28"/>
  <c r="E28"/>
  <c r="I26"/>
  <c r="E26"/>
  <c r="I24"/>
  <c r="E24"/>
  <c r="I22"/>
  <c r="E22"/>
  <c r="I20"/>
  <c r="E20"/>
  <c r="I18"/>
  <c r="E18"/>
  <c r="I16"/>
  <c r="E16"/>
  <c r="I14"/>
  <c r="E14"/>
  <c r="H43" i="152"/>
  <c r="G43"/>
  <c r="H42"/>
  <c r="G42"/>
  <c r="H41"/>
  <c r="G41"/>
  <c r="H40"/>
  <c r="G40"/>
  <c r="H39"/>
  <c r="G39"/>
  <c r="H38"/>
  <c r="G38"/>
  <c r="H37"/>
  <c r="G37"/>
  <c r="H36"/>
  <c r="G36"/>
  <c r="H35"/>
  <c r="G35"/>
  <c r="H34"/>
  <c r="G34"/>
  <c r="H33"/>
  <c r="G33"/>
  <c r="H32"/>
  <c r="G32"/>
  <c r="H31"/>
  <c r="G31"/>
  <c r="H30"/>
  <c r="G30"/>
  <c r="H29"/>
  <c r="G29"/>
  <c r="H28"/>
  <c r="G28"/>
  <c r="H27"/>
  <c r="G27"/>
  <c r="H26"/>
  <c r="G26"/>
  <c r="H25"/>
  <c r="G25"/>
  <c r="H24"/>
  <c r="G24"/>
  <c r="H23"/>
  <c r="G23"/>
  <c r="H22"/>
  <c r="G22"/>
  <c r="H21"/>
  <c r="G21"/>
  <c r="H20"/>
  <c r="G20"/>
  <c r="H19"/>
  <c r="G19"/>
  <c r="H18"/>
  <c r="G18"/>
  <c r="H17"/>
  <c r="G17"/>
  <c r="H16"/>
  <c r="G16"/>
  <c r="H15"/>
  <c r="G15"/>
  <c r="H14"/>
  <c r="H13" s="1"/>
  <c r="G14"/>
  <c r="G13" s="1"/>
  <c r="D43"/>
  <c r="C43"/>
  <c r="D42"/>
  <c r="C42"/>
  <c r="D41"/>
  <c r="C41"/>
  <c r="D40"/>
  <c r="C40"/>
  <c r="D39"/>
  <c r="C39"/>
  <c r="D38"/>
  <c r="C38"/>
  <c r="D37"/>
  <c r="C37"/>
  <c r="D36"/>
  <c r="C36"/>
  <c r="D35"/>
  <c r="C35"/>
  <c r="D34"/>
  <c r="C34"/>
  <c r="D33"/>
  <c r="C33"/>
  <c r="D32"/>
  <c r="C32"/>
  <c r="D31"/>
  <c r="C31"/>
  <c r="D30"/>
  <c r="C30"/>
  <c r="D29"/>
  <c r="C29"/>
  <c r="D28"/>
  <c r="C28"/>
  <c r="D27"/>
  <c r="C27"/>
  <c r="D26"/>
  <c r="C26"/>
  <c r="D25"/>
  <c r="C25"/>
  <c r="D24"/>
  <c r="C24"/>
  <c r="D23"/>
  <c r="C23"/>
  <c r="D22"/>
  <c r="C22"/>
  <c r="D21"/>
  <c r="C21"/>
  <c r="D20"/>
  <c r="C20"/>
  <c r="D19"/>
  <c r="C19"/>
  <c r="D18"/>
  <c r="C18"/>
  <c r="D17"/>
  <c r="C17"/>
  <c r="D16"/>
  <c r="C16"/>
  <c r="D15"/>
  <c r="C15"/>
  <c r="D14"/>
  <c r="D13" s="1"/>
  <c r="C14"/>
  <c r="C13" s="1"/>
  <c r="B43"/>
  <c r="B42"/>
  <c r="B41"/>
  <c r="B40"/>
  <c r="B39"/>
  <c r="B38"/>
  <c r="B37"/>
  <c r="B36"/>
  <c r="B35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4"/>
  <c r="M44"/>
  <c r="I41"/>
  <c r="E41"/>
  <c r="I39"/>
  <c r="E37"/>
  <c r="I33"/>
  <c r="E33"/>
  <c r="I31"/>
  <c r="E29"/>
  <c r="I25"/>
  <c r="E24"/>
  <c r="I20"/>
  <c r="E19"/>
  <c r="E17"/>
  <c r="I15"/>
  <c r="E15"/>
  <c r="H44" i="151"/>
  <c r="G44"/>
  <c r="H43"/>
  <c r="G43"/>
  <c r="H42"/>
  <c r="G42"/>
  <c r="H41"/>
  <c r="G41"/>
  <c r="H40"/>
  <c r="G40"/>
  <c r="H39"/>
  <c r="G39"/>
  <c r="H38"/>
  <c r="G38"/>
  <c r="H37"/>
  <c r="G37"/>
  <c r="H36"/>
  <c r="G36"/>
  <c r="H35"/>
  <c r="G35"/>
  <c r="H34"/>
  <c r="G34"/>
  <c r="H33"/>
  <c r="G33"/>
  <c r="H32"/>
  <c r="G32"/>
  <c r="H31"/>
  <c r="G31"/>
  <c r="H30"/>
  <c r="G30"/>
  <c r="H29"/>
  <c r="G29"/>
  <c r="H28"/>
  <c r="G28"/>
  <c r="H27"/>
  <c r="G27"/>
  <c r="H26"/>
  <c r="G26"/>
  <c r="H25"/>
  <c r="G25"/>
  <c r="H24"/>
  <c r="G24"/>
  <c r="H23"/>
  <c r="G23"/>
  <c r="H22"/>
  <c r="G22"/>
  <c r="H21"/>
  <c r="G21"/>
  <c r="H20"/>
  <c r="G20"/>
  <c r="H19"/>
  <c r="G19"/>
  <c r="H18"/>
  <c r="G18"/>
  <c r="H17"/>
  <c r="G17"/>
  <c r="H16"/>
  <c r="G16"/>
  <c r="H15"/>
  <c r="G15"/>
  <c r="H14"/>
  <c r="H13" s="1"/>
  <c r="G14"/>
  <c r="G13" s="1"/>
  <c r="D44"/>
  <c r="C44"/>
  <c r="D43"/>
  <c r="C43"/>
  <c r="D42"/>
  <c r="C42"/>
  <c r="D41"/>
  <c r="C41"/>
  <c r="D40"/>
  <c r="C40"/>
  <c r="D39"/>
  <c r="C39"/>
  <c r="D38"/>
  <c r="C38"/>
  <c r="D37"/>
  <c r="C37"/>
  <c r="D36"/>
  <c r="C36"/>
  <c r="D35"/>
  <c r="C35"/>
  <c r="D34"/>
  <c r="C34"/>
  <c r="D33"/>
  <c r="C33"/>
  <c r="D32"/>
  <c r="C32"/>
  <c r="D31"/>
  <c r="C31"/>
  <c r="D30"/>
  <c r="C30"/>
  <c r="D29"/>
  <c r="C29"/>
  <c r="D28"/>
  <c r="C28"/>
  <c r="D27"/>
  <c r="C27"/>
  <c r="D26"/>
  <c r="C26"/>
  <c r="D25"/>
  <c r="C25"/>
  <c r="D24"/>
  <c r="C24"/>
  <c r="D23"/>
  <c r="C23"/>
  <c r="D22"/>
  <c r="C22"/>
  <c r="D21"/>
  <c r="C21"/>
  <c r="D20"/>
  <c r="C20"/>
  <c r="D19"/>
  <c r="C19"/>
  <c r="D18"/>
  <c r="C18"/>
  <c r="D17"/>
  <c r="C17"/>
  <c r="D16"/>
  <c r="C16"/>
  <c r="D15"/>
  <c r="C15"/>
  <c r="D14"/>
  <c r="D13" s="1"/>
  <c r="C14"/>
  <c r="C13" s="1"/>
  <c r="I44"/>
  <c r="E44"/>
  <c r="B44"/>
  <c r="B43"/>
  <c r="B42"/>
  <c r="B41"/>
  <c r="B40"/>
  <c r="B39"/>
  <c r="B38"/>
  <c r="B37"/>
  <c r="B36"/>
  <c r="B35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4"/>
  <c r="M45"/>
  <c r="I21"/>
  <c r="E21"/>
  <c r="I19"/>
  <c r="E19"/>
  <c r="I17"/>
  <c r="E17"/>
  <c r="I15"/>
  <c r="E15"/>
  <c r="H41" i="150"/>
  <c r="G41"/>
  <c r="H40"/>
  <c r="G40"/>
  <c r="H39"/>
  <c r="G39"/>
  <c r="H38"/>
  <c r="G38"/>
  <c r="H37"/>
  <c r="G37"/>
  <c r="H36"/>
  <c r="G36"/>
  <c r="H35"/>
  <c r="G35"/>
  <c r="H34"/>
  <c r="G34"/>
  <c r="H33"/>
  <c r="G33"/>
  <c r="H32"/>
  <c r="G32"/>
  <c r="H31"/>
  <c r="G31"/>
  <c r="H30"/>
  <c r="G30"/>
  <c r="H29"/>
  <c r="G29"/>
  <c r="H28"/>
  <c r="G28"/>
  <c r="H27"/>
  <c r="G27"/>
  <c r="H26"/>
  <c r="G26"/>
  <c r="H25"/>
  <c r="G25"/>
  <c r="H24"/>
  <c r="G24"/>
  <c r="H23"/>
  <c r="G23"/>
  <c r="H22"/>
  <c r="G22"/>
  <c r="H21"/>
  <c r="G21"/>
  <c r="H20"/>
  <c r="G20"/>
  <c r="H19"/>
  <c r="G19"/>
  <c r="H18"/>
  <c r="G18"/>
  <c r="H17"/>
  <c r="G17"/>
  <c r="H16"/>
  <c r="G16"/>
  <c r="H15"/>
  <c r="G15"/>
  <c r="H14"/>
  <c r="G14"/>
  <c r="D41"/>
  <c r="C41"/>
  <c r="D40"/>
  <c r="C40"/>
  <c r="D39"/>
  <c r="C39"/>
  <c r="D38"/>
  <c r="C38"/>
  <c r="D37"/>
  <c r="C37"/>
  <c r="D36"/>
  <c r="C36"/>
  <c r="D35"/>
  <c r="C35"/>
  <c r="D34"/>
  <c r="C34"/>
  <c r="D33"/>
  <c r="C33"/>
  <c r="D32"/>
  <c r="C32"/>
  <c r="D31"/>
  <c r="C31"/>
  <c r="D30"/>
  <c r="C30"/>
  <c r="D29"/>
  <c r="C29"/>
  <c r="D28"/>
  <c r="C28"/>
  <c r="D27"/>
  <c r="C27"/>
  <c r="D26"/>
  <c r="C26"/>
  <c r="D25"/>
  <c r="C25"/>
  <c r="D24"/>
  <c r="C24"/>
  <c r="D23"/>
  <c r="C23"/>
  <c r="D22"/>
  <c r="C22"/>
  <c r="D21"/>
  <c r="C21"/>
  <c r="D20"/>
  <c r="C20"/>
  <c r="D19"/>
  <c r="C19"/>
  <c r="D18"/>
  <c r="C18"/>
  <c r="D17"/>
  <c r="C17"/>
  <c r="D16"/>
  <c r="C16"/>
  <c r="D15"/>
  <c r="C15"/>
  <c r="D14"/>
  <c r="D13" s="1"/>
  <c r="C14"/>
  <c r="B41"/>
  <c r="B40"/>
  <c r="B39"/>
  <c r="B38"/>
  <c r="B37"/>
  <c r="B36"/>
  <c r="B35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4"/>
  <c r="M42"/>
  <c r="I41"/>
  <c r="I39"/>
  <c r="E39"/>
  <c r="I38"/>
  <c r="I36"/>
  <c r="E36"/>
  <c r="I33"/>
  <c r="I31"/>
  <c r="E31"/>
  <c r="I30"/>
  <c r="E28"/>
  <c r="I27"/>
  <c r="I25"/>
  <c r="E25"/>
  <c r="I23"/>
  <c r="I21"/>
  <c r="E21"/>
  <c r="I19"/>
  <c r="I18"/>
  <c r="I16"/>
  <c r="E16"/>
  <c r="I14"/>
  <c r="E14"/>
  <c r="H13"/>
  <c r="G13"/>
  <c r="C13"/>
  <c r="H44" i="70"/>
  <c r="G44"/>
  <c r="D44"/>
  <c r="C44"/>
  <c r="B44"/>
  <c r="H43"/>
  <c r="G43"/>
  <c r="D43"/>
  <c r="C43"/>
  <c r="B43"/>
  <c r="H42"/>
  <c r="G42"/>
  <c r="H41"/>
  <c r="G41"/>
  <c r="H40"/>
  <c r="G40"/>
  <c r="H39"/>
  <c r="G39"/>
  <c r="H38"/>
  <c r="G38"/>
  <c r="H37"/>
  <c r="G37"/>
  <c r="H36"/>
  <c r="G36"/>
  <c r="H35"/>
  <c r="G35"/>
  <c r="H34"/>
  <c r="G34"/>
  <c r="H33"/>
  <c r="G33"/>
  <c r="H32"/>
  <c r="G32"/>
  <c r="H31"/>
  <c r="G31"/>
  <c r="H30"/>
  <c r="G30"/>
  <c r="H29"/>
  <c r="G29"/>
  <c r="H28"/>
  <c r="G28"/>
  <c r="H27"/>
  <c r="G27"/>
  <c r="H26"/>
  <c r="G26"/>
  <c r="H25"/>
  <c r="G25"/>
  <c r="H24"/>
  <c r="G24"/>
  <c r="H23"/>
  <c r="G23"/>
  <c r="H22"/>
  <c r="G22"/>
  <c r="H21"/>
  <c r="G21"/>
  <c r="H20"/>
  <c r="G20"/>
  <c r="H19"/>
  <c r="G19"/>
  <c r="H18"/>
  <c r="G18"/>
  <c r="H17"/>
  <c r="G17"/>
  <c r="H16"/>
  <c r="G16"/>
  <c r="H15"/>
  <c r="G15"/>
  <c r="G13" s="1"/>
  <c r="D42"/>
  <c r="C42"/>
  <c r="D41"/>
  <c r="C41"/>
  <c r="D40"/>
  <c r="C40"/>
  <c r="D39"/>
  <c r="C39"/>
  <c r="D38"/>
  <c r="C38"/>
  <c r="D37"/>
  <c r="C37"/>
  <c r="D36"/>
  <c r="C36"/>
  <c r="D35"/>
  <c r="C35"/>
  <c r="D34"/>
  <c r="C34"/>
  <c r="D33"/>
  <c r="C33"/>
  <c r="D32"/>
  <c r="C32"/>
  <c r="D31"/>
  <c r="C31"/>
  <c r="D30"/>
  <c r="C30"/>
  <c r="D29"/>
  <c r="C29"/>
  <c r="D28"/>
  <c r="C28"/>
  <c r="D27"/>
  <c r="C27"/>
  <c r="D26"/>
  <c r="C26"/>
  <c r="D25"/>
  <c r="C25"/>
  <c r="D24"/>
  <c r="C24"/>
  <c r="D23"/>
  <c r="C23"/>
  <c r="D22"/>
  <c r="C22"/>
  <c r="D21"/>
  <c r="C21"/>
  <c r="D20"/>
  <c r="C20"/>
  <c r="D19"/>
  <c r="C19"/>
  <c r="D18"/>
  <c r="C18"/>
  <c r="D17"/>
  <c r="C17"/>
  <c r="D16"/>
  <c r="C16"/>
  <c r="D15"/>
  <c r="C15"/>
  <c r="D14"/>
  <c r="D13" s="1"/>
  <c r="C14"/>
  <c r="C13" s="1"/>
  <c r="B42"/>
  <c r="B41"/>
  <c r="B40"/>
  <c r="B39"/>
  <c r="B38"/>
  <c r="B37"/>
  <c r="B36"/>
  <c r="B35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4"/>
  <c r="G20" i="149"/>
  <c r="G19"/>
  <c r="G18"/>
  <c r="G17"/>
  <c r="G16"/>
  <c r="G15"/>
  <c r="G14"/>
  <c r="G13"/>
  <c r="F24"/>
  <c r="E24"/>
  <c r="D24"/>
  <c r="C24"/>
  <c r="F23"/>
  <c r="E23"/>
  <c r="D23"/>
  <c r="C23"/>
  <c r="F22"/>
  <c r="E22"/>
  <c r="D22"/>
  <c r="C22"/>
  <c r="F21"/>
  <c r="E21"/>
  <c r="D21"/>
  <c r="C21"/>
  <c r="F20"/>
  <c r="E20"/>
  <c r="D20"/>
  <c r="C20"/>
  <c r="F19"/>
  <c r="E19"/>
  <c r="D19"/>
  <c r="C19"/>
  <c r="F18"/>
  <c r="E18"/>
  <c r="D18"/>
  <c r="C18"/>
  <c r="F17"/>
  <c r="E17"/>
  <c r="D17"/>
  <c r="C17"/>
  <c r="F16"/>
  <c r="E16"/>
  <c r="D16"/>
  <c r="C16"/>
  <c r="F15"/>
  <c r="E15"/>
  <c r="D15"/>
  <c r="C15"/>
  <c r="F14"/>
  <c r="E14"/>
  <c r="D14"/>
  <c r="C14"/>
  <c r="F13"/>
  <c r="E13"/>
  <c r="D13"/>
  <c r="C13"/>
  <c r="M41"/>
  <c r="M40"/>
  <c r="M39"/>
  <c r="M38"/>
  <c r="M36"/>
  <c r="M35"/>
  <c r="M34"/>
  <c r="M33"/>
  <c r="M32"/>
  <c r="M24"/>
  <c r="J24"/>
  <c r="H24"/>
  <c r="I24"/>
  <c r="M23"/>
  <c r="J23"/>
  <c r="H23"/>
  <c r="I23"/>
  <c r="M22"/>
  <c r="M21"/>
  <c r="M20"/>
  <c r="J20"/>
  <c r="J19"/>
  <c r="M18"/>
  <c r="J18"/>
  <c r="J17"/>
  <c r="M16"/>
  <c r="J16"/>
  <c r="J15"/>
  <c r="M14"/>
  <c r="J14"/>
  <c r="J13"/>
  <c r="G20" i="148"/>
  <c r="G19"/>
  <c r="G18"/>
  <c r="G17"/>
  <c r="G16"/>
  <c r="G15"/>
  <c r="G14"/>
  <c r="G13"/>
  <c r="F24"/>
  <c r="E24"/>
  <c r="D24"/>
  <c r="C24"/>
  <c r="F23"/>
  <c r="E23"/>
  <c r="D23"/>
  <c r="C23"/>
  <c r="F22"/>
  <c r="E22"/>
  <c r="D22"/>
  <c r="C22"/>
  <c r="F21"/>
  <c r="E21"/>
  <c r="D21"/>
  <c r="C21"/>
  <c r="F20"/>
  <c r="E20"/>
  <c r="D20"/>
  <c r="C20"/>
  <c r="F19"/>
  <c r="E19"/>
  <c r="D19"/>
  <c r="C19"/>
  <c r="F18"/>
  <c r="E18"/>
  <c r="D18"/>
  <c r="C18"/>
  <c r="F17"/>
  <c r="E17"/>
  <c r="D17"/>
  <c r="C17"/>
  <c r="F16"/>
  <c r="E16"/>
  <c r="D16"/>
  <c r="C16"/>
  <c r="F15"/>
  <c r="E15"/>
  <c r="D15"/>
  <c r="C15"/>
  <c r="F14"/>
  <c r="E14"/>
  <c r="D14"/>
  <c r="C14"/>
  <c r="F13"/>
  <c r="E13"/>
  <c r="D13"/>
  <c r="C13"/>
  <c r="M41"/>
  <c r="M40"/>
  <c r="M39"/>
  <c r="M38"/>
  <c r="M36"/>
  <c r="M35"/>
  <c r="M34"/>
  <c r="M33"/>
  <c r="M32"/>
  <c r="M24"/>
  <c r="I24"/>
  <c r="M23"/>
  <c r="I23"/>
  <c r="M22"/>
  <c r="I22"/>
  <c r="M21"/>
  <c r="M20"/>
  <c r="J19"/>
  <c r="M18"/>
  <c r="J17"/>
  <c r="M16"/>
  <c r="J15"/>
  <c r="M14"/>
  <c r="J13"/>
  <c r="G20" i="147"/>
  <c r="G19"/>
  <c r="G18"/>
  <c r="G17"/>
  <c r="G16"/>
  <c r="G15"/>
  <c r="G14"/>
  <c r="G13"/>
  <c r="F24"/>
  <c r="E24"/>
  <c r="D24"/>
  <c r="C24"/>
  <c r="F23"/>
  <c r="E23"/>
  <c r="D23"/>
  <c r="C23"/>
  <c r="F22"/>
  <c r="E22"/>
  <c r="D22"/>
  <c r="C22"/>
  <c r="F21"/>
  <c r="E21"/>
  <c r="D21"/>
  <c r="C21"/>
  <c r="F20"/>
  <c r="E20"/>
  <c r="D20"/>
  <c r="C20"/>
  <c r="F19"/>
  <c r="E19"/>
  <c r="D19"/>
  <c r="C19"/>
  <c r="F18"/>
  <c r="E18"/>
  <c r="D18"/>
  <c r="C18"/>
  <c r="F17"/>
  <c r="E17"/>
  <c r="D17"/>
  <c r="C17"/>
  <c r="F16"/>
  <c r="E16"/>
  <c r="D16"/>
  <c r="C16"/>
  <c r="F15"/>
  <c r="E15"/>
  <c r="D15"/>
  <c r="C15"/>
  <c r="F14"/>
  <c r="E14"/>
  <c r="D14"/>
  <c r="C14"/>
  <c r="F13"/>
  <c r="E13"/>
  <c r="D13"/>
  <c r="C13"/>
  <c r="M41"/>
  <c r="M40"/>
  <c r="M39"/>
  <c r="M38"/>
  <c r="M36"/>
  <c r="M35"/>
  <c r="M34"/>
  <c r="M33"/>
  <c r="M32"/>
  <c r="M24"/>
  <c r="J24"/>
  <c r="H24"/>
  <c r="I24"/>
  <c r="M23"/>
  <c r="J23"/>
  <c r="H23"/>
  <c r="I23"/>
  <c r="M22"/>
  <c r="J22"/>
  <c r="H22"/>
  <c r="I22"/>
  <c r="M21"/>
  <c r="M20"/>
  <c r="J20"/>
  <c r="J19"/>
  <c r="M18"/>
  <c r="J18"/>
  <c r="J17"/>
  <c r="M16"/>
  <c r="J16"/>
  <c r="J15"/>
  <c r="M14"/>
  <c r="J14"/>
  <c r="J13"/>
  <c r="G20" i="146"/>
  <c r="G19"/>
  <c r="G18"/>
  <c r="G17"/>
  <c r="G16"/>
  <c r="G15"/>
  <c r="G14"/>
  <c r="G13"/>
  <c r="F24"/>
  <c r="E24"/>
  <c r="D24"/>
  <c r="C24"/>
  <c r="F23"/>
  <c r="E23"/>
  <c r="D23"/>
  <c r="C23"/>
  <c r="F22"/>
  <c r="E22"/>
  <c r="D22"/>
  <c r="C22"/>
  <c r="F21"/>
  <c r="E21"/>
  <c r="D21"/>
  <c r="C21"/>
  <c r="F20"/>
  <c r="E20"/>
  <c r="D20"/>
  <c r="C20"/>
  <c r="F19"/>
  <c r="E19"/>
  <c r="D19"/>
  <c r="C19"/>
  <c r="F18"/>
  <c r="E18"/>
  <c r="D18"/>
  <c r="C18"/>
  <c r="F17"/>
  <c r="E17"/>
  <c r="D17"/>
  <c r="C17"/>
  <c r="F16"/>
  <c r="E16"/>
  <c r="D16"/>
  <c r="C16"/>
  <c r="F15"/>
  <c r="E15"/>
  <c r="D15"/>
  <c r="C15"/>
  <c r="F14"/>
  <c r="E14"/>
  <c r="D14"/>
  <c r="C14"/>
  <c r="F13"/>
  <c r="E13"/>
  <c r="D13"/>
  <c r="C13"/>
  <c r="M41"/>
  <c r="M40"/>
  <c r="M39"/>
  <c r="M38"/>
  <c r="M36"/>
  <c r="M35"/>
  <c r="M34"/>
  <c r="M33"/>
  <c r="M32"/>
  <c r="M24"/>
  <c r="I24"/>
  <c r="M23"/>
  <c r="I23"/>
  <c r="M22"/>
  <c r="M21"/>
  <c r="M20"/>
  <c r="J19"/>
  <c r="M18"/>
  <c r="J17"/>
  <c r="M16"/>
  <c r="J15"/>
  <c r="M14"/>
  <c r="J13"/>
  <c r="G20" i="145"/>
  <c r="G19"/>
  <c r="G18"/>
  <c r="G17"/>
  <c r="G16"/>
  <c r="G15"/>
  <c r="G14"/>
  <c r="G13"/>
  <c r="F24"/>
  <c r="E24"/>
  <c r="D24"/>
  <c r="C24"/>
  <c r="F23"/>
  <c r="E23"/>
  <c r="D23"/>
  <c r="C23"/>
  <c r="F22"/>
  <c r="E22"/>
  <c r="D22"/>
  <c r="C22"/>
  <c r="F21"/>
  <c r="E21"/>
  <c r="D21"/>
  <c r="C21"/>
  <c r="F20"/>
  <c r="E20"/>
  <c r="D20"/>
  <c r="C20"/>
  <c r="F19"/>
  <c r="E19"/>
  <c r="D19"/>
  <c r="C19"/>
  <c r="F18"/>
  <c r="E18"/>
  <c r="D18"/>
  <c r="C18"/>
  <c r="F17"/>
  <c r="E17"/>
  <c r="D17"/>
  <c r="C17"/>
  <c r="F16"/>
  <c r="E16"/>
  <c r="D16"/>
  <c r="C16"/>
  <c r="F15"/>
  <c r="E15"/>
  <c r="D15"/>
  <c r="C15"/>
  <c r="F14"/>
  <c r="E14"/>
  <c r="D14"/>
  <c r="C14"/>
  <c r="F13"/>
  <c r="E13"/>
  <c r="D13"/>
  <c r="C13"/>
  <c r="M41"/>
  <c r="M40"/>
  <c r="M39"/>
  <c r="M38"/>
  <c r="M36"/>
  <c r="M35"/>
  <c r="M34"/>
  <c r="M33"/>
  <c r="M32"/>
  <c r="M24"/>
  <c r="I24"/>
  <c r="M23"/>
  <c r="I23"/>
  <c r="M22"/>
  <c r="M21"/>
  <c r="M20"/>
  <c r="M19"/>
  <c r="J19"/>
  <c r="M18"/>
  <c r="M17"/>
  <c r="J17"/>
  <c r="M16"/>
  <c r="M15"/>
  <c r="J15"/>
  <c r="M14"/>
  <c r="J13"/>
  <c r="G20" i="144"/>
  <c r="G19"/>
  <c r="G18"/>
  <c r="G17"/>
  <c r="G16"/>
  <c r="G15"/>
  <c r="G14"/>
  <c r="G13"/>
  <c r="F24"/>
  <c r="E24"/>
  <c r="D24"/>
  <c r="C24"/>
  <c r="F23"/>
  <c r="E23"/>
  <c r="D23"/>
  <c r="C23"/>
  <c r="F22"/>
  <c r="E22"/>
  <c r="D22"/>
  <c r="C22"/>
  <c r="F21"/>
  <c r="E21"/>
  <c r="D21"/>
  <c r="C21"/>
  <c r="F20"/>
  <c r="E20"/>
  <c r="D20"/>
  <c r="C20"/>
  <c r="F19"/>
  <c r="E19"/>
  <c r="D19"/>
  <c r="C19"/>
  <c r="F18"/>
  <c r="E18"/>
  <c r="D18"/>
  <c r="C18"/>
  <c r="F17"/>
  <c r="E17"/>
  <c r="D17"/>
  <c r="C17"/>
  <c r="F16"/>
  <c r="E16"/>
  <c r="D16"/>
  <c r="C16"/>
  <c r="F15"/>
  <c r="E15"/>
  <c r="D15"/>
  <c r="C15"/>
  <c r="F14"/>
  <c r="E14"/>
  <c r="D14"/>
  <c r="C14"/>
  <c r="F13"/>
  <c r="E13"/>
  <c r="D13"/>
  <c r="C13"/>
  <c r="M41"/>
  <c r="M40"/>
  <c r="M39"/>
  <c r="M38"/>
  <c r="M36"/>
  <c r="M35"/>
  <c r="M34"/>
  <c r="M33"/>
  <c r="M32"/>
  <c r="M24"/>
  <c r="I24"/>
  <c r="M23"/>
  <c r="I23"/>
  <c r="M22"/>
  <c r="M21"/>
  <c r="M20"/>
  <c r="M19"/>
  <c r="J19"/>
  <c r="M18"/>
  <c r="M17"/>
  <c r="J17"/>
  <c r="M16"/>
  <c r="J15"/>
  <c r="H15"/>
  <c r="M14"/>
  <c r="J13"/>
  <c r="G20" i="143"/>
  <c r="G19"/>
  <c r="G18"/>
  <c r="G17"/>
  <c r="G16"/>
  <c r="G15"/>
  <c r="G14"/>
  <c r="G13"/>
  <c r="F24"/>
  <c r="E24"/>
  <c r="D24"/>
  <c r="C24"/>
  <c r="F23"/>
  <c r="E23"/>
  <c r="D23"/>
  <c r="C23"/>
  <c r="F22"/>
  <c r="E22"/>
  <c r="D22"/>
  <c r="C22"/>
  <c r="F21"/>
  <c r="E21"/>
  <c r="D21"/>
  <c r="C21"/>
  <c r="F20"/>
  <c r="E20"/>
  <c r="D20"/>
  <c r="C20"/>
  <c r="F19"/>
  <c r="E19"/>
  <c r="D19"/>
  <c r="C19"/>
  <c r="F18"/>
  <c r="E18"/>
  <c r="D18"/>
  <c r="C18"/>
  <c r="F17"/>
  <c r="E17"/>
  <c r="D17"/>
  <c r="C17"/>
  <c r="F16"/>
  <c r="E16"/>
  <c r="D16"/>
  <c r="C16"/>
  <c r="F15"/>
  <c r="E15"/>
  <c r="D15"/>
  <c r="C15"/>
  <c r="F14"/>
  <c r="E14"/>
  <c r="D14"/>
  <c r="C14"/>
  <c r="F13"/>
  <c r="E13"/>
  <c r="D13"/>
  <c r="C13"/>
  <c r="M41"/>
  <c r="M40"/>
  <c r="M39"/>
  <c r="M38"/>
  <c r="M36"/>
  <c r="M35"/>
  <c r="M34"/>
  <c r="M33"/>
  <c r="M32"/>
  <c r="M24"/>
  <c r="J24"/>
  <c r="H24"/>
  <c r="I24"/>
  <c r="M23"/>
  <c r="J23"/>
  <c r="H23"/>
  <c r="I23"/>
  <c r="M22"/>
  <c r="M21"/>
  <c r="M20"/>
  <c r="J20"/>
  <c r="J19"/>
  <c r="M18"/>
  <c r="J18"/>
  <c r="J17"/>
  <c r="M16"/>
  <c r="J16"/>
  <c r="J15"/>
  <c r="M14"/>
  <c r="J14"/>
  <c r="J13"/>
  <c r="G20" i="142"/>
  <c r="G19"/>
  <c r="G18"/>
  <c r="G17"/>
  <c r="G16"/>
  <c r="G15"/>
  <c r="G14"/>
  <c r="G13"/>
  <c r="F24"/>
  <c r="E24"/>
  <c r="D24"/>
  <c r="C24"/>
  <c r="F23"/>
  <c r="E23"/>
  <c r="D23"/>
  <c r="C23"/>
  <c r="F22"/>
  <c r="E22"/>
  <c r="D22"/>
  <c r="C22"/>
  <c r="F21"/>
  <c r="E21"/>
  <c r="D21"/>
  <c r="C21"/>
  <c r="F20"/>
  <c r="E20"/>
  <c r="D20"/>
  <c r="C20"/>
  <c r="F19"/>
  <c r="E19"/>
  <c r="D19"/>
  <c r="C19"/>
  <c r="F18"/>
  <c r="E18"/>
  <c r="D18"/>
  <c r="C18"/>
  <c r="F17"/>
  <c r="E17"/>
  <c r="D17"/>
  <c r="C17"/>
  <c r="F16"/>
  <c r="E16"/>
  <c r="D16"/>
  <c r="C16"/>
  <c r="F15"/>
  <c r="E15"/>
  <c r="D15"/>
  <c r="C15"/>
  <c r="F14"/>
  <c r="E14"/>
  <c r="D14"/>
  <c r="C14"/>
  <c r="F13"/>
  <c r="E13"/>
  <c r="D13"/>
  <c r="C13"/>
  <c r="M41"/>
  <c r="M40"/>
  <c r="M39"/>
  <c r="M38"/>
  <c r="M36"/>
  <c r="M35"/>
  <c r="M34"/>
  <c r="M33"/>
  <c r="M32"/>
  <c r="M24"/>
  <c r="I24"/>
  <c r="M23"/>
  <c r="I23"/>
  <c r="M22"/>
  <c r="M21"/>
  <c r="M20"/>
  <c r="J19"/>
  <c r="H19"/>
  <c r="M18"/>
  <c r="J17"/>
  <c r="H17"/>
  <c r="M16"/>
  <c r="M15"/>
  <c r="J15"/>
  <c r="M14"/>
  <c r="J13"/>
  <c r="G20" i="141"/>
  <c r="G19"/>
  <c r="G18"/>
  <c r="G17"/>
  <c r="G16"/>
  <c r="G15"/>
  <c r="G14"/>
  <c r="G13"/>
  <c r="F24"/>
  <c r="E24"/>
  <c r="D24"/>
  <c r="C24"/>
  <c r="F23"/>
  <c r="E23"/>
  <c r="D23"/>
  <c r="C23"/>
  <c r="F22"/>
  <c r="E22"/>
  <c r="D22"/>
  <c r="C22"/>
  <c r="F21"/>
  <c r="E21"/>
  <c r="D21"/>
  <c r="C21"/>
  <c r="F20"/>
  <c r="E20"/>
  <c r="D20"/>
  <c r="C20"/>
  <c r="F19"/>
  <c r="E19"/>
  <c r="D19"/>
  <c r="C19"/>
  <c r="F18"/>
  <c r="E18"/>
  <c r="D18"/>
  <c r="C18"/>
  <c r="F17"/>
  <c r="E17"/>
  <c r="D17"/>
  <c r="C17"/>
  <c r="F16"/>
  <c r="E16"/>
  <c r="D16"/>
  <c r="C16"/>
  <c r="F15"/>
  <c r="E15"/>
  <c r="D15"/>
  <c r="C15"/>
  <c r="F14"/>
  <c r="E14"/>
  <c r="D14"/>
  <c r="C14"/>
  <c r="F13"/>
  <c r="E13"/>
  <c r="D13"/>
  <c r="C13"/>
  <c r="M41"/>
  <c r="M40"/>
  <c r="M39"/>
  <c r="M38"/>
  <c r="M36"/>
  <c r="M35"/>
  <c r="M34"/>
  <c r="M33"/>
  <c r="M32"/>
  <c r="M24"/>
  <c r="I24"/>
  <c r="M23"/>
  <c r="I23"/>
  <c r="M22"/>
  <c r="M21"/>
  <c r="M20"/>
  <c r="J19"/>
  <c r="M18"/>
  <c r="J17"/>
  <c r="M16"/>
  <c r="J15"/>
  <c r="M14"/>
  <c r="J13"/>
  <c r="G20" i="140"/>
  <c r="G19"/>
  <c r="G18"/>
  <c r="G17"/>
  <c r="G16"/>
  <c r="G15"/>
  <c r="G14"/>
  <c r="G13"/>
  <c r="F24"/>
  <c r="E24"/>
  <c r="D24"/>
  <c r="C24"/>
  <c r="F23"/>
  <c r="E23"/>
  <c r="D23"/>
  <c r="C23"/>
  <c r="F22"/>
  <c r="E22"/>
  <c r="D22"/>
  <c r="C22"/>
  <c r="F21"/>
  <c r="H21" s="1"/>
  <c r="E21"/>
  <c r="D21"/>
  <c r="C21"/>
  <c r="F20"/>
  <c r="E20"/>
  <c r="D20"/>
  <c r="C20"/>
  <c r="F19"/>
  <c r="E19"/>
  <c r="D19"/>
  <c r="C19"/>
  <c r="F18"/>
  <c r="E18"/>
  <c r="D18"/>
  <c r="C18"/>
  <c r="F17"/>
  <c r="E17"/>
  <c r="D17"/>
  <c r="C17"/>
  <c r="F16"/>
  <c r="E16"/>
  <c r="D16"/>
  <c r="C16"/>
  <c r="F15"/>
  <c r="E15"/>
  <c r="D15"/>
  <c r="C15"/>
  <c r="F14"/>
  <c r="E14"/>
  <c r="D14"/>
  <c r="C14"/>
  <c r="F13"/>
  <c r="E13"/>
  <c r="D13"/>
  <c r="C13"/>
  <c r="M41"/>
  <c r="M40"/>
  <c r="M39"/>
  <c r="M38"/>
  <c r="M36"/>
  <c r="M35"/>
  <c r="M34"/>
  <c r="M33"/>
  <c r="M32"/>
  <c r="M24"/>
  <c r="I24"/>
  <c r="M23"/>
  <c r="I23"/>
  <c r="M22"/>
  <c r="M21"/>
  <c r="M20"/>
  <c r="M19"/>
  <c r="J19"/>
  <c r="M18"/>
  <c r="M17"/>
  <c r="J17"/>
  <c r="M16"/>
  <c r="J15"/>
  <c r="M14"/>
  <c r="J13"/>
  <c r="G20" i="139"/>
  <c r="M20" s="1"/>
  <c r="G19"/>
  <c r="G18"/>
  <c r="M18" s="1"/>
  <c r="G17"/>
  <c r="G16"/>
  <c r="G15"/>
  <c r="G14"/>
  <c r="M14" s="1"/>
  <c r="G13"/>
  <c r="F24"/>
  <c r="E24"/>
  <c r="D24"/>
  <c r="C24"/>
  <c r="F23"/>
  <c r="E23"/>
  <c r="D23"/>
  <c r="C23"/>
  <c r="F22"/>
  <c r="E22"/>
  <c r="D22"/>
  <c r="C22"/>
  <c r="F21"/>
  <c r="E21"/>
  <c r="D21"/>
  <c r="C21"/>
  <c r="F20"/>
  <c r="E20"/>
  <c r="D20"/>
  <c r="C20"/>
  <c r="F19"/>
  <c r="E19"/>
  <c r="D19"/>
  <c r="C19"/>
  <c r="F18"/>
  <c r="E18"/>
  <c r="D18"/>
  <c r="C18"/>
  <c r="F17"/>
  <c r="E17"/>
  <c r="D17"/>
  <c r="C17"/>
  <c r="F16"/>
  <c r="E16"/>
  <c r="D16"/>
  <c r="C16"/>
  <c r="F15"/>
  <c r="E15"/>
  <c r="D15"/>
  <c r="C15"/>
  <c r="F14"/>
  <c r="E14"/>
  <c r="D14"/>
  <c r="C14"/>
  <c r="F13"/>
  <c r="E13"/>
  <c r="D13"/>
  <c r="C13"/>
  <c r="M41"/>
  <c r="M40"/>
  <c r="M39"/>
  <c r="M38"/>
  <c r="M36"/>
  <c r="M35"/>
  <c r="M34"/>
  <c r="M33"/>
  <c r="M32"/>
  <c r="M24"/>
  <c r="I24"/>
  <c r="M23"/>
  <c r="I23"/>
  <c r="M22"/>
  <c r="M21"/>
  <c r="H19"/>
  <c r="M16"/>
  <c r="G20" i="64"/>
  <c r="G19"/>
  <c r="G18"/>
  <c r="G17"/>
  <c r="G16"/>
  <c r="G15"/>
  <c r="G14"/>
  <c r="G13"/>
  <c r="G25" s="1"/>
  <c r="F24"/>
  <c r="E24"/>
  <c r="D24"/>
  <c r="C24"/>
  <c r="F23"/>
  <c r="E23"/>
  <c r="D23"/>
  <c r="C23"/>
  <c r="F22"/>
  <c r="E22"/>
  <c r="D22"/>
  <c r="C22"/>
  <c r="F21"/>
  <c r="H21" s="1"/>
  <c r="E21"/>
  <c r="D21"/>
  <c r="C21"/>
  <c r="F20"/>
  <c r="H20" s="1"/>
  <c r="E20"/>
  <c r="D20"/>
  <c r="C20"/>
  <c r="F19"/>
  <c r="E19"/>
  <c r="D19"/>
  <c r="C19"/>
  <c r="F18"/>
  <c r="E18"/>
  <c r="D18"/>
  <c r="C18"/>
  <c r="F17"/>
  <c r="E17"/>
  <c r="D17"/>
  <c r="C17"/>
  <c r="F16"/>
  <c r="E16"/>
  <c r="D16"/>
  <c r="C16"/>
  <c r="F15"/>
  <c r="E15"/>
  <c r="D15"/>
  <c r="C15"/>
  <c r="F14"/>
  <c r="E14"/>
  <c r="D14"/>
  <c r="C14"/>
  <c r="F13"/>
  <c r="E13"/>
  <c r="D13"/>
  <c r="C13"/>
  <c r="B33" i="132"/>
  <c r="H33"/>
  <c r="G33"/>
  <c r="H32"/>
  <c r="G32"/>
  <c r="H31"/>
  <c r="G31"/>
  <c r="H30"/>
  <c r="G30"/>
  <c r="H29"/>
  <c r="G29"/>
  <c r="H28"/>
  <c r="G28"/>
  <c r="H27"/>
  <c r="G27"/>
  <c r="H26"/>
  <c r="G26"/>
  <c r="H25"/>
  <c r="G25"/>
  <c r="H24"/>
  <c r="G24"/>
  <c r="H23"/>
  <c r="G23"/>
  <c r="H22"/>
  <c r="G22"/>
  <c r="H21"/>
  <c r="G21"/>
  <c r="H20"/>
  <c r="G20"/>
  <c r="H19"/>
  <c r="G19"/>
  <c r="H18"/>
  <c r="G18"/>
  <c r="H17"/>
  <c r="G17"/>
  <c r="H16"/>
  <c r="G16"/>
  <c r="H15"/>
  <c r="G15"/>
  <c r="H14"/>
  <c r="G14"/>
  <c r="D33"/>
  <c r="D32"/>
  <c r="D31"/>
  <c r="D30"/>
  <c r="D29"/>
  <c r="D28"/>
  <c r="D27"/>
  <c r="D26"/>
  <c r="D25"/>
  <c r="D24"/>
  <c r="D23"/>
  <c r="D22"/>
  <c r="D21"/>
  <c r="D20"/>
  <c r="D19"/>
  <c r="D18"/>
  <c r="D17"/>
  <c r="D16"/>
  <c r="D15"/>
  <c r="D14"/>
  <c r="C33"/>
  <c r="C32"/>
  <c r="C31"/>
  <c r="C30"/>
  <c r="C29"/>
  <c r="C28"/>
  <c r="C27"/>
  <c r="C26"/>
  <c r="C25"/>
  <c r="C24"/>
  <c r="C23"/>
  <c r="C22"/>
  <c r="C21"/>
  <c r="C20"/>
  <c r="C19"/>
  <c r="C18"/>
  <c r="C17"/>
  <c r="C16"/>
  <c r="C15"/>
  <c r="C14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4"/>
  <c r="H46" i="138"/>
  <c r="G46"/>
  <c r="H45"/>
  <c r="G45"/>
  <c r="H44"/>
  <c r="G44"/>
  <c r="H43"/>
  <c r="G43"/>
  <c r="H42"/>
  <c r="G42"/>
  <c r="H41"/>
  <c r="G41"/>
  <c r="H40"/>
  <c r="G40"/>
  <c r="H39"/>
  <c r="G39"/>
  <c r="H38"/>
  <c r="G38"/>
  <c r="H37"/>
  <c r="G37"/>
  <c r="H36"/>
  <c r="G36"/>
  <c r="H35"/>
  <c r="G35"/>
  <c r="H34"/>
  <c r="G34"/>
  <c r="H33"/>
  <c r="G33"/>
  <c r="H32"/>
  <c r="I32" s="1"/>
  <c r="G32"/>
  <c r="H31"/>
  <c r="G31"/>
  <c r="H30"/>
  <c r="G30"/>
  <c r="H29"/>
  <c r="I29" s="1"/>
  <c r="G29"/>
  <c r="H28"/>
  <c r="G28"/>
  <c r="H27"/>
  <c r="G27"/>
  <c r="H26"/>
  <c r="G26"/>
  <c r="H25"/>
  <c r="G25"/>
  <c r="H24"/>
  <c r="G24"/>
  <c r="H23"/>
  <c r="G23"/>
  <c r="H22"/>
  <c r="G22"/>
  <c r="H21"/>
  <c r="G21"/>
  <c r="H20"/>
  <c r="I20" s="1"/>
  <c r="G20"/>
  <c r="H19"/>
  <c r="G19"/>
  <c r="H18"/>
  <c r="G18"/>
  <c r="H17"/>
  <c r="I17" s="1"/>
  <c r="G17"/>
  <c r="H16"/>
  <c r="G16"/>
  <c r="H15"/>
  <c r="G15"/>
  <c r="H14"/>
  <c r="G14"/>
  <c r="D46"/>
  <c r="E46" s="1"/>
  <c r="C46"/>
  <c r="B46"/>
  <c r="D45"/>
  <c r="C45"/>
  <c r="B45"/>
  <c r="D44"/>
  <c r="C44"/>
  <c r="B44"/>
  <c r="D43"/>
  <c r="C43"/>
  <c r="B43"/>
  <c r="D42"/>
  <c r="C42"/>
  <c r="B42"/>
  <c r="D41"/>
  <c r="C41"/>
  <c r="B41"/>
  <c r="D40"/>
  <c r="C40"/>
  <c r="B40"/>
  <c r="D39"/>
  <c r="C39"/>
  <c r="B39"/>
  <c r="D38"/>
  <c r="C38"/>
  <c r="B38"/>
  <c r="D37"/>
  <c r="C37"/>
  <c r="E37" s="1"/>
  <c r="B37"/>
  <c r="D36"/>
  <c r="C36"/>
  <c r="B36"/>
  <c r="D35"/>
  <c r="C35"/>
  <c r="B35"/>
  <c r="D34"/>
  <c r="C34"/>
  <c r="B34"/>
  <c r="D33"/>
  <c r="C33"/>
  <c r="E33" s="1"/>
  <c r="B33"/>
  <c r="D32"/>
  <c r="C32"/>
  <c r="B32"/>
  <c r="D31"/>
  <c r="C31"/>
  <c r="B31"/>
  <c r="D30"/>
  <c r="C30"/>
  <c r="B30"/>
  <c r="D29"/>
  <c r="C29"/>
  <c r="B29"/>
  <c r="D28"/>
  <c r="E28" s="1"/>
  <c r="C28"/>
  <c r="B28"/>
  <c r="D27"/>
  <c r="C27"/>
  <c r="B27"/>
  <c r="D26"/>
  <c r="C26"/>
  <c r="B26"/>
  <c r="D25"/>
  <c r="C25"/>
  <c r="B25"/>
  <c r="D24"/>
  <c r="C24"/>
  <c r="B24"/>
  <c r="D23"/>
  <c r="C23"/>
  <c r="B23"/>
  <c r="D22"/>
  <c r="E22" s="1"/>
  <c r="C22"/>
  <c r="B22"/>
  <c r="D21"/>
  <c r="C21"/>
  <c r="B21"/>
  <c r="D20"/>
  <c r="C20"/>
  <c r="B20"/>
  <c r="D19"/>
  <c r="C19"/>
  <c r="B19"/>
  <c r="D18"/>
  <c r="C18"/>
  <c r="B18"/>
  <c r="D17"/>
  <c r="C17"/>
  <c r="E17" s="1"/>
  <c r="B17"/>
  <c r="D16"/>
  <c r="C16"/>
  <c r="B16"/>
  <c r="D15"/>
  <c r="C15"/>
  <c r="B15"/>
  <c r="D14"/>
  <c r="C14"/>
  <c r="B14"/>
  <c r="E44"/>
  <c r="I41"/>
  <c r="I36"/>
  <c r="E35"/>
  <c r="I33"/>
  <c r="E31"/>
  <c r="I24"/>
  <c r="E24"/>
  <c r="I23"/>
  <c r="E19"/>
  <c r="I16"/>
  <c r="H48" i="107"/>
  <c r="G48"/>
  <c r="H47"/>
  <c r="G47"/>
  <c r="H46"/>
  <c r="G46"/>
  <c r="H45"/>
  <c r="G45"/>
  <c r="H44"/>
  <c r="G44"/>
  <c r="H43"/>
  <c r="G43"/>
  <c r="H42"/>
  <c r="G42"/>
  <c r="H41"/>
  <c r="G41"/>
  <c r="H40"/>
  <c r="G40"/>
  <c r="H39"/>
  <c r="G39"/>
  <c r="H38"/>
  <c r="G38"/>
  <c r="H37"/>
  <c r="G37"/>
  <c r="H36"/>
  <c r="G36"/>
  <c r="H35"/>
  <c r="G35"/>
  <c r="H34"/>
  <c r="G34"/>
  <c r="H33"/>
  <c r="G33"/>
  <c r="H32"/>
  <c r="G32"/>
  <c r="H31"/>
  <c r="G31"/>
  <c r="H30"/>
  <c r="G30"/>
  <c r="H29"/>
  <c r="G29"/>
  <c r="H28"/>
  <c r="G28"/>
  <c r="H27"/>
  <c r="G27"/>
  <c r="H26"/>
  <c r="G26"/>
  <c r="H25"/>
  <c r="G25"/>
  <c r="H24"/>
  <c r="G24"/>
  <c r="H23"/>
  <c r="G23"/>
  <c r="H22"/>
  <c r="G22"/>
  <c r="H21"/>
  <c r="G21"/>
  <c r="H20"/>
  <c r="G20"/>
  <c r="H19"/>
  <c r="G19"/>
  <c r="H18"/>
  <c r="G18"/>
  <c r="H17"/>
  <c r="G17"/>
  <c r="H16"/>
  <c r="G16"/>
  <c r="H15"/>
  <c r="G15"/>
  <c r="H14"/>
  <c r="G14"/>
  <c r="D48"/>
  <c r="C48"/>
  <c r="D47"/>
  <c r="C47"/>
  <c r="D46"/>
  <c r="C46"/>
  <c r="D45"/>
  <c r="C45"/>
  <c r="D44"/>
  <c r="C44"/>
  <c r="D43"/>
  <c r="C43"/>
  <c r="D42"/>
  <c r="C42"/>
  <c r="D41"/>
  <c r="C41"/>
  <c r="D40"/>
  <c r="C40"/>
  <c r="D39"/>
  <c r="C39"/>
  <c r="D38"/>
  <c r="C38"/>
  <c r="D37"/>
  <c r="C37"/>
  <c r="D36"/>
  <c r="C36"/>
  <c r="D35"/>
  <c r="C35"/>
  <c r="D34"/>
  <c r="C34"/>
  <c r="D33"/>
  <c r="C33"/>
  <c r="D32"/>
  <c r="C32"/>
  <c r="D31"/>
  <c r="C31"/>
  <c r="D30"/>
  <c r="C30"/>
  <c r="D29"/>
  <c r="C29"/>
  <c r="D28"/>
  <c r="C28"/>
  <c r="D27"/>
  <c r="C27"/>
  <c r="D26"/>
  <c r="C26"/>
  <c r="D25"/>
  <c r="C25"/>
  <c r="D24"/>
  <c r="C24"/>
  <c r="D23"/>
  <c r="C23"/>
  <c r="D22"/>
  <c r="C22"/>
  <c r="D21"/>
  <c r="C21"/>
  <c r="D20"/>
  <c r="C20"/>
  <c r="D19"/>
  <c r="C19"/>
  <c r="D18"/>
  <c r="C18"/>
  <c r="D17"/>
  <c r="C17"/>
  <c r="D16"/>
  <c r="C16"/>
  <c r="D15"/>
  <c r="C15"/>
  <c r="D14"/>
  <c r="C14"/>
  <c r="B48"/>
  <c r="B47"/>
  <c r="B46"/>
  <c r="B45"/>
  <c r="B44"/>
  <c r="B43"/>
  <c r="B42"/>
  <c r="B41"/>
  <c r="B40"/>
  <c r="B39"/>
  <c r="B38"/>
  <c r="B37"/>
  <c r="B36"/>
  <c r="B35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4"/>
  <c r="I46"/>
  <c r="H44" i="130"/>
  <c r="G44"/>
  <c r="H43"/>
  <c r="G43"/>
  <c r="H42"/>
  <c r="G42"/>
  <c r="D44"/>
  <c r="C44"/>
  <c r="D43"/>
  <c r="C43"/>
  <c r="D42"/>
  <c r="C42"/>
  <c r="B44"/>
  <c r="B43"/>
  <c r="B42"/>
  <c r="H41"/>
  <c r="G41"/>
  <c r="H40"/>
  <c r="G40"/>
  <c r="H39"/>
  <c r="G39"/>
  <c r="H38"/>
  <c r="G38"/>
  <c r="H37"/>
  <c r="G37"/>
  <c r="H36"/>
  <c r="G36"/>
  <c r="H35"/>
  <c r="G35"/>
  <c r="H34"/>
  <c r="G34"/>
  <c r="H33"/>
  <c r="G33"/>
  <c r="H32"/>
  <c r="G32"/>
  <c r="H31"/>
  <c r="G31"/>
  <c r="D41"/>
  <c r="C41"/>
  <c r="D40"/>
  <c r="C40"/>
  <c r="D39"/>
  <c r="C39"/>
  <c r="D38"/>
  <c r="C38"/>
  <c r="D37"/>
  <c r="C37"/>
  <c r="D36"/>
  <c r="C36"/>
  <c r="D35"/>
  <c r="C35"/>
  <c r="D34"/>
  <c r="C34"/>
  <c r="D33"/>
  <c r="C33"/>
  <c r="D32"/>
  <c r="C32"/>
  <c r="D31"/>
  <c r="C31"/>
  <c r="B31"/>
  <c r="B41"/>
  <c r="B40"/>
  <c r="B39"/>
  <c r="B38"/>
  <c r="B37"/>
  <c r="B36"/>
  <c r="B35"/>
  <c r="B34"/>
  <c r="B33"/>
  <c r="B32"/>
  <c r="H29"/>
  <c r="G29"/>
  <c r="H28"/>
  <c r="G28"/>
  <c r="D29"/>
  <c r="C29"/>
  <c r="D28"/>
  <c r="C28"/>
  <c r="B29"/>
  <c r="B28"/>
  <c r="H27"/>
  <c r="G27"/>
  <c r="H26"/>
  <c r="G26"/>
  <c r="H25"/>
  <c r="G25"/>
  <c r="H24"/>
  <c r="G24"/>
  <c r="H23"/>
  <c r="G23"/>
  <c r="H22"/>
  <c r="G22"/>
  <c r="H21"/>
  <c r="G21"/>
  <c r="H20"/>
  <c r="G20"/>
  <c r="D27"/>
  <c r="C27"/>
  <c r="D26"/>
  <c r="C26"/>
  <c r="D25"/>
  <c r="C25"/>
  <c r="D24"/>
  <c r="C24"/>
  <c r="D23"/>
  <c r="C23"/>
  <c r="D22"/>
  <c r="C22"/>
  <c r="D21"/>
  <c r="C21"/>
  <c r="D20"/>
  <c r="C20"/>
  <c r="B20"/>
  <c r="B27"/>
  <c r="B26"/>
  <c r="B25"/>
  <c r="B24"/>
  <c r="B23"/>
  <c r="B22"/>
  <c r="B21"/>
  <c r="H18"/>
  <c r="G18"/>
  <c r="H17"/>
  <c r="G17"/>
  <c r="H16"/>
  <c r="G16"/>
  <c r="D18"/>
  <c r="C18"/>
  <c r="D17"/>
  <c r="C17"/>
  <c r="D16"/>
  <c r="C16"/>
  <c r="B16"/>
  <c r="B18"/>
  <c r="B17"/>
  <c r="I43"/>
  <c r="I44"/>
  <c r="E43"/>
  <c r="E44"/>
  <c r="H27" i="19"/>
  <c r="G27"/>
  <c r="D27"/>
  <c r="C27"/>
  <c r="H26"/>
  <c r="G26"/>
  <c r="D26"/>
  <c r="C26"/>
  <c r="H25"/>
  <c r="G25"/>
  <c r="D25"/>
  <c r="C25"/>
  <c r="H44" i="129"/>
  <c r="I44" s="1"/>
  <c r="G44"/>
  <c r="H43"/>
  <c r="I43" s="1"/>
  <c r="G43"/>
  <c r="H42"/>
  <c r="G42"/>
  <c r="D44"/>
  <c r="E44" s="1"/>
  <c r="C44"/>
  <c r="D43"/>
  <c r="E43" s="1"/>
  <c r="C43"/>
  <c r="D42"/>
  <c r="C42"/>
  <c r="B44"/>
  <c r="B43"/>
  <c r="B42"/>
  <c r="H41"/>
  <c r="G41"/>
  <c r="H40"/>
  <c r="G40"/>
  <c r="H39"/>
  <c r="G39"/>
  <c r="H38"/>
  <c r="G38"/>
  <c r="H37"/>
  <c r="G37"/>
  <c r="H36"/>
  <c r="G36"/>
  <c r="H35"/>
  <c r="G35"/>
  <c r="H34"/>
  <c r="G34"/>
  <c r="H33"/>
  <c r="G33"/>
  <c r="H32"/>
  <c r="G32"/>
  <c r="H31"/>
  <c r="G31"/>
  <c r="D41"/>
  <c r="C41"/>
  <c r="D40"/>
  <c r="C40"/>
  <c r="D39"/>
  <c r="C39"/>
  <c r="D38"/>
  <c r="C38"/>
  <c r="D37"/>
  <c r="C37"/>
  <c r="D36"/>
  <c r="C36"/>
  <c r="D35"/>
  <c r="C35"/>
  <c r="D34"/>
  <c r="C34"/>
  <c r="D33"/>
  <c r="C33"/>
  <c r="D32"/>
  <c r="C32"/>
  <c r="D31"/>
  <c r="C31"/>
  <c r="B31"/>
  <c r="B41"/>
  <c r="B40"/>
  <c r="B39"/>
  <c r="B38"/>
  <c r="B37"/>
  <c r="B36"/>
  <c r="B35"/>
  <c r="B34"/>
  <c r="B33"/>
  <c r="B32"/>
  <c r="H29"/>
  <c r="G29"/>
  <c r="H28"/>
  <c r="G28"/>
  <c r="D29"/>
  <c r="C29"/>
  <c r="D28"/>
  <c r="C28"/>
  <c r="B29"/>
  <c r="B28"/>
  <c r="H27"/>
  <c r="G27"/>
  <c r="H26"/>
  <c r="G26"/>
  <c r="H25"/>
  <c r="G25"/>
  <c r="H24"/>
  <c r="G24"/>
  <c r="H23"/>
  <c r="G23"/>
  <c r="H22"/>
  <c r="G22"/>
  <c r="H21"/>
  <c r="G21"/>
  <c r="H20"/>
  <c r="G20"/>
  <c r="D27"/>
  <c r="C27"/>
  <c r="D26"/>
  <c r="C26"/>
  <c r="D25"/>
  <c r="C25"/>
  <c r="D24"/>
  <c r="C24"/>
  <c r="D23"/>
  <c r="C23"/>
  <c r="D22"/>
  <c r="C22"/>
  <c r="D21"/>
  <c r="C21"/>
  <c r="D20"/>
  <c r="C20"/>
  <c r="C19" s="1"/>
  <c r="B20"/>
  <c r="B27"/>
  <c r="B26"/>
  <c r="B25"/>
  <c r="B24"/>
  <c r="B23"/>
  <c r="B22"/>
  <c r="B21"/>
  <c r="H18"/>
  <c r="G18"/>
  <c r="H17"/>
  <c r="G17"/>
  <c r="H16"/>
  <c r="G16"/>
  <c r="D18"/>
  <c r="C18"/>
  <c r="D17"/>
  <c r="C17"/>
  <c r="D16"/>
  <c r="C16"/>
  <c r="B16"/>
  <c r="B18"/>
  <c r="B17"/>
  <c r="H44" i="128"/>
  <c r="I44" s="1"/>
  <c r="G44"/>
  <c r="H43"/>
  <c r="I43" s="1"/>
  <c r="G43"/>
  <c r="H42"/>
  <c r="G42"/>
  <c r="D44"/>
  <c r="E44" s="1"/>
  <c r="C44"/>
  <c r="D43"/>
  <c r="E43" s="1"/>
  <c r="C43"/>
  <c r="D42"/>
  <c r="C42"/>
  <c r="B44"/>
  <c r="B43"/>
  <c r="B42"/>
  <c r="H41"/>
  <c r="G41"/>
  <c r="H40"/>
  <c r="G40"/>
  <c r="H39"/>
  <c r="G39"/>
  <c r="H38"/>
  <c r="G38"/>
  <c r="H37"/>
  <c r="G37"/>
  <c r="H36"/>
  <c r="G36"/>
  <c r="H35"/>
  <c r="G35"/>
  <c r="H34"/>
  <c r="G34"/>
  <c r="H33"/>
  <c r="G33"/>
  <c r="H32"/>
  <c r="G32"/>
  <c r="D41"/>
  <c r="C41"/>
  <c r="D40"/>
  <c r="C40"/>
  <c r="D39"/>
  <c r="C39"/>
  <c r="D38"/>
  <c r="C38"/>
  <c r="D37"/>
  <c r="C37"/>
  <c r="D36"/>
  <c r="C36"/>
  <c r="D35"/>
  <c r="C35"/>
  <c r="D34"/>
  <c r="C34"/>
  <c r="D33"/>
  <c r="C33"/>
  <c r="D32"/>
  <c r="B32"/>
  <c r="B41"/>
  <c r="B40"/>
  <c r="B39"/>
  <c r="B38"/>
  <c r="B37"/>
  <c r="B36"/>
  <c r="B35"/>
  <c r="B34"/>
  <c r="B33"/>
  <c r="H29"/>
  <c r="G29"/>
  <c r="H28"/>
  <c r="G28"/>
  <c r="D29"/>
  <c r="C29"/>
  <c r="D28"/>
  <c r="C28"/>
  <c r="B29"/>
  <c r="B28"/>
  <c r="H27"/>
  <c r="G27"/>
  <c r="H26"/>
  <c r="G26"/>
  <c r="H25"/>
  <c r="G25"/>
  <c r="H24"/>
  <c r="G24"/>
  <c r="H23"/>
  <c r="G23"/>
  <c r="H22"/>
  <c r="G22"/>
  <c r="H21"/>
  <c r="G21"/>
  <c r="H20"/>
  <c r="G20"/>
  <c r="D27"/>
  <c r="C27"/>
  <c r="D26"/>
  <c r="C26"/>
  <c r="D25"/>
  <c r="C25"/>
  <c r="D24"/>
  <c r="C24"/>
  <c r="D23"/>
  <c r="C23"/>
  <c r="D22"/>
  <c r="C22"/>
  <c r="D21"/>
  <c r="C21"/>
  <c r="D20"/>
  <c r="C20"/>
  <c r="B20"/>
  <c r="B27"/>
  <c r="B26"/>
  <c r="B25"/>
  <c r="B24"/>
  <c r="B23"/>
  <c r="B22"/>
  <c r="B21"/>
  <c r="H18"/>
  <c r="G18"/>
  <c r="H17"/>
  <c r="G17"/>
  <c r="H16"/>
  <c r="G16"/>
  <c r="D18"/>
  <c r="C18"/>
  <c r="D17"/>
  <c r="C17"/>
  <c r="D16"/>
  <c r="C16"/>
  <c r="B16"/>
  <c r="B18"/>
  <c r="B17"/>
  <c r="H44" i="125"/>
  <c r="I44" s="1"/>
  <c r="G44"/>
  <c r="H43"/>
  <c r="I43" s="1"/>
  <c r="G43"/>
  <c r="H42"/>
  <c r="I42" s="1"/>
  <c r="G42"/>
  <c r="D44"/>
  <c r="C44"/>
  <c r="D43"/>
  <c r="C43"/>
  <c r="D42"/>
  <c r="C42"/>
  <c r="B44"/>
  <c r="B43"/>
  <c r="B42"/>
  <c r="H41"/>
  <c r="G41"/>
  <c r="H40"/>
  <c r="G40"/>
  <c r="H39"/>
  <c r="G39"/>
  <c r="H38"/>
  <c r="G38"/>
  <c r="H37"/>
  <c r="G37"/>
  <c r="H36"/>
  <c r="G36"/>
  <c r="H35"/>
  <c r="G35"/>
  <c r="H34"/>
  <c r="G34"/>
  <c r="H33"/>
  <c r="G33"/>
  <c r="H32"/>
  <c r="G32"/>
  <c r="H31"/>
  <c r="G31"/>
  <c r="D41"/>
  <c r="C41"/>
  <c r="D40"/>
  <c r="C40"/>
  <c r="D39"/>
  <c r="C39"/>
  <c r="D38"/>
  <c r="C38"/>
  <c r="D37"/>
  <c r="C37"/>
  <c r="D36"/>
  <c r="C36"/>
  <c r="D35"/>
  <c r="C35"/>
  <c r="D34"/>
  <c r="C34"/>
  <c r="D33"/>
  <c r="C33"/>
  <c r="D32"/>
  <c r="C32"/>
  <c r="D31"/>
  <c r="C31"/>
  <c r="B31"/>
  <c r="B41"/>
  <c r="B40"/>
  <c r="B39"/>
  <c r="B38"/>
  <c r="B37"/>
  <c r="B36"/>
  <c r="B35"/>
  <c r="B34"/>
  <c r="B33"/>
  <c r="B32"/>
  <c r="H29"/>
  <c r="G29"/>
  <c r="H28"/>
  <c r="G28"/>
  <c r="D29"/>
  <c r="C29"/>
  <c r="D28"/>
  <c r="C28"/>
  <c r="B29"/>
  <c r="B28"/>
  <c r="H27"/>
  <c r="G27"/>
  <c r="H26"/>
  <c r="G26"/>
  <c r="H25"/>
  <c r="G25"/>
  <c r="H24"/>
  <c r="G24"/>
  <c r="H23"/>
  <c r="G23"/>
  <c r="H22"/>
  <c r="G22"/>
  <c r="H21"/>
  <c r="G21"/>
  <c r="H20"/>
  <c r="G20"/>
  <c r="D27"/>
  <c r="C27"/>
  <c r="D26"/>
  <c r="C26"/>
  <c r="D25"/>
  <c r="C25"/>
  <c r="D24"/>
  <c r="C24"/>
  <c r="D23"/>
  <c r="C23"/>
  <c r="D22"/>
  <c r="C22"/>
  <c r="D21"/>
  <c r="C21"/>
  <c r="D20"/>
  <c r="C20"/>
  <c r="B20"/>
  <c r="B27"/>
  <c r="B26"/>
  <c r="B25"/>
  <c r="B24"/>
  <c r="B23"/>
  <c r="B22"/>
  <c r="B21"/>
  <c r="H18"/>
  <c r="G18"/>
  <c r="H17"/>
  <c r="G17"/>
  <c r="H16"/>
  <c r="G16"/>
  <c r="D18"/>
  <c r="C18"/>
  <c r="D17"/>
  <c r="C17"/>
  <c r="D16"/>
  <c r="C16"/>
  <c r="B16"/>
  <c r="B18"/>
  <c r="B17"/>
  <c r="E43"/>
  <c r="E44"/>
  <c r="H44" i="126"/>
  <c r="G44"/>
  <c r="H43"/>
  <c r="G43"/>
  <c r="H42"/>
  <c r="G42"/>
  <c r="D44"/>
  <c r="C44"/>
  <c r="D43"/>
  <c r="C43"/>
  <c r="D42"/>
  <c r="C42"/>
  <c r="B44"/>
  <c r="B43"/>
  <c r="B42"/>
  <c r="H41"/>
  <c r="G41"/>
  <c r="H40"/>
  <c r="G40"/>
  <c r="H39"/>
  <c r="G39"/>
  <c r="H38"/>
  <c r="G38"/>
  <c r="H37"/>
  <c r="G37"/>
  <c r="H36"/>
  <c r="G36"/>
  <c r="H35"/>
  <c r="G35"/>
  <c r="H34"/>
  <c r="G34"/>
  <c r="H33"/>
  <c r="G33"/>
  <c r="H32"/>
  <c r="G32"/>
  <c r="H31"/>
  <c r="G31"/>
  <c r="D41"/>
  <c r="C41"/>
  <c r="D40"/>
  <c r="C40"/>
  <c r="D39"/>
  <c r="C39"/>
  <c r="D38"/>
  <c r="C38"/>
  <c r="D37"/>
  <c r="C37"/>
  <c r="D36"/>
  <c r="C36"/>
  <c r="D35"/>
  <c r="C35"/>
  <c r="D34"/>
  <c r="C34"/>
  <c r="D33"/>
  <c r="C33"/>
  <c r="D32"/>
  <c r="C32"/>
  <c r="D31"/>
  <c r="C31"/>
  <c r="B31"/>
  <c r="I41"/>
  <c r="E41"/>
  <c r="E42"/>
  <c r="B41"/>
  <c r="B40"/>
  <c r="B39"/>
  <c r="B38"/>
  <c r="B37"/>
  <c r="B36"/>
  <c r="B35"/>
  <c r="B34"/>
  <c r="B33"/>
  <c r="B32"/>
  <c r="H29"/>
  <c r="G29"/>
  <c r="H28"/>
  <c r="G28"/>
  <c r="D29"/>
  <c r="C29"/>
  <c r="D28"/>
  <c r="C28"/>
  <c r="B29"/>
  <c r="B28"/>
  <c r="H27"/>
  <c r="G27"/>
  <c r="H26"/>
  <c r="G26"/>
  <c r="H25"/>
  <c r="G25"/>
  <c r="H24"/>
  <c r="G24"/>
  <c r="H23"/>
  <c r="G23"/>
  <c r="H22"/>
  <c r="G22"/>
  <c r="H21"/>
  <c r="G21"/>
  <c r="H20"/>
  <c r="G20"/>
  <c r="D27"/>
  <c r="C27"/>
  <c r="D26"/>
  <c r="C26"/>
  <c r="D25"/>
  <c r="C25"/>
  <c r="D24"/>
  <c r="C24"/>
  <c r="D23"/>
  <c r="C23"/>
  <c r="D22"/>
  <c r="C22"/>
  <c r="D21"/>
  <c r="C21"/>
  <c r="D20"/>
  <c r="C20"/>
  <c r="B20"/>
  <c r="B27"/>
  <c r="B26"/>
  <c r="B25"/>
  <c r="B24"/>
  <c r="B23"/>
  <c r="B22"/>
  <c r="B21"/>
  <c r="H18"/>
  <c r="G18"/>
  <c r="H17"/>
  <c r="G17"/>
  <c r="H16"/>
  <c r="G16"/>
  <c r="D18"/>
  <c r="C18"/>
  <c r="D17"/>
  <c r="C17"/>
  <c r="D16"/>
  <c r="C16"/>
  <c r="B16"/>
  <c r="B18"/>
  <c r="B17"/>
  <c r="I43"/>
  <c r="I44"/>
  <c r="E44"/>
  <c r="H44" i="124"/>
  <c r="G44"/>
  <c r="H43"/>
  <c r="G43"/>
  <c r="H42"/>
  <c r="G42"/>
  <c r="D44"/>
  <c r="C44"/>
  <c r="D43"/>
  <c r="C43"/>
  <c r="D42"/>
  <c r="C42"/>
  <c r="B44"/>
  <c r="B43"/>
  <c r="B42"/>
  <c r="H41"/>
  <c r="G41"/>
  <c r="H40"/>
  <c r="G40"/>
  <c r="H39"/>
  <c r="G39"/>
  <c r="H38"/>
  <c r="G38"/>
  <c r="H37"/>
  <c r="G37"/>
  <c r="H36"/>
  <c r="G36"/>
  <c r="H35"/>
  <c r="G35"/>
  <c r="H34"/>
  <c r="G34"/>
  <c r="H33"/>
  <c r="G33"/>
  <c r="H32"/>
  <c r="G32"/>
  <c r="H31"/>
  <c r="G31"/>
  <c r="D41"/>
  <c r="C41"/>
  <c r="D40"/>
  <c r="C40"/>
  <c r="D39"/>
  <c r="C39"/>
  <c r="D38"/>
  <c r="C38"/>
  <c r="D37"/>
  <c r="C37"/>
  <c r="D36"/>
  <c r="C36"/>
  <c r="D35"/>
  <c r="C35"/>
  <c r="D34"/>
  <c r="C34"/>
  <c r="D33"/>
  <c r="C33"/>
  <c r="D32"/>
  <c r="C32"/>
  <c r="D31"/>
  <c r="C31"/>
  <c r="B31"/>
  <c r="B41"/>
  <c r="B40"/>
  <c r="B39"/>
  <c r="B38"/>
  <c r="B37"/>
  <c r="B36"/>
  <c r="B35"/>
  <c r="B34"/>
  <c r="B33"/>
  <c r="B32"/>
  <c r="H29"/>
  <c r="G29"/>
  <c r="H28"/>
  <c r="G28"/>
  <c r="D29"/>
  <c r="C29"/>
  <c r="D28"/>
  <c r="C28"/>
  <c r="B29"/>
  <c r="B28"/>
  <c r="H27"/>
  <c r="G27"/>
  <c r="H26"/>
  <c r="G26"/>
  <c r="H25"/>
  <c r="G25"/>
  <c r="H24"/>
  <c r="G24"/>
  <c r="H23"/>
  <c r="G23"/>
  <c r="H22"/>
  <c r="G22"/>
  <c r="H21"/>
  <c r="G21"/>
  <c r="H20"/>
  <c r="G20"/>
  <c r="D27"/>
  <c r="C27"/>
  <c r="D26"/>
  <c r="C26"/>
  <c r="D25"/>
  <c r="C25"/>
  <c r="D24"/>
  <c r="C24"/>
  <c r="D23"/>
  <c r="C23"/>
  <c r="D22"/>
  <c r="C22"/>
  <c r="D21"/>
  <c r="C21"/>
  <c r="D20"/>
  <c r="C20"/>
  <c r="B20"/>
  <c r="I27"/>
  <c r="E27"/>
  <c r="B27"/>
  <c r="B26"/>
  <c r="B25"/>
  <c r="B24"/>
  <c r="B23"/>
  <c r="B22"/>
  <c r="B21"/>
  <c r="H18"/>
  <c r="G18"/>
  <c r="H17"/>
  <c r="G17"/>
  <c r="H16"/>
  <c r="G16"/>
  <c r="D18"/>
  <c r="C18"/>
  <c r="D17"/>
  <c r="C17"/>
  <c r="D16"/>
  <c r="C16"/>
  <c r="B16"/>
  <c r="B18"/>
  <c r="B17"/>
  <c r="I43"/>
  <c r="I44"/>
  <c r="E43"/>
  <c r="E44"/>
  <c r="H44" i="120"/>
  <c r="G44"/>
  <c r="H43"/>
  <c r="G43"/>
  <c r="I43" s="1"/>
  <c r="H42"/>
  <c r="G42"/>
  <c r="I44"/>
  <c r="D44"/>
  <c r="C44"/>
  <c r="D43"/>
  <c r="E43" s="1"/>
  <c r="C43"/>
  <c r="D42"/>
  <c r="C42"/>
  <c r="B44"/>
  <c r="B43"/>
  <c r="B42"/>
  <c r="H41"/>
  <c r="G41"/>
  <c r="H40"/>
  <c r="G40"/>
  <c r="H39"/>
  <c r="G39"/>
  <c r="H38"/>
  <c r="G38"/>
  <c r="H37"/>
  <c r="G37"/>
  <c r="H36"/>
  <c r="G36"/>
  <c r="H35"/>
  <c r="G35"/>
  <c r="H34"/>
  <c r="G34"/>
  <c r="H33"/>
  <c r="G33"/>
  <c r="H32"/>
  <c r="G32"/>
  <c r="H31"/>
  <c r="G31"/>
  <c r="D41"/>
  <c r="C41"/>
  <c r="D40"/>
  <c r="C40"/>
  <c r="D39"/>
  <c r="C39"/>
  <c r="D38"/>
  <c r="C38"/>
  <c r="D37"/>
  <c r="C37"/>
  <c r="D36"/>
  <c r="C36"/>
  <c r="D35"/>
  <c r="C35"/>
  <c r="D34"/>
  <c r="C34"/>
  <c r="D33"/>
  <c r="C33"/>
  <c r="D32"/>
  <c r="C32"/>
  <c r="D31"/>
  <c r="C31"/>
  <c r="B31"/>
  <c r="B41"/>
  <c r="B40"/>
  <c r="B39"/>
  <c r="B38"/>
  <c r="B37"/>
  <c r="B36"/>
  <c r="B35"/>
  <c r="B34"/>
  <c r="B33"/>
  <c r="B32"/>
  <c r="H29"/>
  <c r="G29"/>
  <c r="H28"/>
  <c r="G28"/>
  <c r="D29"/>
  <c r="C29"/>
  <c r="D28"/>
  <c r="C28"/>
  <c r="B29"/>
  <c r="B28"/>
  <c r="H27"/>
  <c r="G27"/>
  <c r="H26"/>
  <c r="G26"/>
  <c r="H25"/>
  <c r="G25"/>
  <c r="H24"/>
  <c r="G24"/>
  <c r="H23"/>
  <c r="G23"/>
  <c r="H22"/>
  <c r="G22"/>
  <c r="H21"/>
  <c r="G21"/>
  <c r="H20"/>
  <c r="G20"/>
  <c r="D27"/>
  <c r="C27"/>
  <c r="D26"/>
  <c r="C26"/>
  <c r="D25"/>
  <c r="C25"/>
  <c r="D24"/>
  <c r="C24"/>
  <c r="D23"/>
  <c r="C23"/>
  <c r="D22"/>
  <c r="C22"/>
  <c r="D21"/>
  <c r="C21"/>
  <c r="D20"/>
  <c r="C20"/>
  <c r="B20"/>
  <c r="B27"/>
  <c r="B26"/>
  <c r="B25"/>
  <c r="B24"/>
  <c r="B23"/>
  <c r="B22"/>
  <c r="B21"/>
  <c r="H18"/>
  <c r="G18"/>
  <c r="H17"/>
  <c r="G17"/>
  <c r="H16"/>
  <c r="G16"/>
  <c r="D18"/>
  <c r="C18"/>
  <c r="D17"/>
  <c r="C17"/>
  <c r="D16"/>
  <c r="C16"/>
  <c r="B16"/>
  <c r="B18"/>
  <c r="B17"/>
  <c r="H36" i="119"/>
  <c r="G36"/>
  <c r="H35"/>
  <c r="G35"/>
  <c r="H34"/>
  <c r="G34"/>
  <c r="H33"/>
  <c r="G33"/>
  <c r="H32"/>
  <c r="G32"/>
  <c r="H31"/>
  <c r="G31"/>
  <c r="H30"/>
  <c r="G30"/>
  <c r="H29"/>
  <c r="G29"/>
  <c r="H28"/>
  <c r="G28"/>
  <c r="H27"/>
  <c r="G27"/>
  <c r="H26"/>
  <c r="G26"/>
  <c r="H25"/>
  <c r="G25"/>
  <c r="H24"/>
  <c r="G24"/>
  <c r="H23"/>
  <c r="G23"/>
  <c r="H22"/>
  <c r="G22"/>
  <c r="H21"/>
  <c r="G21"/>
  <c r="H20"/>
  <c r="G20"/>
  <c r="H19"/>
  <c r="G19"/>
  <c r="H18"/>
  <c r="G18"/>
  <c r="H17"/>
  <c r="G17"/>
  <c r="H16"/>
  <c r="G16"/>
  <c r="D36"/>
  <c r="C36"/>
  <c r="D35"/>
  <c r="C35"/>
  <c r="D34"/>
  <c r="C34"/>
  <c r="D33"/>
  <c r="C33"/>
  <c r="D32"/>
  <c r="C32"/>
  <c r="D31"/>
  <c r="C31"/>
  <c r="D30"/>
  <c r="C30"/>
  <c r="D29"/>
  <c r="C29"/>
  <c r="D28"/>
  <c r="C28"/>
  <c r="D27"/>
  <c r="C27"/>
  <c r="D26"/>
  <c r="C26"/>
  <c r="D25"/>
  <c r="C25"/>
  <c r="D24"/>
  <c r="C24"/>
  <c r="D23"/>
  <c r="C23"/>
  <c r="D22"/>
  <c r="C22"/>
  <c r="D21"/>
  <c r="C21"/>
  <c r="D20"/>
  <c r="C20"/>
  <c r="D19"/>
  <c r="C19"/>
  <c r="D18"/>
  <c r="C18"/>
  <c r="D17"/>
  <c r="C17"/>
  <c r="D16"/>
  <c r="C16"/>
  <c r="C37" s="1"/>
  <c r="B35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H36" i="67"/>
  <c r="G36"/>
  <c r="D36"/>
  <c r="C36"/>
  <c r="H22" i="149" l="1"/>
  <c r="J22"/>
  <c r="H21" i="147"/>
  <c r="J21"/>
  <c r="H22" i="146"/>
  <c r="J22"/>
  <c r="H22" i="145"/>
  <c r="J22"/>
  <c r="H22" i="144"/>
  <c r="J22"/>
  <c r="H22" i="143"/>
  <c r="J22"/>
  <c r="H22" i="142"/>
  <c r="J22"/>
  <c r="H22" i="141"/>
  <c r="J22"/>
  <c r="H22" i="140"/>
  <c r="J22"/>
  <c r="H22" i="139"/>
  <c r="J22"/>
  <c r="H22" i="64"/>
  <c r="J22"/>
  <c r="I21" i="145"/>
  <c r="I21" i="148"/>
  <c r="I21" i="146"/>
  <c r="I21" i="149"/>
  <c r="I21" i="142"/>
  <c r="I21" i="144"/>
  <c r="I21" i="140"/>
  <c r="I21" i="141"/>
  <c r="I21" i="143"/>
  <c r="I21" i="156"/>
  <c r="I23"/>
  <c r="I25"/>
  <c r="I27"/>
  <c r="I29"/>
  <c r="I31"/>
  <c r="I33"/>
  <c r="I35"/>
  <c r="E38"/>
  <c r="I38"/>
  <c r="E39"/>
  <c r="I39"/>
  <c r="E40"/>
  <c r="I40"/>
  <c r="E41"/>
  <c r="I41"/>
  <c r="E42"/>
  <c r="I42"/>
  <c r="E43"/>
  <c r="I43"/>
  <c r="E44"/>
  <c r="I44"/>
  <c r="E45"/>
  <c r="I45"/>
  <c r="E46"/>
  <c r="I46"/>
  <c r="I47"/>
  <c r="E48"/>
  <c r="I48"/>
  <c r="E49"/>
  <c r="I49"/>
  <c r="E14"/>
  <c r="I14"/>
  <c r="E15"/>
  <c r="I15"/>
  <c r="E16"/>
  <c r="I16"/>
  <c r="E17"/>
  <c r="I17"/>
  <c r="E18"/>
  <c r="I18"/>
  <c r="E19"/>
  <c r="I19"/>
  <c r="E20"/>
  <c r="I20"/>
  <c r="E47"/>
  <c r="H21" i="149"/>
  <c r="J21"/>
  <c r="H21" i="148"/>
  <c r="J21"/>
  <c r="H21" i="146"/>
  <c r="J21"/>
  <c r="H21" i="145"/>
  <c r="J21"/>
  <c r="H21" i="144"/>
  <c r="J21"/>
  <c r="H21" i="143"/>
  <c r="J21"/>
  <c r="H21" i="142"/>
  <c r="J21"/>
  <c r="H21" i="141"/>
  <c r="J21"/>
  <c r="J21" i="140"/>
  <c r="E44" i="120"/>
  <c r="I21" i="64"/>
  <c r="I21" i="139"/>
  <c r="H13" i="70"/>
  <c r="E15" i="150"/>
  <c r="E18"/>
  <c r="E23"/>
  <c r="E27"/>
  <c r="E30"/>
  <c r="E33"/>
  <c r="E38"/>
  <c r="E41"/>
  <c r="H21" i="139"/>
  <c r="J21"/>
  <c r="J21" i="64"/>
  <c r="E46" i="107"/>
  <c r="E16" i="152"/>
  <c r="E18"/>
  <c r="E22"/>
  <c r="E27"/>
  <c r="E31"/>
  <c r="E35"/>
  <c r="E39"/>
  <c r="E43"/>
  <c r="I16"/>
  <c r="I17"/>
  <c r="I19"/>
  <c r="I22"/>
  <c r="I24"/>
  <c r="I27"/>
  <c r="I29"/>
  <c r="I35"/>
  <c r="I37"/>
  <c r="I43"/>
  <c r="E43" i="126"/>
  <c r="I37" i="138"/>
  <c r="I43"/>
  <c r="I44"/>
  <c r="E44" i="70"/>
  <c r="I44"/>
  <c r="I31" i="155"/>
  <c r="I33"/>
  <c r="F14"/>
  <c r="J14"/>
  <c r="F15"/>
  <c r="J15"/>
  <c r="F16"/>
  <c r="J16"/>
  <c r="F17"/>
  <c r="J17"/>
  <c r="E18"/>
  <c r="I18"/>
  <c r="F19"/>
  <c r="J19"/>
  <c r="F20"/>
  <c r="J20"/>
  <c r="F21"/>
  <c r="J21"/>
  <c r="F22"/>
  <c r="J22"/>
  <c r="F23"/>
  <c r="J23"/>
  <c r="F24"/>
  <c r="J24"/>
  <c r="F25"/>
  <c r="J25"/>
  <c r="F26"/>
  <c r="J26"/>
  <c r="F27"/>
  <c r="J27"/>
  <c r="F28"/>
  <c r="J28"/>
  <c r="F29"/>
  <c r="J29"/>
  <c r="F30"/>
  <c r="J30"/>
  <c r="F31"/>
  <c r="J31"/>
  <c r="E32"/>
  <c r="I32"/>
  <c r="F33"/>
  <c r="J33"/>
  <c r="E34"/>
  <c r="J34"/>
  <c r="F35"/>
  <c r="J35"/>
  <c r="F36"/>
  <c r="J36"/>
  <c r="F37"/>
  <c r="J37"/>
  <c r="F38"/>
  <c r="J38"/>
  <c r="F39"/>
  <c r="J39"/>
  <c r="F40"/>
  <c r="J40"/>
  <c r="F41"/>
  <c r="J41"/>
  <c r="F42"/>
  <c r="J42"/>
  <c r="E13"/>
  <c r="I13"/>
  <c r="E17"/>
  <c r="I17"/>
  <c r="F18"/>
  <c r="J18"/>
  <c r="E19"/>
  <c r="I19"/>
  <c r="E21"/>
  <c r="I21"/>
  <c r="E23"/>
  <c r="I23"/>
  <c r="E25"/>
  <c r="I25"/>
  <c r="E27"/>
  <c r="I27"/>
  <c r="E29"/>
  <c r="I29"/>
  <c r="E31"/>
  <c r="F32"/>
  <c r="J32"/>
  <c r="F34"/>
  <c r="E35"/>
  <c r="I35"/>
  <c r="E37"/>
  <c r="I37"/>
  <c r="E39"/>
  <c r="I39"/>
  <c r="E41"/>
  <c r="I41"/>
  <c r="I13" i="154"/>
  <c r="E16"/>
  <c r="I16"/>
  <c r="E18"/>
  <c r="I18"/>
  <c r="F14"/>
  <c r="J14"/>
  <c r="F16"/>
  <c r="J16"/>
  <c r="F18"/>
  <c r="J18"/>
  <c r="I19"/>
  <c r="F20"/>
  <c r="J20"/>
  <c r="E21"/>
  <c r="I21"/>
  <c r="F22"/>
  <c r="J22"/>
  <c r="E23"/>
  <c r="I23"/>
  <c r="F24"/>
  <c r="J24"/>
  <c r="E25"/>
  <c r="I25"/>
  <c r="F26"/>
  <c r="J26"/>
  <c r="E27"/>
  <c r="I27"/>
  <c r="F28"/>
  <c r="J28"/>
  <c r="E29"/>
  <c r="I29"/>
  <c r="F30"/>
  <c r="J30"/>
  <c r="E31"/>
  <c r="I31"/>
  <c r="F32"/>
  <c r="J32"/>
  <c r="E33"/>
  <c r="I33"/>
  <c r="F34"/>
  <c r="J34"/>
  <c r="E35"/>
  <c r="I35"/>
  <c r="F36"/>
  <c r="J36"/>
  <c r="E37"/>
  <c r="I37"/>
  <c r="F38"/>
  <c r="J38"/>
  <c r="E39"/>
  <c r="I39"/>
  <c r="F40"/>
  <c r="J40"/>
  <c r="E41"/>
  <c r="I41"/>
  <c r="F42"/>
  <c r="J42"/>
  <c r="E43"/>
  <c r="I43"/>
  <c r="E13"/>
  <c r="F13"/>
  <c r="J13"/>
  <c r="E14"/>
  <c r="I14"/>
  <c r="F15"/>
  <c r="J15"/>
  <c r="F17"/>
  <c r="J17"/>
  <c r="F19"/>
  <c r="J19"/>
  <c r="F21"/>
  <c r="J21"/>
  <c r="F23"/>
  <c r="J23"/>
  <c r="F25"/>
  <c r="J25"/>
  <c r="F27"/>
  <c r="J27"/>
  <c r="F29"/>
  <c r="J29"/>
  <c r="F31"/>
  <c r="J31"/>
  <c r="F33"/>
  <c r="J33"/>
  <c r="F35"/>
  <c r="J35"/>
  <c r="F37"/>
  <c r="J37"/>
  <c r="F39"/>
  <c r="J39"/>
  <c r="F41"/>
  <c r="J41"/>
  <c r="F43"/>
  <c r="J43"/>
  <c r="F14" i="153"/>
  <c r="J14"/>
  <c r="F15"/>
  <c r="J15"/>
  <c r="F16"/>
  <c r="J16"/>
  <c r="F17"/>
  <c r="J17"/>
  <c r="F18"/>
  <c r="J18"/>
  <c r="F19"/>
  <c r="J19"/>
  <c r="F20"/>
  <c r="J20"/>
  <c r="F21"/>
  <c r="J21"/>
  <c r="F22"/>
  <c r="J22"/>
  <c r="F23"/>
  <c r="J23"/>
  <c r="F24"/>
  <c r="J24"/>
  <c r="F25"/>
  <c r="J25"/>
  <c r="F26"/>
  <c r="J26"/>
  <c r="F27"/>
  <c r="J27"/>
  <c r="F28"/>
  <c r="J28"/>
  <c r="F29"/>
  <c r="J29"/>
  <c r="F30"/>
  <c r="J30"/>
  <c r="F31"/>
  <c r="J31"/>
  <c r="F32"/>
  <c r="J32"/>
  <c r="F33"/>
  <c r="J33"/>
  <c r="F34"/>
  <c r="J34"/>
  <c r="F35"/>
  <c r="J35"/>
  <c r="F36"/>
  <c r="J36"/>
  <c r="F37"/>
  <c r="J37"/>
  <c r="F38"/>
  <c r="J38"/>
  <c r="F39"/>
  <c r="J39"/>
  <c r="F40"/>
  <c r="J40"/>
  <c r="F41"/>
  <c r="J41"/>
  <c r="F42"/>
  <c r="J42"/>
  <c r="F43"/>
  <c r="J43"/>
  <c r="F44"/>
  <c r="J44"/>
  <c r="E41"/>
  <c r="I41"/>
  <c r="E42"/>
  <c r="I42"/>
  <c r="E43"/>
  <c r="E13"/>
  <c r="I13"/>
  <c r="E15"/>
  <c r="I15"/>
  <c r="E17"/>
  <c r="I17"/>
  <c r="E19"/>
  <c r="I19"/>
  <c r="E21"/>
  <c r="I21"/>
  <c r="E23"/>
  <c r="I23"/>
  <c r="E25"/>
  <c r="I25"/>
  <c r="E27"/>
  <c r="I27"/>
  <c r="E29"/>
  <c r="I29"/>
  <c r="E31"/>
  <c r="I31"/>
  <c r="E33"/>
  <c r="I33"/>
  <c r="E35"/>
  <c r="I35"/>
  <c r="E37"/>
  <c r="I37"/>
  <c r="E39"/>
  <c r="I39"/>
  <c r="I43"/>
  <c r="E13" i="152"/>
  <c r="I13"/>
  <c r="F14"/>
  <c r="J14"/>
  <c r="F15"/>
  <c r="J15"/>
  <c r="F16"/>
  <c r="J16"/>
  <c r="F17"/>
  <c r="J17"/>
  <c r="F18"/>
  <c r="J18"/>
  <c r="F19"/>
  <c r="J19"/>
  <c r="F20"/>
  <c r="J20"/>
  <c r="E21"/>
  <c r="I21"/>
  <c r="F22"/>
  <c r="J22"/>
  <c r="E23"/>
  <c r="I23"/>
  <c r="F24"/>
  <c r="J24"/>
  <c r="E25"/>
  <c r="J25"/>
  <c r="F26"/>
  <c r="J26"/>
  <c r="F27"/>
  <c r="J27"/>
  <c r="F28"/>
  <c r="J28"/>
  <c r="F29"/>
  <c r="J29"/>
  <c r="F30"/>
  <c r="J30"/>
  <c r="F31"/>
  <c r="J31"/>
  <c r="F32"/>
  <c r="J32"/>
  <c r="F33"/>
  <c r="J33"/>
  <c r="F34"/>
  <c r="J34"/>
  <c r="F35"/>
  <c r="J35"/>
  <c r="F36"/>
  <c r="J36"/>
  <c r="F37"/>
  <c r="J37"/>
  <c r="F38"/>
  <c r="J38"/>
  <c r="F39"/>
  <c r="J39"/>
  <c r="F40"/>
  <c r="J40"/>
  <c r="F41"/>
  <c r="J41"/>
  <c r="F42"/>
  <c r="J42"/>
  <c r="F43"/>
  <c r="J43"/>
  <c r="F13"/>
  <c r="J13"/>
  <c r="E14"/>
  <c r="I14"/>
  <c r="I18"/>
  <c r="E20"/>
  <c r="F21"/>
  <c r="J21"/>
  <c r="F23"/>
  <c r="J23"/>
  <c r="F25"/>
  <c r="E26"/>
  <c r="I26"/>
  <c r="E28"/>
  <c r="I28"/>
  <c r="E30"/>
  <c r="I30"/>
  <c r="E32"/>
  <c r="I32"/>
  <c r="E34"/>
  <c r="I34"/>
  <c r="E36"/>
  <c r="I36"/>
  <c r="E38"/>
  <c r="I38"/>
  <c r="E40"/>
  <c r="I40"/>
  <c r="E42"/>
  <c r="I42"/>
  <c r="E23" i="151"/>
  <c r="I23"/>
  <c r="E25"/>
  <c r="I25"/>
  <c r="E27"/>
  <c r="I27"/>
  <c r="E29"/>
  <c r="I29"/>
  <c r="E31"/>
  <c r="I31"/>
  <c r="E33"/>
  <c r="I33"/>
  <c r="E35"/>
  <c r="I35"/>
  <c r="E37"/>
  <c r="I37"/>
  <c r="E39"/>
  <c r="I39"/>
  <c r="E41"/>
  <c r="I41"/>
  <c r="E42"/>
  <c r="I42"/>
  <c r="E43"/>
  <c r="I43"/>
  <c r="E14"/>
  <c r="I14"/>
  <c r="E16"/>
  <c r="I16"/>
  <c r="E18"/>
  <c r="I18"/>
  <c r="E20"/>
  <c r="I20"/>
  <c r="E22"/>
  <c r="I22"/>
  <c r="E24"/>
  <c r="I24"/>
  <c r="E26"/>
  <c r="I26"/>
  <c r="E28"/>
  <c r="I28"/>
  <c r="E30"/>
  <c r="I30"/>
  <c r="E32"/>
  <c r="I32"/>
  <c r="E34"/>
  <c r="I34"/>
  <c r="E36"/>
  <c r="I36"/>
  <c r="E38"/>
  <c r="I38"/>
  <c r="E40"/>
  <c r="I40"/>
  <c r="F42"/>
  <c r="J42"/>
  <c r="E13" i="150"/>
  <c r="I13"/>
  <c r="F14"/>
  <c r="J14"/>
  <c r="F15"/>
  <c r="I15"/>
  <c r="F16"/>
  <c r="J16"/>
  <c r="E17"/>
  <c r="I17"/>
  <c r="F18"/>
  <c r="J18"/>
  <c r="E19"/>
  <c r="J19"/>
  <c r="F20"/>
  <c r="J20"/>
  <c r="F21"/>
  <c r="J21"/>
  <c r="F22"/>
  <c r="J22"/>
  <c r="F23"/>
  <c r="J23"/>
  <c r="F24"/>
  <c r="J24"/>
  <c r="F25"/>
  <c r="J25"/>
  <c r="F26"/>
  <c r="J26"/>
  <c r="F27"/>
  <c r="J27"/>
  <c r="F28"/>
  <c r="J28"/>
  <c r="E29"/>
  <c r="I29"/>
  <c r="F30"/>
  <c r="J30"/>
  <c r="F31"/>
  <c r="J31"/>
  <c r="F32"/>
  <c r="J32"/>
  <c r="F33"/>
  <c r="J33"/>
  <c r="F34"/>
  <c r="J34"/>
  <c r="E35"/>
  <c r="I35"/>
  <c r="F36"/>
  <c r="J36"/>
  <c r="E37"/>
  <c r="I37"/>
  <c r="F38"/>
  <c r="J38"/>
  <c r="F39"/>
  <c r="J39"/>
  <c r="F40"/>
  <c r="J40"/>
  <c r="F41"/>
  <c r="J41"/>
  <c r="F13"/>
  <c r="J13"/>
  <c r="J15"/>
  <c r="F17"/>
  <c r="J17"/>
  <c r="F19"/>
  <c r="E20"/>
  <c r="I20"/>
  <c r="E22"/>
  <c r="I22"/>
  <c r="E24"/>
  <c r="I24"/>
  <c r="E26"/>
  <c r="I26"/>
  <c r="I28"/>
  <c r="F29"/>
  <c r="J29"/>
  <c r="E32"/>
  <c r="I32"/>
  <c r="E34"/>
  <c r="I34"/>
  <c r="F35"/>
  <c r="J35"/>
  <c r="F37"/>
  <c r="J37"/>
  <c r="E40"/>
  <c r="I40"/>
  <c r="E43" i="70"/>
  <c r="I43"/>
  <c r="I13" i="149"/>
  <c r="M13"/>
  <c r="H14"/>
  <c r="I15"/>
  <c r="M15"/>
  <c r="H16"/>
  <c r="I17"/>
  <c r="M17"/>
  <c r="H18"/>
  <c r="I19"/>
  <c r="M19"/>
  <c r="H20"/>
  <c r="C25"/>
  <c r="E25"/>
  <c r="G25"/>
  <c r="G28"/>
  <c r="H13"/>
  <c r="I14"/>
  <c r="H15"/>
  <c r="I16"/>
  <c r="H17"/>
  <c r="I18"/>
  <c r="H19"/>
  <c r="I20"/>
  <c r="D25"/>
  <c r="D26" s="1"/>
  <c r="F25"/>
  <c r="F26" s="1"/>
  <c r="I13" i="148"/>
  <c r="M13"/>
  <c r="H14"/>
  <c r="J14"/>
  <c r="I15"/>
  <c r="M15"/>
  <c r="H16"/>
  <c r="J16"/>
  <c r="I17"/>
  <c r="M17"/>
  <c r="H18"/>
  <c r="J18"/>
  <c r="I19"/>
  <c r="M19"/>
  <c r="H20"/>
  <c r="J20"/>
  <c r="H22"/>
  <c r="J22"/>
  <c r="H23"/>
  <c r="J23"/>
  <c r="H24"/>
  <c r="J24"/>
  <c r="C25"/>
  <c r="E25"/>
  <c r="G25"/>
  <c r="H13"/>
  <c r="I14"/>
  <c r="H15"/>
  <c r="I16"/>
  <c r="H17"/>
  <c r="I18"/>
  <c r="H19"/>
  <c r="I20"/>
  <c r="D25"/>
  <c r="D26" s="1"/>
  <c r="F25"/>
  <c r="I13" i="147"/>
  <c r="M13"/>
  <c r="H14"/>
  <c r="I15"/>
  <c r="M15"/>
  <c r="H16"/>
  <c r="I17"/>
  <c r="M17"/>
  <c r="H18"/>
  <c r="I19"/>
  <c r="M19"/>
  <c r="H20"/>
  <c r="C25"/>
  <c r="E25"/>
  <c r="G25"/>
  <c r="H13"/>
  <c r="I14"/>
  <c r="H15"/>
  <c r="I16"/>
  <c r="H17"/>
  <c r="I18"/>
  <c r="H19"/>
  <c r="I20"/>
  <c r="D25"/>
  <c r="F25"/>
  <c r="I13" i="146"/>
  <c r="M13"/>
  <c r="H14"/>
  <c r="J14"/>
  <c r="I15"/>
  <c r="M15"/>
  <c r="H16"/>
  <c r="J16"/>
  <c r="I17"/>
  <c r="M17"/>
  <c r="H18"/>
  <c r="J18"/>
  <c r="I19"/>
  <c r="M19"/>
  <c r="H20"/>
  <c r="J20"/>
  <c r="H23"/>
  <c r="J23"/>
  <c r="H24"/>
  <c r="J24"/>
  <c r="C25"/>
  <c r="E25"/>
  <c r="G25"/>
  <c r="H13"/>
  <c r="I14"/>
  <c r="H15"/>
  <c r="I16"/>
  <c r="H17"/>
  <c r="I18"/>
  <c r="H19"/>
  <c r="I20"/>
  <c r="D25"/>
  <c r="D26" s="1"/>
  <c r="F25"/>
  <c r="I13" i="145"/>
  <c r="M13"/>
  <c r="G28" s="1"/>
  <c r="H14"/>
  <c r="J14"/>
  <c r="I15"/>
  <c r="H16"/>
  <c r="J16"/>
  <c r="I17"/>
  <c r="H18"/>
  <c r="J18"/>
  <c r="I19"/>
  <c r="H20"/>
  <c r="J20"/>
  <c r="H23"/>
  <c r="J23"/>
  <c r="H24"/>
  <c r="J24"/>
  <c r="C25"/>
  <c r="E25"/>
  <c r="G25"/>
  <c r="H13"/>
  <c r="I14"/>
  <c r="H15"/>
  <c r="I16"/>
  <c r="H17"/>
  <c r="I18"/>
  <c r="H19"/>
  <c r="I20"/>
  <c r="D25"/>
  <c r="F25"/>
  <c r="I13" i="144"/>
  <c r="M13"/>
  <c r="H14"/>
  <c r="J14"/>
  <c r="I15"/>
  <c r="M15"/>
  <c r="H16"/>
  <c r="J16"/>
  <c r="I17"/>
  <c r="H18"/>
  <c r="J18"/>
  <c r="I19"/>
  <c r="H20"/>
  <c r="J20"/>
  <c r="H23"/>
  <c r="J23"/>
  <c r="H24"/>
  <c r="J24"/>
  <c r="C25"/>
  <c r="E25"/>
  <c r="G25"/>
  <c r="H13"/>
  <c r="I14"/>
  <c r="I16"/>
  <c r="H17"/>
  <c r="I18"/>
  <c r="H19"/>
  <c r="I20"/>
  <c r="D25"/>
  <c r="D26" s="1"/>
  <c r="F25"/>
  <c r="F26" s="1"/>
  <c r="I13" i="143"/>
  <c r="M13"/>
  <c r="H14"/>
  <c r="I15"/>
  <c r="M15"/>
  <c r="H16"/>
  <c r="I17"/>
  <c r="M17"/>
  <c r="H18"/>
  <c r="I19"/>
  <c r="M19"/>
  <c r="H20"/>
  <c r="C25"/>
  <c r="E25"/>
  <c r="G25"/>
  <c r="H13"/>
  <c r="I14"/>
  <c r="H15"/>
  <c r="I16"/>
  <c r="H17"/>
  <c r="I18"/>
  <c r="H19"/>
  <c r="I20"/>
  <c r="D25"/>
  <c r="F25"/>
  <c r="F26" s="1"/>
  <c r="I13" i="142"/>
  <c r="M13"/>
  <c r="H14"/>
  <c r="J14"/>
  <c r="I15"/>
  <c r="H16"/>
  <c r="J16"/>
  <c r="I17"/>
  <c r="M17"/>
  <c r="H18"/>
  <c r="J18"/>
  <c r="I19"/>
  <c r="M19"/>
  <c r="H20"/>
  <c r="J20"/>
  <c r="H23"/>
  <c r="J23"/>
  <c r="H24"/>
  <c r="J24"/>
  <c r="C25"/>
  <c r="E25"/>
  <c r="G25"/>
  <c r="H13"/>
  <c r="I14"/>
  <c r="H15"/>
  <c r="I16"/>
  <c r="I18"/>
  <c r="I20"/>
  <c r="D25"/>
  <c r="F25"/>
  <c r="I13" i="141"/>
  <c r="M13"/>
  <c r="H14"/>
  <c r="J14"/>
  <c r="I15"/>
  <c r="M15"/>
  <c r="H16"/>
  <c r="J16"/>
  <c r="I17"/>
  <c r="M17"/>
  <c r="H18"/>
  <c r="J18"/>
  <c r="I19"/>
  <c r="M19"/>
  <c r="H20"/>
  <c r="J20"/>
  <c r="H23"/>
  <c r="J23"/>
  <c r="H24"/>
  <c r="J24"/>
  <c r="C25"/>
  <c r="E25"/>
  <c r="G25"/>
  <c r="H13"/>
  <c r="I14"/>
  <c r="H15"/>
  <c r="I16"/>
  <c r="H17"/>
  <c r="I18"/>
  <c r="H19"/>
  <c r="I20"/>
  <c r="D25"/>
  <c r="F25"/>
  <c r="I13" i="140"/>
  <c r="M13"/>
  <c r="H14"/>
  <c r="J14"/>
  <c r="I15"/>
  <c r="M15"/>
  <c r="H16"/>
  <c r="J16"/>
  <c r="I17"/>
  <c r="H18"/>
  <c r="J18"/>
  <c r="I19"/>
  <c r="H20"/>
  <c r="J20"/>
  <c r="H23"/>
  <c r="J23"/>
  <c r="H24"/>
  <c r="J24"/>
  <c r="C25"/>
  <c r="E25"/>
  <c r="G25"/>
  <c r="H13"/>
  <c r="I14"/>
  <c r="H15"/>
  <c r="I16"/>
  <c r="H17"/>
  <c r="I18"/>
  <c r="H19"/>
  <c r="I20"/>
  <c r="D25"/>
  <c r="F25"/>
  <c r="J13" i="139"/>
  <c r="J15"/>
  <c r="J17"/>
  <c r="J19"/>
  <c r="I13"/>
  <c r="M13"/>
  <c r="H14"/>
  <c r="J14"/>
  <c r="I15"/>
  <c r="M15"/>
  <c r="H16"/>
  <c r="J16"/>
  <c r="I17"/>
  <c r="M17"/>
  <c r="H18"/>
  <c r="J18"/>
  <c r="I19"/>
  <c r="M19"/>
  <c r="H20"/>
  <c r="J20"/>
  <c r="H23"/>
  <c r="J23"/>
  <c r="H24"/>
  <c r="J24"/>
  <c r="C25"/>
  <c r="E25"/>
  <c r="G25"/>
  <c r="H13"/>
  <c r="I14"/>
  <c r="H15"/>
  <c r="I16"/>
  <c r="H17"/>
  <c r="I18"/>
  <c r="I20"/>
  <c r="D25"/>
  <c r="D26" s="1"/>
  <c r="F25"/>
  <c r="F26" s="1"/>
  <c r="E14" i="138"/>
  <c r="E18"/>
  <c r="E21"/>
  <c r="E23"/>
  <c r="E25"/>
  <c r="E30"/>
  <c r="E32"/>
  <c r="E34"/>
  <c r="E36"/>
  <c r="E43"/>
  <c r="I19"/>
  <c r="I21"/>
  <c r="I22"/>
  <c r="I25"/>
  <c r="I27"/>
  <c r="I28"/>
  <c r="I31"/>
  <c r="I34"/>
  <c r="I35"/>
  <c r="I45"/>
  <c r="I46"/>
  <c r="E45"/>
  <c r="I14"/>
  <c r="E16"/>
  <c r="I18"/>
  <c r="E20"/>
  <c r="E26"/>
  <c r="I26"/>
  <c r="I30"/>
  <c r="E38"/>
  <c r="I38"/>
  <c r="E40"/>
  <c r="I40"/>
  <c r="E42"/>
  <c r="I42"/>
  <c r="E15"/>
  <c r="I15"/>
  <c r="E27"/>
  <c r="E29"/>
  <c r="E39"/>
  <c r="I39"/>
  <c r="E41"/>
  <c r="H35" i="67"/>
  <c r="G35"/>
  <c r="H34"/>
  <c r="G34"/>
  <c r="H33"/>
  <c r="G33"/>
  <c r="H32"/>
  <c r="G32"/>
  <c r="H31"/>
  <c r="G31"/>
  <c r="H30"/>
  <c r="G30"/>
  <c r="H29"/>
  <c r="G29"/>
  <c r="H28"/>
  <c r="G28"/>
  <c r="H27"/>
  <c r="G27"/>
  <c r="H26"/>
  <c r="G26"/>
  <c r="H25"/>
  <c r="G25"/>
  <c r="H24"/>
  <c r="G24"/>
  <c r="H23"/>
  <c r="G23"/>
  <c r="H22"/>
  <c r="G22"/>
  <c r="H21"/>
  <c r="G21"/>
  <c r="H20"/>
  <c r="G20"/>
  <c r="H19"/>
  <c r="G19"/>
  <c r="H18"/>
  <c r="G18"/>
  <c r="H17"/>
  <c r="G17"/>
  <c r="H16"/>
  <c r="H37" s="1"/>
  <c r="G16"/>
  <c r="G37" s="1"/>
  <c r="D35"/>
  <c r="C35"/>
  <c r="D34"/>
  <c r="C34"/>
  <c r="D33"/>
  <c r="E33" s="1"/>
  <c r="C33"/>
  <c r="D32"/>
  <c r="E32" s="1"/>
  <c r="C32"/>
  <c r="D31"/>
  <c r="E31" s="1"/>
  <c r="C31"/>
  <c r="D30"/>
  <c r="E30" s="1"/>
  <c r="C30"/>
  <c r="D29"/>
  <c r="E29" s="1"/>
  <c r="C29"/>
  <c r="D28"/>
  <c r="E28" s="1"/>
  <c r="C28"/>
  <c r="D27"/>
  <c r="E27" s="1"/>
  <c r="C27"/>
  <c r="D26"/>
  <c r="E26" s="1"/>
  <c r="C26"/>
  <c r="D25"/>
  <c r="E25" s="1"/>
  <c r="C25"/>
  <c r="D24"/>
  <c r="E24" s="1"/>
  <c r="C24"/>
  <c r="D23"/>
  <c r="E23" s="1"/>
  <c r="C23"/>
  <c r="D22"/>
  <c r="E22" s="1"/>
  <c r="C22"/>
  <c r="D21"/>
  <c r="E21" s="1"/>
  <c r="C21"/>
  <c r="D20"/>
  <c r="E20" s="1"/>
  <c r="C20"/>
  <c r="D19"/>
  <c r="E19" s="1"/>
  <c r="C19"/>
  <c r="D18"/>
  <c r="E18" s="1"/>
  <c r="C18"/>
  <c r="D17"/>
  <c r="E17" s="1"/>
  <c r="C17"/>
  <c r="D16"/>
  <c r="C16"/>
  <c r="C37" s="1"/>
  <c r="B35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H28" i="19"/>
  <c r="G28"/>
  <c r="H24"/>
  <c r="H23" s="1"/>
  <c r="G24"/>
  <c r="G23" s="1"/>
  <c r="D28"/>
  <c r="D44" s="1"/>
  <c r="C28"/>
  <c r="D24"/>
  <c r="D23" s="1"/>
  <c r="D43" s="1"/>
  <c r="C24"/>
  <c r="C23" s="1"/>
  <c r="H22"/>
  <c r="G22"/>
  <c r="D22"/>
  <c r="D42" s="1"/>
  <c r="C22"/>
  <c r="C13" i="124" s="1"/>
  <c r="H18" i="19"/>
  <c r="G18"/>
  <c r="H17"/>
  <c r="G17"/>
  <c r="H16"/>
  <c r="G16"/>
  <c r="H15"/>
  <c r="G15"/>
  <c r="H14"/>
  <c r="G14"/>
  <c r="D18"/>
  <c r="C18"/>
  <c r="D17"/>
  <c r="C17"/>
  <c r="D16"/>
  <c r="C16"/>
  <c r="D15"/>
  <c r="C15"/>
  <c r="D14"/>
  <c r="C14"/>
  <c r="H13"/>
  <c r="H13" i="156" s="1"/>
  <c r="J37" s="1"/>
  <c r="G13" i="19"/>
  <c r="G13" i="156" s="1"/>
  <c r="D13" i="19"/>
  <c r="D13" i="156" s="1"/>
  <c r="C13" i="19"/>
  <c r="C13" i="156" s="1"/>
  <c r="B18" i="19"/>
  <c r="B17"/>
  <c r="B16"/>
  <c r="B15"/>
  <c r="B14"/>
  <c r="I33" i="132"/>
  <c r="E33"/>
  <c r="I31"/>
  <c r="E31"/>
  <c r="I29"/>
  <c r="E29"/>
  <c r="I27"/>
  <c r="E27"/>
  <c r="I25"/>
  <c r="E25"/>
  <c r="I23"/>
  <c r="E23"/>
  <c r="I21"/>
  <c r="E21"/>
  <c r="I19"/>
  <c r="E19"/>
  <c r="E42" i="130"/>
  <c r="E41"/>
  <c r="E40"/>
  <c r="E38"/>
  <c r="E36"/>
  <c r="E34"/>
  <c r="G30"/>
  <c r="E32"/>
  <c r="E29"/>
  <c r="E28"/>
  <c r="E27"/>
  <c r="E26"/>
  <c r="E25"/>
  <c r="E24"/>
  <c r="E22"/>
  <c r="G19"/>
  <c r="C19"/>
  <c r="E20"/>
  <c r="I17"/>
  <c r="E17"/>
  <c r="C15"/>
  <c r="C14" s="1"/>
  <c r="I42"/>
  <c r="I41"/>
  <c r="I40"/>
  <c r="I38"/>
  <c r="I36"/>
  <c r="I34"/>
  <c r="I32"/>
  <c r="H30"/>
  <c r="D30"/>
  <c r="I29"/>
  <c r="I28"/>
  <c r="I27"/>
  <c r="I26"/>
  <c r="I25"/>
  <c r="I24"/>
  <c r="I22"/>
  <c r="I20"/>
  <c r="H19"/>
  <c r="D19"/>
  <c r="G15"/>
  <c r="I42" i="129"/>
  <c r="E42"/>
  <c r="I41"/>
  <c r="E41"/>
  <c r="I40"/>
  <c r="E40"/>
  <c r="I38"/>
  <c r="E38"/>
  <c r="I36"/>
  <c r="E36"/>
  <c r="I34"/>
  <c r="E34"/>
  <c r="E33"/>
  <c r="I32"/>
  <c r="E32"/>
  <c r="I31"/>
  <c r="E31"/>
  <c r="H30"/>
  <c r="G30"/>
  <c r="D30"/>
  <c r="C30"/>
  <c r="I29"/>
  <c r="E29"/>
  <c r="I28"/>
  <c r="E28"/>
  <c r="I26"/>
  <c r="E26"/>
  <c r="I25"/>
  <c r="E25"/>
  <c r="I24"/>
  <c r="E24"/>
  <c r="I23"/>
  <c r="E23"/>
  <c r="I22"/>
  <c r="E22"/>
  <c r="I20"/>
  <c r="E20"/>
  <c r="H19"/>
  <c r="G19"/>
  <c r="D19"/>
  <c r="I17"/>
  <c r="E17"/>
  <c r="H15"/>
  <c r="G15"/>
  <c r="D15"/>
  <c r="C15"/>
  <c r="C14" s="1"/>
  <c r="H14"/>
  <c r="D14"/>
  <c r="I42" i="128"/>
  <c r="E42"/>
  <c r="I41"/>
  <c r="E41"/>
  <c r="I40"/>
  <c r="E40"/>
  <c r="I38"/>
  <c r="E38"/>
  <c r="I36"/>
  <c r="E36"/>
  <c r="I34"/>
  <c r="E34"/>
  <c r="I32"/>
  <c r="E32"/>
  <c r="G30"/>
  <c r="C30"/>
  <c r="G19"/>
  <c r="C19"/>
  <c r="H19"/>
  <c r="D19"/>
  <c r="I17"/>
  <c r="E17"/>
  <c r="G15"/>
  <c r="C15"/>
  <c r="C15" i="125"/>
  <c r="C19" i="126"/>
  <c r="I42"/>
  <c r="I40"/>
  <c r="E40"/>
  <c r="H30"/>
  <c r="G30"/>
  <c r="D30"/>
  <c r="C30"/>
  <c r="I29"/>
  <c r="E29"/>
  <c r="I28"/>
  <c r="E28"/>
  <c r="E25"/>
  <c r="E23"/>
  <c r="E21"/>
  <c r="H19"/>
  <c r="G19"/>
  <c r="D19"/>
  <c r="I18"/>
  <c r="E18"/>
  <c r="I16"/>
  <c r="E16"/>
  <c r="H15"/>
  <c r="G15"/>
  <c r="D15"/>
  <c r="C15"/>
  <c r="D14"/>
  <c r="E42" i="125"/>
  <c r="I41"/>
  <c r="E41"/>
  <c r="I40"/>
  <c r="E40"/>
  <c r="I38"/>
  <c r="E38"/>
  <c r="I36"/>
  <c r="E36"/>
  <c r="I34"/>
  <c r="E34"/>
  <c r="I32"/>
  <c r="E32"/>
  <c r="H30"/>
  <c r="G30"/>
  <c r="D30"/>
  <c r="C30"/>
  <c r="I29"/>
  <c r="E29"/>
  <c r="I28"/>
  <c r="E28"/>
  <c r="I27"/>
  <c r="E27"/>
  <c r="I26"/>
  <c r="E26"/>
  <c r="I25"/>
  <c r="E25"/>
  <c r="I24"/>
  <c r="E24"/>
  <c r="I23"/>
  <c r="E23"/>
  <c r="I22"/>
  <c r="E22"/>
  <c r="I21"/>
  <c r="E21"/>
  <c r="I20"/>
  <c r="E20"/>
  <c r="H19"/>
  <c r="G19"/>
  <c r="D19"/>
  <c r="C19"/>
  <c r="I18"/>
  <c r="E18"/>
  <c r="I17"/>
  <c r="E17"/>
  <c r="I16"/>
  <c r="E16"/>
  <c r="H15"/>
  <c r="H14" s="1"/>
  <c r="G15"/>
  <c r="G14" s="1"/>
  <c r="D15"/>
  <c r="D14" s="1"/>
  <c r="I42" i="124"/>
  <c r="I41"/>
  <c r="H30"/>
  <c r="I29"/>
  <c r="I28"/>
  <c r="I25"/>
  <c r="I23"/>
  <c r="I21"/>
  <c r="I20"/>
  <c r="D19"/>
  <c r="E42"/>
  <c r="E41"/>
  <c r="G30"/>
  <c r="C30"/>
  <c r="D30"/>
  <c r="E29"/>
  <c r="E28"/>
  <c r="E25"/>
  <c r="E23"/>
  <c r="E21"/>
  <c r="E20"/>
  <c r="H19"/>
  <c r="G19"/>
  <c r="C19"/>
  <c r="I17"/>
  <c r="E17"/>
  <c r="H15"/>
  <c r="G15"/>
  <c r="D15"/>
  <c r="C15"/>
  <c r="C14" s="1"/>
  <c r="H19" i="120"/>
  <c r="G30"/>
  <c r="G19"/>
  <c r="I23"/>
  <c r="I38"/>
  <c r="I36"/>
  <c r="I34"/>
  <c r="I32"/>
  <c r="I31"/>
  <c r="E36"/>
  <c r="E34"/>
  <c r="E32"/>
  <c r="D30"/>
  <c r="I27"/>
  <c r="I21"/>
  <c r="E18"/>
  <c r="E17"/>
  <c r="E16"/>
  <c r="E20"/>
  <c r="E23"/>
  <c r="I25"/>
  <c r="E39"/>
  <c r="E37"/>
  <c r="E35"/>
  <c r="E33"/>
  <c r="E31"/>
  <c r="C30"/>
  <c r="M38" i="119"/>
  <c r="I36"/>
  <c r="E36"/>
  <c r="I23"/>
  <c r="E23"/>
  <c r="I21"/>
  <c r="E21"/>
  <c r="I19"/>
  <c r="E19"/>
  <c r="G37"/>
  <c r="F37" i="156" l="1"/>
  <c r="F49"/>
  <c r="J45"/>
  <c r="J43"/>
  <c r="J41"/>
  <c r="J39"/>
  <c r="J19"/>
  <c r="J17"/>
  <c r="J15"/>
  <c r="J13"/>
  <c r="J48"/>
  <c r="F46"/>
  <c r="F44"/>
  <c r="F42"/>
  <c r="F40"/>
  <c r="F38"/>
  <c r="F20"/>
  <c r="F18"/>
  <c r="F16"/>
  <c r="F14"/>
  <c r="F47"/>
  <c r="J36"/>
  <c r="J35"/>
  <c r="J34"/>
  <c r="J33"/>
  <c r="J32"/>
  <c r="J31"/>
  <c r="J30"/>
  <c r="J29"/>
  <c r="J28"/>
  <c r="J27"/>
  <c r="J26"/>
  <c r="J25"/>
  <c r="J24"/>
  <c r="J23"/>
  <c r="J22"/>
  <c r="J21"/>
  <c r="C13" i="138"/>
  <c r="E13" i="156"/>
  <c r="J49"/>
  <c r="J47"/>
  <c r="F45"/>
  <c r="F43"/>
  <c r="F41"/>
  <c r="F39"/>
  <c r="F19"/>
  <c r="F17"/>
  <c r="F15"/>
  <c r="F13"/>
  <c r="F48"/>
  <c r="J46"/>
  <c r="J44"/>
  <c r="J42"/>
  <c r="J40"/>
  <c r="J38"/>
  <c r="J20"/>
  <c r="J18"/>
  <c r="J16"/>
  <c r="J14"/>
  <c r="I13"/>
  <c r="F36"/>
  <c r="F35"/>
  <c r="F34"/>
  <c r="F33"/>
  <c r="F32"/>
  <c r="F31"/>
  <c r="F30"/>
  <c r="F29"/>
  <c r="F28"/>
  <c r="F27"/>
  <c r="F26"/>
  <c r="F25"/>
  <c r="F24"/>
  <c r="F23"/>
  <c r="F22"/>
  <c r="F21"/>
  <c r="I50"/>
  <c r="J50"/>
  <c r="H14" i="124"/>
  <c r="G14" i="129"/>
  <c r="H14" i="126"/>
  <c r="D26" i="140"/>
  <c r="D26" i="143"/>
  <c r="G28"/>
  <c r="C45" i="124"/>
  <c r="D26" i="141"/>
  <c r="F26" i="142"/>
  <c r="G28"/>
  <c r="E26" i="143"/>
  <c r="E26" i="144"/>
  <c r="F26" i="145"/>
  <c r="D26" i="147"/>
  <c r="F43" i="151"/>
  <c r="F44"/>
  <c r="J43"/>
  <c r="J44"/>
  <c r="F13"/>
  <c r="E13"/>
  <c r="F40"/>
  <c r="F38"/>
  <c r="F36"/>
  <c r="F34"/>
  <c r="F32"/>
  <c r="F30"/>
  <c r="F28"/>
  <c r="F26"/>
  <c r="F24"/>
  <c r="F22"/>
  <c r="F20"/>
  <c r="F18"/>
  <c r="F16"/>
  <c r="F14"/>
  <c r="F41"/>
  <c r="F39"/>
  <c r="F37"/>
  <c r="F35"/>
  <c r="F33"/>
  <c r="F31"/>
  <c r="F29"/>
  <c r="F27"/>
  <c r="F25"/>
  <c r="F23"/>
  <c r="F21"/>
  <c r="F19"/>
  <c r="F17"/>
  <c r="F15"/>
  <c r="J13"/>
  <c r="I13"/>
  <c r="J40"/>
  <c r="J38"/>
  <c r="J36"/>
  <c r="J34"/>
  <c r="J32"/>
  <c r="J30"/>
  <c r="J28"/>
  <c r="J26"/>
  <c r="J24"/>
  <c r="J22"/>
  <c r="J20"/>
  <c r="J18"/>
  <c r="J16"/>
  <c r="J14"/>
  <c r="J41"/>
  <c r="J39"/>
  <c r="J37"/>
  <c r="J35"/>
  <c r="J33"/>
  <c r="J31"/>
  <c r="J29"/>
  <c r="J27"/>
  <c r="J25"/>
  <c r="J23"/>
  <c r="J21"/>
  <c r="J19"/>
  <c r="J17"/>
  <c r="J15"/>
  <c r="E28" i="149"/>
  <c r="D28"/>
  <c r="C28"/>
  <c r="E26"/>
  <c r="F28"/>
  <c r="F29" s="1"/>
  <c r="C28" i="148"/>
  <c r="F26"/>
  <c r="D28"/>
  <c r="D29" s="1"/>
  <c r="E26"/>
  <c r="G28"/>
  <c r="F28"/>
  <c r="E28"/>
  <c r="E29" s="1"/>
  <c r="C28" i="147"/>
  <c r="F26"/>
  <c r="D28"/>
  <c r="D29" s="1"/>
  <c r="E26"/>
  <c r="G28"/>
  <c r="F28"/>
  <c r="E28"/>
  <c r="E29" s="1"/>
  <c r="C28" i="146"/>
  <c r="F26"/>
  <c r="D28"/>
  <c r="D29" s="1"/>
  <c r="E26"/>
  <c r="G28"/>
  <c r="F28"/>
  <c r="E28"/>
  <c r="E29" s="1"/>
  <c r="D26" i="145"/>
  <c r="E26"/>
  <c r="D28"/>
  <c r="C28"/>
  <c r="F28"/>
  <c r="I28" s="1"/>
  <c r="E28"/>
  <c r="E29" s="1"/>
  <c r="C28" i="144"/>
  <c r="D28"/>
  <c r="D29" s="1"/>
  <c r="G28"/>
  <c r="F28"/>
  <c r="E28"/>
  <c r="E28" i="143"/>
  <c r="D28"/>
  <c r="C28"/>
  <c r="F28"/>
  <c r="D26" i="142"/>
  <c r="E26"/>
  <c r="D28"/>
  <c r="C28"/>
  <c r="F28"/>
  <c r="I28" s="1"/>
  <c r="E28"/>
  <c r="C28" i="141"/>
  <c r="F26"/>
  <c r="D28"/>
  <c r="D29" s="1"/>
  <c r="E26"/>
  <c r="G28"/>
  <c r="F28"/>
  <c r="E28"/>
  <c r="E29" s="1"/>
  <c r="C28" i="140"/>
  <c r="F26"/>
  <c r="D28"/>
  <c r="D29" s="1"/>
  <c r="E26"/>
  <c r="G28"/>
  <c r="F28"/>
  <c r="E28"/>
  <c r="E29" s="1"/>
  <c r="E26" i="139"/>
  <c r="C28"/>
  <c r="D28"/>
  <c r="G28"/>
  <c r="F28"/>
  <c r="E28"/>
  <c r="D21" i="19"/>
  <c r="D13" i="138"/>
  <c r="H21" i="19"/>
  <c r="H13" i="138"/>
  <c r="G21" i="19"/>
  <c r="G13" i="138"/>
  <c r="E34" i="67"/>
  <c r="E35"/>
  <c r="I37"/>
  <c r="C19" i="19"/>
  <c r="C21"/>
  <c r="G14" i="130"/>
  <c r="C30"/>
  <c r="E30" i="129"/>
  <c r="I30"/>
  <c r="E15"/>
  <c r="I15"/>
  <c r="E19" i="125"/>
  <c r="I19"/>
  <c r="G14" i="126"/>
  <c r="C14"/>
  <c r="G14" i="124"/>
  <c r="D14"/>
  <c r="E14" s="1"/>
  <c r="I14"/>
  <c r="I15"/>
  <c r="I19"/>
  <c r="E38" i="120"/>
  <c r="E18" i="119"/>
  <c r="I18"/>
  <c r="E20"/>
  <c r="I20"/>
  <c r="E22"/>
  <c r="I22"/>
  <c r="E24"/>
  <c r="I24"/>
  <c r="I17" i="67"/>
  <c r="I18"/>
  <c r="I19"/>
  <c r="E16"/>
  <c r="D37"/>
  <c r="I20"/>
  <c r="I21"/>
  <c r="I22"/>
  <c r="I23"/>
  <c r="I24"/>
  <c r="I25"/>
  <c r="I26"/>
  <c r="I27"/>
  <c r="I28"/>
  <c r="I29"/>
  <c r="I30"/>
  <c r="I31"/>
  <c r="I32"/>
  <c r="I33"/>
  <c r="I34"/>
  <c r="I35"/>
  <c r="D19" i="19"/>
  <c r="H19"/>
  <c r="G19"/>
  <c r="E14" i="132"/>
  <c r="I14"/>
  <c r="E15"/>
  <c r="I15"/>
  <c r="E16"/>
  <c r="I16"/>
  <c r="E17"/>
  <c r="I17"/>
  <c r="E18"/>
  <c r="I18"/>
  <c r="E20"/>
  <c r="I20"/>
  <c r="E22"/>
  <c r="I22"/>
  <c r="E24"/>
  <c r="I24"/>
  <c r="E26"/>
  <c r="I26"/>
  <c r="E28"/>
  <c r="I28"/>
  <c r="E30"/>
  <c r="I30"/>
  <c r="E32"/>
  <c r="I32"/>
  <c r="E30" i="130"/>
  <c r="I30"/>
  <c r="D15"/>
  <c r="H15"/>
  <c r="E16"/>
  <c r="I16"/>
  <c r="E18"/>
  <c r="I18"/>
  <c r="E19"/>
  <c r="I19"/>
  <c r="E21"/>
  <c r="I21"/>
  <c r="E23"/>
  <c r="I23"/>
  <c r="E31"/>
  <c r="I31"/>
  <c r="E33"/>
  <c r="I33"/>
  <c r="E35"/>
  <c r="I35"/>
  <c r="E37"/>
  <c r="I37"/>
  <c r="E39"/>
  <c r="I39"/>
  <c r="I14" i="129"/>
  <c r="E14"/>
  <c r="E16"/>
  <c r="I16"/>
  <c r="E18"/>
  <c r="I18"/>
  <c r="E19"/>
  <c r="I19"/>
  <c r="E21"/>
  <c r="I21"/>
  <c r="E27"/>
  <c r="I27"/>
  <c r="I33"/>
  <c r="E35"/>
  <c r="I35"/>
  <c r="E37"/>
  <c r="I37"/>
  <c r="E39"/>
  <c r="I39"/>
  <c r="G14" i="128"/>
  <c r="C14"/>
  <c r="D15"/>
  <c r="H15"/>
  <c r="E20"/>
  <c r="I20"/>
  <c r="E21"/>
  <c r="I21"/>
  <c r="E22"/>
  <c r="I22"/>
  <c r="E23"/>
  <c r="I23"/>
  <c r="E24"/>
  <c r="I24"/>
  <c r="E25"/>
  <c r="I25"/>
  <c r="E26"/>
  <c r="I26"/>
  <c r="E27"/>
  <c r="I27"/>
  <c r="E28"/>
  <c r="I28"/>
  <c r="E29"/>
  <c r="I29"/>
  <c r="D30"/>
  <c r="E30" s="1"/>
  <c r="H30"/>
  <c r="I30" s="1"/>
  <c r="E15"/>
  <c r="I15"/>
  <c r="E19" i="126"/>
  <c r="I19"/>
  <c r="I21"/>
  <c r="I23"/>
  <c r="I25"/>
  <c r="E16" i="128"/>
  <c r="I16"/>
  <c r="E18"/>
  <c r="I18"/>
  <c r="E19"/>
  <c r="I19"/>
  <c r="E31"/>
  <c r="I31"/>
  <c r="E33"/>
  <c r="I33"/>
  <c r="E35"/>
  <c r="I35"/>
  <c r="E37"/>
  <c r="I37"/>
  <c r="E39"/>
  <c r="I39"/>
  <c r="I30" i="125"/>
  <c r="E30"/>
  <c r="C14"/>
  <c r="I14"/>
  <c r="I15"/>
  <c r="E15"/>
  <c r="E14"/>
  <c r="E27" i="126"/>
  <c r="I27"/>
  <c r="I30"/>
  <c r="E30"/>
  <c r="E14"/>
  <c r="I14"/>
  <c r="E15"/>
  <c r="I15"/>
  <c r="E17"/>
  <c r="I17"/>
  <c r="E20"/>
  <c r="I20"/>
  <c r="E22"/>
  <c r="I22"/>
  <c r="E24"/>
  <c r="I24"/>
  <c r="E26"/>
  <c r="I26"/>
  <c r="E31"/>
  <c r="I31"/>
  <c r="E33"/>
  <c r="I33"/>
  <c r="E35"/>
  <c r="I35"/>
  <c r="E37"/>
  <c r="I37"/>
  <c r="E39"/>
  <c r="I39"/>
  <c r="E32"/>
  <c r="I32"/>
  <c r="E34"/>
  <c r="I34"/>
  <c r="E36"/>
  <c r="I36"/>
  <c r="E38"/>
  <c r="I38"/>
  <c r="E31" i="125"/>
  <c r="I31"/>
  <c r="E33"/>
  <c r="I33"/>
  <c r="E35"/>
  <c r="I35"/>
  <c r="E37"/>
  <c r="I37"/>
  <c r="E39"/>
  <c r="I39"/>
  <c r="E19" i="124"/>
  <c r="E30"/>
  <c r="I30"/>
  <c r="E22"/>
  <c r="I22"/>
  <c r="E24"/>
  <c r="I24"/>
  <c r="E26"/>
  <c r="I26"/>
  <c r="E32"/>
  <c r="I32"/>
  <c r="E34"/>
  <c r="I34"/>
  <c r="E36"/>
  <c r="I36"/>
  <c r="E38"/>
  <c r="I38"/>
  <c r="E40"/>
  <c r="I40"/>
  <c r="E15"/>
  <c r="E16"/>
  <c r="I16"/>
  <c r="E18"/>
  <c r="I18"/>
  <c r="E31"/>
  <c r="I31"/>
  <c r="E33"/>
  <c r="I33"/>
  <c r="E35"/>
  <c r="I35"/>
  <c r="E37"/>
  <c r="I37"/>
  <c r="E39"/>
  <c r="I39"/>
  <c r="I18" i="120"/>
  <c r="E21"/>
  <c r="E22"/>
  <c r="E24"/>
  <c r="E25"/>
  <c r="E26"/>
  <c r="E27"/>
  <c r="I33"/>
  <c r="I35"/>
  <c r="I37"/>
  <c r="I39"/>
  <c r="H30"/>
  <c r="I30" s="1"/>
  <c r="E30"/>
  <c r="I33" i="119"/>
  <c r="E35"/>
  <c r="I35"/>
  <c r="E40" i="120"/>
  <c r="I40"/>
  <c r="E41"/>
  <c r="I41"/>
  <c r="I26"/>
  <c r="I24"/>
  <c r="I22"/>
  <c r="I17"/>
  <c r="C19"/>
  <c r="H15"/>
  <c r="H14" s="1"/>
  <c r="C15"/>
  <c r="C14" s="1"/>
  <c r="I29"/>
  <c r="E29"/>
  <c r="I28"/>
  <c r="E28"/>
  <c r="I20"/>
  <c r="D19"/>
  <c r="I16"/>
  <c r="G15"/>
  <c r="G14" s="1"/>
  <c r="D15"/>
  <c r="E42"/>
  <c r="I42"/>
  <c r="E25" i="119"/>
  <c r="I25"/>
  <c r="E26"/>
  <c r="I26"/>
  <c r="E27"/>
  <c r="I27"/>
  <c r="E28"/>
  <c r="I28"/>
  <c r="E29"/>
  <c r="I29"/>
  <c r="E30"/>
  <c r="I30"/>
  <c r="E31"/>
  <c r="I31"/>
  <c r="E33"/>
  <c r="D37"/>
  <c r="H37"/>
  <c r="E17"/>
  <c r="I17"/>
  <c r="E37"/>
  <c r="I37"/>
  <c r="E16"/>
  <c r="I16"/>
  <c r="E32"/>
  <c r="I32"/>
  <c r="E34"/>
  <c r="I34"/>
  <c r="B36" i="67"/>
  <c r="E29" i="139" l="1"/>
  <c r="E50" i="156"/>
  <c r="F50"/>
  <c r="E29" i="142"/>
  <c r="F29" i="143"/>
  <c r="E29" i="144"/>
  <c r="F43" i="70"/>
  <c r="F44"/>
  <c r="J43"/>
  <c r="J44"/>
  <c r="G29" i="149"/>
  <c r="H28"/>
  <c r="D29"/>
  <c r="I28"/>
  <c r="J28"/>
  <c r="E29"/>
  <c r="F29" i="148"/>
  <c r="G29"/>
  <c r="J28"/>
  <c r="H28"/>
  <c r="I28"/>
  <c r="F29" i="147"/>
  <c r="G29"/>
  <c r="J28"/>
  <c r="H28"/>
  <c r="I28"/>
  <c r="F29" i="146"/>
  <c r="G29"/>
  <c r="J28"/>
  <c r="H28"/>
  <c r="I28"/>
  <c r="F29" i="145"/>
  <c r="H28"/>
  <c r="G29"/>
  <c r="D29"/>
  <c r="J28"/>
  <c r="F29" i="144"/>
  <c r="G29"/>
  <c r="J28"/>
  <c r="H28"/>
  <c r="I28"/>
  <c r="D29" i="143"/>
  <c r="I28"/>
  <c r="J28"/>
  <c r="E29"/>
  <c r="H28"/>
  <c r="G29"/>
  <c r="F29" i="142"/>
  <c r="H28"/>
  <c r="G29"/>
  <c r="D29"/>
  <c r="J28"/>
  <c r="F29" i="141"/>
  <c r="G29"/>
  <c r="J28"/>
  <c r="H28"/>
  <c r="I28"/>
  <c r="F29" i="140"/>
  <c r="G29"/>
  <c r="J28"/>
  <c r="H28"/>
  <c r="I28"/>
  <c r="D29" i="139"/>
  <c r="F29"/>
  <c r="G29"/>
  <c r="J28"/>
  <c r="H28"/>
  <c r="I28"/>
  <c r="I15" i="64"/>
  <c r="I20"/>
  <c r="J20"/>
  <c r="J13" i="138"/>
  <c r="J26"/>
  <c r="J15"/>
  <c r="J19"/>
  <c r="J31"/>
  <c r="J33"/>
  <c r="J35"/>
  <c r="J37"/>
  <c r="J39"/>
  <c r="J41"/>
  <c r="J43"/>
  <c r="J45"/>
  <c r="I13"/>
  <c r="J16"/>
  <c r="J20"/>
  <c r="J22"/>
  <c r="J24"/>
  <c r="J44"/>
  <c r="J46"/>
  <c r="J14"/>
  <c r="J18"/>
  <c r="J30"/>
  <c r="J38"/>
  <c r="J40"/>
  <c r="J42"/>
  <c r="J17"/>
  <c r="J21"/>
  <c r="J23"/>
  <c r="J25"/>
  <c r="J27"/>
  <c r="J29"/>
  <c r="J28"/>
  <c r="J32"/>
  <c r="J34"/>
  <c r="J36"/>
  <c r="F13"/>
  <c r="F16"/>
  <c r="F20"/>
  <c r="F38"/>
  <c r="F40"/>
  <c r="F42"/>
  <c r="F17"/>
  <c r="F21"/>
  <c r="F23"/>
  <c r="F25"/>
  <c r="F27"/>
  <c r="F29"/>
  <c r="F28"/>
  <c r="F32"/>
  <c r="F34"/>
  <c r="F36"/>
  <c r="F26"/>
  <c r="F15"/>
  <c r="F19"/>
  <c r="F31"/>
  <c r="F33"/>
  <c r="F35"/>
  <c r="F37"/>
  <c r="F39"/>
  <c r="F41"/>
  <c r="F43"/>
  <c r="F45"/>
  <c r="E13"/>
  <c r="F14"/>
  <c r="F18"/>
  <c r="F22"/>
  <c r="F24"/>
  <c r="F30"/>
  <c r="F44"/>
  <c r="F46"/>
  <c r="E37" i="67"/>
  <c r="I15" i="70"/>
  <c r="I16"/>
  <c r="I17"/>
  <c r="I18"/>
  <c r="I19"/>
  <c r="I20"/>
  <c r="I21"/>
  <c r="I22"/>
  <c r="I23"/>
  <c r="I24"/>
  <c r="I25"/>
  <c r="I26"/>
  <c r="I27"/>
  <c r="I28"/>
  <c r="I29"/>
  <c r="I30"/>
  <c r="I31"/>
  <c r="I32"/>
  <c r="I33"/>
  <c r="I34"/>
  <c r="I35"/>
  <c r="I36"/>
  <c r="I37"/>
  <c r="I38"/>
  <c r="I39"/>
  <c r="I40"/>
  <c r="I41"/>
  <c r="I42"/>
  <c r="E15" i="130"/>
  <c r="D14"/>
  <c r="I15"/>
  <c r="H14"/>
  <c r="D14" i="128"/>
  <c r="H14"/>
  <c r="I19" i="120"/>
  <c r="E19"/>
  <c r="D14"/>
  <c r="I15"/>
  <c r="E15" i="70"/>
  <c r="E16"/>
  <c r="E17"/>
  <c r="E18"/>
  <c r="E19"/>
  <c r="E20"/>
  <c r="E21"/>
  <c r="E22"/>
  <c r="E23"/>
  <c r="E24"/>
  <c r="E25"/>
  <c r="E26"/>
  <c r="E27"/>
  <c r="E28"/>
  <c r="E29"/>
  <c r="E30"/>
  <c r="E31"/>
  <c r="E32"/>
  <c r="E33"/>
  <c r="E34"/>
  <c r="E35"/>
  <c r="E36"/>
  <c r="E37"/>
  <c r="E38"/>
  <c r="E39"/>
  <c r="E40"/>
  <c r="E41"/>
  <c r="E42"/>
  <c r="F16"/>
  <c r="F18"/>
  <c r="F20"/>
  <c r="F22"/>
  <c r="F24"/>
  <c r="F26"/>
  <c r="F28"/>
  <c r="F30"/>
  <c r="F32"/>
  <c r="F34"/>
  <c r="F36"/>
  <c r="F38"/>
  <c r="F40"/>
  <c r="F42"/>
  <c r="F15"/>
  <c r="F17"/>
  <c r="F19"/>
  <c r="F21"/>
  <c r="F23"/>
  <c r="F25"/>
  <c r="F27"/>
  <c r="F29"/>
  <c r="F31"/>
  <c r="F33"/>
  <c r="F35"/>
  <c r="F37"/>
  <c r="F39"/>
  <c r="F41"/>
  <c r="E15" i="107"/>
  <c r="E16"/>
  <c r="E17"/>
  <c r="E18"/>
  <c r="E19"/>
  <c r="E20"/>
  <c r="E21"/>
  <c r="E22"/>
  <c r="E23"/>
  <c r="E24"/>
  <c r="E25"/>
  <c r="E26"/>
  <c r="E27"/>
  <c r="E28"/>
  <c r="E29"/>
  <c r="E30"/>
  <c r="E31"/>
  <c r="E32"/>
  <c r="E33"/>
  <c r="E34"/>
  <c r="E35"/>
  <c r="E36"/>
  <c r="E37"/>
  <c r="E38"/>
  <c r="E39"/>
  <c r="E40"/>
  <c r="E41"/>
  <c r="E42"/>
  <c r="E43"/>
  <c r="E44"/>
  <c r="E45"/>
  <c r="E47"/>
  <c r="E48"/>
  <c r="I15"/>
  <c r="I16"/>
  <c r="I17"/>
  <c r="I18"/>
  <c r="I19"/>
  <c r="I20"/>
  <c r="I21"/>
  <c r="I22"/>
  <c r="I23"/>
  <c r="I24"/>
  <c r="I25"/>
  <c r="I26"/>
  <c r="I27"/>
  <c r="I28"/>
  <c r="I29"/>
  <c r="I30"/>
  <c r="I31"/>
  <c r="I32"/>
  <c r="I33"/>
  <c r="I34"/>
  <c r="I35"/>
  <c r="I36"/>
  <c r="I37"/>
  <c r="I38"/>
  <c r="I39"/>
  <c r="I40"/>
  <c r="I41"/>
  <c r="I42"/>
  <c r="I43"/>
  <c r="I44"/>
  <c r="I45"/>
  <c r="I47"/>
  <c r="I48"/>
  <c r="E15" i="120"/>
  <c r="E14"/>
  <c r="I14"/>
  <c r="E14" i="107"/>
  <c r="I14"/>
  <c r="J15" i="70"/>
  <c r="J16"/>
  <c r="J17"/>
  <c r="J18"/>
  <c r="J19"/>
  <c r="J20"/>
  <c r="J21"/>
  <c r="J22"/>
  <c r="J23"/>
  <c r="J24"/>
  <c r="J25"/>
  <c r="J26"/>
  <c r="J27"/>
  <c r="J28"/>
  <c r="J29"/>
  <c r="J30"/>
  <c r="J31"/>
  <c r="J32"/>
  <c r="J33"/>
  <c r="J34"/>
  <c r="J35"/>
  <c r="J36"/>
  <c r="J37"/>
  <c r="J38"/>
  <c r="J39"/>
  <c r="J40"/>
  <c r="J41"/>
  <c r="J42"/>
  <c r="H19" i="64"/>
  <c r="E14" i="130" l="1"/>
  <c r="I14"/>
  <c r="I14" i="128"/>
  <c r="E14"/>
  <c r="E18" i="19"/>
  <c r="E17"/>
  <c r="E16"/>
  <c r="E15"/>
  <c r="E14"/>
  <c r="H13" i="130"/>
  <c r="G13"/>
  <c r="G45" s="1"/>
  <c r="H13" i="129"/>
  <c r="G13"/>
  <c r="G45" s="1"/>
  <c r="H13" i="128"/>
  <c r="H45" s="1"/>
  <c r="G13"/>
  <c r="G45" s="1"/>
  <c r="H13" i="125"/>
  <c r="G13"/>
  <c r="G45" s="1"/>
  <c r="H13" i="126"/>
  <c r="G13"/>
  <c r="G45" s="1"/>
  <c r="H13" i="124"/>
  <c r="G13"/>
  <c r="G45" s="1"/>
  <c r="D13" i="130"/>
  <c r="C13"/>
  <c r="C45" s="1"/>
  <c r="D13" i="129"/>
  <c r="C13"/>
  <c r="C45" s="1"/>
  <c r="D13" i="128"/>
  <c r="C13"/>
  <c r="C45" s="1"/>
  <c r="D13" i="125"/>
  <c r="C13"/>
  <c r="C45" s="1"/>
  <c r="C13" i="126"/>
  <c r="C45" s="1"/>
  <c r="D13" i="124"/>
  <c r="H13" i="132"/>
  <c r="D13"/>
  <c r="C13"/>
  <c r="C34" s="1"/>
  <c r="F43" i="130" l="1"/>
  <c r="F44"/>
  <c r="J43"/>
  <c r="J44"/>
  <c r="H45"/>
  <c r="D45"/>
  <c r="F27" i="124"/>
  <c r="D45"/>
  <c r="F43" i="125"/>
  <c r="F44"/>
  <c r="D45"/>
  <c r="E45" s="1"/>
  <c r="F43" i="128"/>
  <c r="F44"/>
  <c r="F43" i="129"/>
  <c r="F44"/>
  <c r="D45"/>
  <c r="J27" i="124"/>
  <c r="H45"/>
  <c r="H45" i="126"/>
  <c r="J41"/>
  <c r="J42" i="125"/>
  <c r="J43"/>
  <c r="J44"/>
  <c r="H45"/>
  <c r="J45" s="1"/>
  <c r="J43" i="128"/>
  <c r="J44"/>
  <c r="J43" i="129"/>
  <c r="J44"/>
  <c r="H45"/>
  <c r="D45" i="128"/>
  <c r="F45" i="125"/>
  <c r="J43" i="126"/>
  <c r="J44"/>
  <c r="F43" i="124"/>
  <c r="F44"/>
  <c r="J43"/>
  <c r="J44"/>
  <c r="D13" i="126"/>
  <c r="F33" s="1"/>
  <c r="J13" i="132"/>
  <c r="H34"/>
  <c r="J19"/>
  <c r="J21"/>
  <c r="J23"/>
  <c r="J25"/>
  <c r="J27"/>
  <c r="J29"/>
  <c r="J31"/>
  <c r="J33"/>
  <c r="J15"/>
  <c r="J17"/>
  <c r="J14"/>
  <c r="J16"/>
  <c r="J18"/>
  <c r="J20"/>
  <c r="J22"/>
  <c r="J24"/>
  <c r="J26"/>
  <c r="J28"/>
  <c r="J30"/>
  <c r="J32"/>
  <c r="F16" i="124"/>
  <c r="F18"/>
  <c r="F32"/>
  <c r="F34"/>
  <c r="F36"/>
  <c r="F38"/>
  <c r="F40"/>
  <c r="F17"/>
  <c r="F13"/>
  <c r="F22"/>
  <c r="F24"/>
  <c r="F26"/>
  <c r="F28"/>
  <c r="F30"/>
  <c r="F42"/>
  <c r="F14"/>
  <c r="F15"/>
  <c r="F19"/>
  <c r="F20"/>
  <c r="F21"/>
  <c r="F23"/>
  <c r="F25"/>
  <c r="F29"/>
  <c r="F31"/>
  <c r="F33"/>
  <c r="F35"/>
  <c r="F37"/>
  <c r="F39"/>
  <c r="F41"/>
  <c r="E13"/>
  <c r="F38" i="126"/>
  <c r="F21"/>
  <c r="F22"/>
  <c r="F42" i="125"/>
  <c r="F41"/>
  <c r="F40"/>
  <c r="F38"/>
  <c r="F36"/>
  <c r="F34"/>
  <c r="F32"/>
  <c r="F29"/>
  <c r="F27"/>
  <c r="F25"/>
  <c r="F23"/>
  <c r="F21"/>
  <c r="F18"/>
  <c r="F16"/>
  <c r="F39"/>
  <c r="F37"/>
  <c r="F35"/>
  <c r="F33"/>
  <c r="F31"/>
  <c r="E13"/>
  <c r="F19"/>
  <c r="F13"/>
  <c r="F14"/>
  <c r="F15"/>
  <c r="F17"/>
  <c r="F20"/>
  <c r="F22"/>
  <c r="F24"/>
  <c r="F26"/>
  <c r="F28"/>
  <c r="F30"/>
  <c r="F39" i="128"/>
  <c r="F41"/>
  <c r="F40"/>
  <c r="F36"/>
  <c r="F32"/>
  <c r="F38"/>
  <c r="F34"/>
  <c r="F17"/>
  <c r="E13"/>
  <c r="F18"/>
  <c r="F21"/>
  <c r="F25"/>
  <c r="F29"/>
  <c r="F33"/>
  <c r="F37"/>
  <c r="F16"/>
  <c r="F19"/>
  <c r="F23"/>
  <c r="F27"/>
  <c r="F31"/>
  <c r="F35"/>
  <c r="F13"/>
  <c r="F20"/>
  <c r="F22"/>
  <c r="F24"/>
  <c r="F26"/>
  <c r="F28"/>
  <c r="F30"/>
  <c r="F42"/>
  <c r="F15"/>
  <c r="F39" i="129"/>
  <c r="F41"/>
  <c r="F40"/>
  <c r="F37"/>
  <c r="F35"/>
  <c r="F33"/>
  <c r="F31"/>
  <c r="F29"/>
  <c r="F26"/>
  <c r="F25"/>
  <c r="F23"/>
  <c r="F20"/>
  <c r="F17"/>
  <c r="E13"/>
  <c r="F38"/>
  <c r="F36"/>
  <c r="F34"/>
  <c r="F27"/>
  <c r="F21"/>
  <c r="F18"/>
  <c r="F16"/>
  <c r="F15"/>
  <c r="F19"/>
  <c r="F42"/>
  <c r="F13"/>
  <c r="F14"/>
  <c r="F22"/>
  <c r="F24"/>
  <c r="F28"/>
  <c r="F30"/>
  <c r="F32"/>
  <c r="F40" i="130"/>
  <c r="F38"/>
  <c r="F36"/>
  <c r="F34"/>
  <c r="F32"/>
  <c r="F29"/>
  <c r="F27"/>
  <c r="F26"/>
  <c r="F25"/>
  <c r="F24"/>
  <c r="F22"/>
  <c r="F20"/>
  <c r="F17"/>
  <c r="F39"/>
  <c r="F37"/>
  <c r="F35"/>
  <c r="F33"/>
  <c r="F31"/>
  <c r="F23"/>
  <c r="F21"/>
  <c r="F18"/>
  <c r="F16"/>
  <c r="F19"/>
  <c r="F41"/>
  <c r="F13"/>
  <c r="F28"/>
  <c r="F30"/>
  <c r="F42"/>
  <c r="E13"/>
  <c r="F15"/>
  <c r="I13" i="124"/>
  <c r="J14"/>
  <c r="J15"/>
  <c r="J18"/>
  <c r="J19"/>
  <c r="J20"/>
  <c r="J21"/>
  <c r="J23"/>
  <c r="J25"/>
  <c r="J29"/>
  <c r="J31"/>
  <c r="J33"/>
  <c r="J35"/>
  <c r="J37"/>
  <c r="J39"/>
  <c r="J41"/>
  <c r="J32"/>
  <c r="J34"/>
  <c r="J36"/>
  <c r="J38"/>
  <c r="J40"/>
  <c r="J16"/>
  <c r="J17"/>
  <c r="J13"/>
  <c r="J22"/>
  <c r="J24"/>
  <c r="J26"/>
  <c r="J28"/>
  <c r="J30"/>
  <c r="J42"/>
  <c r="J39" i="126"/>
  <c r="J40"/>
  <c r="J18"/>
  <c r="J16"/>
  <c r="I13"/>
  <c r="J19"/>
  <c r="J21"/>
  <c r="J23"/>
  <c r="J25"/>
  <c r="J31"/>
  <c r="J33"/>
  <c r="J35"/>
  <c r="J37"/>
  <c r="J13"/>
  <c r="J14"/>
  <c r="J15"/>
  <c r="J17"/>
  <c r="J20"/>
  <c r="J22"/>
  <c r="J24"/>
  <c r="J26"/>
  <c r="J29"/>
  <c r="J30"/>
  <c r="J42"/>
  <c r="J28"/>
  <c r="J32"/>
  <c r="J34"/>
  <c r="J36"/>
  <c r="J38"/>
  <c r="J27"/>
  <c r="J41" i="125"/>
  <c r="J40"/>
  <c r="J39"/>
  <c r="J38"/>
  <c r="J37"/>
  <c r="J36"/>
  <c r="J35"/>
  <c r="J34"/>
  <c r="J33"/>
  <c r="J32"/>
  <c r="J31"/>
  <c r="J29"/>
  <c r="J27"/>
  <c r="J25"/>
  <c r="J23"/>
  <c r="J21"/>
  <c r="J18"/>
  <c r="J16"/>
  <c r="I13"/>
  <c r="J19"/>
  <c r="J13"/>
  <c r="J14"/>
  <c r="J15"/>
  <c r="J17"/>
  <c r="J20"/>
  <c r="J22"/>
  <c r="J24"/>
  <c r="J26"/>
  <c r="J28"/>
  <c r="J30"/>
  <c r="J41" i="128"/>
  <c r="J40"/>
  <c r="J39"/>
  <c r="J36"/>
  <c r="J35"/>
  <c r="J32"/>
  <c r="J31"/>
  <c r="J27"/>
  <c r="J23"/>
  <c r="J18"/>
  <c r="I13"/>
  <c r="J38"/>
  <c r="J37"/>
  <c r="J34"/>
  <c r="J33"/>
  <c r="J29"/>
  <c r="J25"/>
  <c r="J21"/>
  <c r="J17"/>
  <c r="J16"/>
  <c r="J13"/>
  <c r="J20"/>
  <c r="J22"/>
  <c r="J24"/>
  <c r="J26"/>
  <c r="J28"/>
  <c r="J30"/>
  <c r="J42"/>
  <c r="J19"/>
  <c r="J15"/>
  <c r="J41" i="129"/>
  <c r="J40"/>
  <c r="J39"/>
  <c r="J31"/>
  <c r="J29"/>
  <c r="J27"/>
  <c r="J26"/>
  <c r="J25"/>
  <c r="J23"/>
  <c r="J21"/>
  <c r="J20"/>
  <c r="J18"/>
  <c r="J17"/>
  <c r="J16"/>
  <c r="I13"/>
  <c r="J38"/>
  <c r="J37"/>
  <c r="J36"/>
  <c r="J35"/>
  <c r="J34"/>
  <c r="J33"/>
  <c r="J13"/>
  <c r="J14"/>
  <c r="J22"/>
  <c r="J24"/>
  <c r="J28"/>
  <c r="J30"/>
  <c r="J32"/>
  <c r="J15"/>
  <c r="J19"/>
  <c r="J42"/>
  <c r="J40" i="130"/>
  <c r="J39"/>
  <c r="J38"/>
  <c r="J37"/>
  <c r="J36"/>
  <c r="J35"/>
  <c r="J34"/>
  <c r="J33"/>
  <c r="J32"/>
  <c r="J31"/>
  <c r="J29"/>
  <c r="J27"/>
  <c r="J26"/>
  <c r="J25"/>
  <c r="J24"/>
  <c r="J23"/>
  <c r="J22"/>
  <c r="J21"/>
  <c r="J20"/>
  <c r="J18"/>
  <c r="J17"/>
  <c r="J16"/>
  <c r="J41"/>
  <c r="J13"/>
  <c r="J28"/>
  <c r="J30"/>
  <c r="J42"/>
  <c r="I13"/>
  <c r="J19"/>
  <c r="J15"/>
  <c r="F14" i="128"/>
  <c r="J45"/>
  <c r="J14" i="130"/>
  <c r="F45"/>
  <c r="F13" i="132"/>
  <c r="F15"/>
  <c r="F17"/>
  <c r="E13"/>
  <c r="F14"/>
  <c r="F16"/>
  <c r="F18"/>
  <c r="F20"/>
  <c r="F22"/>
  <c r="F24"/>
  <c r="F26"/>
  <c r="F28"/>
  <c r="F30"/>
  <c r="F32"/>
  <c r="D34"/>
  <c r="F19"/>
  <c r="F21"/>
  <c r="F23"/>
  <c r="F25"/>
  <c r="F27"/>
  <c r="F29"/>
  <c r="F31"/>
  <c r="F33"/>
  <c r="E45" i="128"/>
  <c r="J14"/>
  <c r="I45" i="130"/>
  <c r="F14"/>
  <c r="E45"/>
  <c r="H13" i="120"/>
  <c r="H13" i="119"/>
  <c r="C13" i="120"/>
  <c r="C45" s="1"/>
  <c r="C13" i="119"/>
  <c r="D13" i="120"/>
  <c r="D13" i="119"/>
  <c r="C13" i="107"/>
  <c r="C13" i="67"/>
  <c r="H13" i="107"/>
  <c r="J46" s="1"/>
  <c r="H13" i="67"/>
  <c r="J37" s="1"/>
  <c r="D13" i="107"/>
  <c r="F46" s="1"/>
  <c r="D13" i="67"/>
  <c r="F37" s="1"/>
  <c r="G13" i="132"/>
  <c r="G34" s="1"/>
  <c r="J16" i="19"/>
  <c r="J18"/>
  <c r="F18"/>
  <c r="F16"/>
  <c r="F14"/>
  <c r="F19"/>
  <c r="F17"/>
  <c r="F15"/>
  <c r="J19"/>
  <c r="J14"/>
  <c r="I15"/>
  <c r="I17"/>
  <c r="E19"/>
  <c r="I18"/>
  <c r="I16"/>
  <c r="I14"/>
  <c r="J17"/>
  <c r="J15"/>
  <c r="F30" i="126" l="1"/>
  <c r="F14"/>
  <c r="F18"/>
  <c r="F28"/>
  <c r="I45" i="125"/>
  <c r="F26" i="126"/>
  <c r="F17"/>
  <c r="F25"/>
  <c r="F40"/>
  <c r="F34"/>
  <c r="F43" i="120"/>
  <c r="F44"/>
  <c r="D45"/>
  <c r="H45"/>
  <c r="J44"/>
  <c r="J43"/>
  <c r="D45" i="126"/>
  <c r="F41"/>
  <c r="F42"/>
  <c r="F39"/>
  <c r="F45"/>
  <c r="F43"/>
  <c r="F44"/>
  <c r="F37"/>
  <c r="I45" i="128"/>
  <c r="J17" i="67"/>
  <c r="J19"/>
  <c r="J21"/>
  <c r="J23"/>
  <c r="J25"/>
  <c r="J27"/>
  <c r="J29"/>
  <c r="J31"/>
  <c r="J33"/>
  <c r="J35"/>
  <c r="J18"/>
  <c r="J20"/>
  <c r="J22"/>
  <c r="J24"/>
  <c r="J26"/>
  <c r="J28"/>
  <c r="J30"/>
  <c r="J32"/>
  <c r="J34"/>
  <c r="F16"/>
  <c r="F18"/>
  <c r="F20"/>
  <c r="F22"/>
  <c r="F24"/>
  <c r="F26"/>
  <c r="F28"/>
  <c r="F30"/>
  <c r="F32"/>
  <c r="F34"/>
  <c r="F17"/>
  <c r="F19"/>
  <c r="F21"/>
  <c r="F23"/>
  <c r="F25"/>
  <c r="F27"/>
  <c r="F29"/>
  <c r="F31"/>
  <c r="F33"/>
  <c r="F35"/>
  <c r="J45" i="130"/>
  <c r="F29" i="126"/>
  <c r="F24"/>
  <c r="F20"/>
  <c r="F15"/>
  <c r="F13"/>
  <c r="F23"/>
  <c r="F19"/>
  <c r="F27"/>
  <c r="E13"/>
  <c r="F16"/>
  <c r="F32"/>
  <c r="F36"/>
  <c r="F31"/>
  <c r="F35"/>
  <c r="F45" i="128"/>
  <c r="I13" i="132"/>
  <c r="E34"/>
  <c r="F34"/>
  <c r="I45" i="129"/>
  <c r="J45"/>
  <c r="I45" i="126"/>
  <c r="J45"/>
  <c r="I45" i="124"/>
  <c r="J45"/>
  <c r="E45" i="129"/>
  <c r="F45"/>
  <c r="E45" i="124"/>
  <c r="F45"/>
  <c r="I34" i="132"/>
  <c r="J34"/>
  <c r="F13" i="120"/>
  <c r="G13"/>
  <c r="G45" s="1"/>
  <c r="G13" i="119"/>
  <c r="F19" i="120"/>
  <c r="F27"/>
  <c r="F26"/>
  <c r="F25"/>
  <c r="F24"/>
  <c r="F23"/>
  <c r="F22"/>
  <c r="F21"/>
  <c r="F20"/>
  <c r="F18"/>
  <c r="F17"/>
  <c r="F16"/>
  <c r="E13"/>
  <c r="F30"/>
  <c r="F31"/>
  <c r="F32"/>
  <c r="F33"/>
  <c r="F34"/>
  <c r="F35"/>
  <c r="F36"/>
  <c r="F37"/>
  <c r="F38"/>
  <c r="F39"/>
  <c r="F40"/>
  <c r="F41"/>
  <c r="F15"/>
  <c r="F29"/>
  <c r="F28"/>
  <c r="F42"/>
  <c r="F14"/>
  <c r="J19"/>
  <c r="J29"/>
  <c r="J28"/>
  <c r="J42"/>
  <c r="J15"/>
  <c r="J27"/>
  <c r="J26"/>
  <c r="J25"/>
  <c r="J24"/>
  <c r="J23"/>
  <c r="J22"/>
  <c r="J21"/>
  <c r="J20"/>
  <c r="J18"/>
  <c r="J17"/>
  <c r="J16"/>
  <c r="J30"/>
  <c r="J31"/>
  <c r="J32"/>
  <c r="J33"/>
  <c r="J34"/>
  <c r="J35"/>
  <c r="J36"/>
  <c r="J37"/>
  <c r="J38"/>
  <c r="J39"/>
  <c r="J40"/>
  <c r="J41"/>
  <c r="J13"/>
  <c r="J14"/>
  <c r="F17" i="119"/>
  <c r="F35"/>
  <c r="F18"/>
  <c r="F20"/>
  <c r="F22"/>
  <c r="F24"/>
  <c r="F26"/>
  <c r="F28"/>
  <c r="F30"/>
  <c r="F32"/>
  <c r="F34"/>
  <c r="F36"/>
  <c r="F37"/>
  <c r="E13"/>
  <c r="F19"/>
  <c r="F21"/>
  <c r="F23"/>
  <c r="F25"/>
  <c r="F27"/>
  <c r="F29"/>
  <c r="F31"/>
  <c r="F33"/>
  <c r="F13"/>
  <c r="F16"/>
  <c r="J13"/>
  <c r="J16"/>
  <c r="J17"/>
  <c r="J33"/>
  <c r="J35"/>
  <c r="J18"/>
  <c r="J20"/>
  <c r="J22"/>
  <c r="J24"/>
  <c r="J26"/>
  <c r="J28"/>
  <c r="J30"/>
  <c r="J32"/>
  <c r="J34"/>
  <c r="J36"/>
  <c r="I13"/>
  <c r="J19"/>
  <c r="J21"/>
  <c r="J23"/>
  <c r="J25"/>
  <c r="J27"/>
  <c r="J29"/>
  <c r="J31"/>
  <c r="J37"/>
  <c r="G13" i="107"/>
  <c r="G13" i="67"/>
  <c r="F13" i="107"/>
  <c r="F14"/>
  <c r="F16"/>
  <c r="F18"/>
  <c r="F20"/>
  <c r="F22"/>
  <c r="F24"/>
  <c r="F26"/>
  <c r="F28"/>
  <c r="F30"/>
  <c r="F32"/>
  <c r="F34"/>
  <c r="F36"/>
  <c r="F38"/>
  <c r="F40"/>
  <c r="F42"/>
  <c r="F44"/>
  <c r="F47"/>
  <c r="E13"/>
  <c r="F15"/>
  <c r="F17"/>
  <c r="F19"/>
  <c r="F21"/>
  <c r="F23"/>
  <c r="F25"/>
  <c r="F27"/>
  <c r="F29"/>
  <c r="F31"/>
  <c r="F33"/>
  <c r="F35"/>
  <c r="F37"/>
  <c r="F39"/>
  <c r="F41"/>
  <c r="F43"/>
  <c r="F45"/>
  <c r="F48"/>
  <c r="J13"/>
  <c r="J15"/>
  <c r="J17"/>
  <c r="J19"/>
  <c r="J21"/>
  <c r="J23"/>
  <c r="J25"/>
  <c r="J27"/>
  <c r="J29"/>
  <c r="J31"/>
  <c r="J33"/>
  <c r="J35"/>
  <c r="J37"/>
  <c r="J39"/>
  <c r="J41"/>
  <c r="J43"/>
  <c r="J45"/>
  <c r="J48"/>
  <c r="J14"/>
  <c r="J16"/>
  <c r="J18"/>
  <c r="J20"/>
  <c r="J22"/>
  <c r="J24"/>
  <c r="J26"/>
  <c r="J28"/>
  <c r="J30"/>
  <c r="J32"/>
  <c r="J34"/>
  <c r="J36"/>
  <c r="J38"/>
  <c r="J40"/>
  <c r="J42"/>
  <c r="J44"/>
  <c r="J47"/>
  <c r="I13"/>
  <c r="J21" i="19"/>
  <c r="J28"/>
  <c r="J27"/>
  <c r="J26"/>
  <c r="J25"/>
  <c r="J24"/>
  <c r="J23"/>
  <c r="J22"/>
  <c r="F23"/>
  <c r="F24"/>
  <c r="F25"/>
  <c r="F26"/>
  <c r="F27"/>
  <c r="F28"/>
  <c r="F22"/>
  <c r="F21"/>
  <c r="M29"/>
  <c r="I28"/>
  <c r="E28"/>
  <c r="I27"/>
  <c r="E27"/>
  <c r="I26"/>
  <c r="E26"/>
  <c r="I25"/>
  <c r="E25"/>
  <c r="I24"/>
  <c r="E24"/>
  <c r="I23"/>
  <c r="E23"/>
  <c r="I22"/>
  <c r="E22"/>
  <c r="I21"/>
  <c r="E21"/>
  <c r="E45" i="126" l="1"/>
  <c r="E36" i="67"/>
  <c r="F36"/>
  <c r="I36"/>
  <c r="J36"/>
  <c r="I13" i="120"/>
  <c r="E45"/>
  <c r="F45"/>
  <c r="I45"/>
  <c r="J45"/>
  <c r="I19" i="19"/>
  <c r="F25" i="64"/>
  <c r="E25"/>
  <c r="D25"/>
  <c r="C25"/>
  <c r="J13" i="70"/>
  <c r="I13"/>
  <c r="F13"/>
  <c r="E13"/>
  <c r="J14"/>
  <c r="I14"/>
  <c r="F14"/>
  <c r="E14"/>
  <c r="M45"/>
  <c r="L30" i="68" l="1"/>
  <c r="L29"/>
  <c r="L28"/>
  <c r="L27"/>
  <c r="M38" i="67" l="1"/>
  <c r="J16"/>
  <c r="I16"/>
  <c r="J13"/>
  <c r="I13"/>
  <c r="F13"/>
  <c r="E13"/>
  <c r="J13" i="19" l="1"/>
  <c r="F13"/>
  <c r="E13"/>
  <c r="I13"/>
  <c r="H13" i="64" l="1"/>
  <c r="M41"/>
  <c r="M40"/>
  <c r="M39"/>
  <c r="M38"/>
  <c r="M36"/>
  <c r="M35"/>
  <c r="M34"/>
  <c r="M33"/>
  <c r="M32"/>
  <c r="M24"/>
  <c r="J24"/>
  <c r="J23"/>
  <c r="M22"/>
  <c r="M20"/>
  <c r="J19"/>
  <c r="M18"/>
  <c r="J18"/>
  <c r="J17"/>
  <c r="M16"/>
  <c r="H16"/>
  <c r="J15"/>
  <c r="M14"/>
  <c r="H14"/>
  <c r="J13"/>
  <c r="M13" l="1"/>
  <c r="J14"/>
  <c r="M15"/>
  <c r="J16"/>
  <c r="I17"/>
  <c r="M17"/>
  <c r="H18"/>
  <c r="I19"/>
  <c r="M19"/>
  <c r="M21"/>
  <c r="I23"/>
  <c r="M23"/>
  <c r="H24"/>
  <c r="I13"/>
  <c r="I14"/>
  <c r="H15"/>
  <c r="I16"/>
  <c r="H17"/>
  <c r="I18"/>
  <c r="H23"/>
  <c r="I24"/>
  <c r="D26"/>
  <c r="F26"/>
  <c r="G28" l="1"/>
  <c r="C28"/>
  <c r="E28"/>
  <c r="D28"/>
  <c r="F28"/>
  <c r="F29" s="1"/>
  <c r="E26"/>
  <c r="D29" l="1"/>
  <c r="I28"/>
  <c r="J28"/>
  <c r="E29"/>
  <c r="H28"/>
  <c r="G29"/>
  <c r="M20" i="19" l="1"/>
</calcChain>
</file>

<file path=xl/sharedStrings.xml><?xml version="1.0" encoding="utf-8"?>
<sst xmlns="http://schemas.openxmlformats.org/spreadsheetml/2006/main" count="797" uniqueCount="142">
  <si>
    <t>Índice de cuadros y gráficas</t>
  </si>
  <si>
    <t>% Cambio   '10/'09</t>
  </si>
  <si>
    <t>Año</t>
  </si>
  <si>
    <t>% Cambio   '09/'08</t>
  </si>
  <si>
    <t>% del total '10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</si>
  <si>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</si>
  <si>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</si>
  <si>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</si>
  <si>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</si>
  <si>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</si>
  <si>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'10 como % de '09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</si>
  <si>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</si>
  <si>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</si>
  <si>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</si>
  <si>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</si>
  <si>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</si>
  <si>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</si>
  <si>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</si>
  <si>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</si>
  <si>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</si>
  <si>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</si>
  <si>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</si>
  <si>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</si>
  <si>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</si>
  <si>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</si>
  <si>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</si>
  <si>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Total exportado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</si>
  <si>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</si>
  <si>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</si>
  <si>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</si>
  <si>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</si>
  <si>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Colombia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</si>
  <si>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</si>
  <si>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</si>
  <si>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</si>
  <si>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</si>
  <si>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</si>
  <si>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</si>
  <si>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</si>
  <si>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</si>
  <si>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</si>
  <si>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</si>
  <si>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</si>
  <si>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</si>
  <si>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</si>
  <si>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</si>
  <si>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</si>
  <si>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Otras transacciones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</si>
  <si>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</si>
  <si>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</si>
  <si>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</si>
  <si>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</si>
  <si>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</si>
  <si>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</si>
  <si>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</si>
  <si>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</si>
  <si>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</si>
  <si>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</si>
  <si>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</si>
  <si>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</si>
  <si>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</si>
  <si>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</si>
  <si>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</si>
  <si>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</si>
  <si>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</si>
  <si>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</si>
  <si>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</si>
  <si>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</si>
  <si>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</si>
  <si>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capítulo arancelario</t>
  </si>
  <si>
    <t>Importaciones por principales subpartidas arancelarias</t>
  </si>
  <si>
    <t>Importaciones de manufacturas</t>
  </si>
  <si>
    <t>Importaciones de bienes primarios</t>
  </si>
  <si>
    <t>Importaciones de manufacturas basadas en recursos naturales</t>
  </si>
  <si>
    <t>Importaciones de manufacturas de baja tecnología</t>
  </si>
  <si>
    <t>Importaciones de manufacturas de tecnología media</t>
  </si>
  <si>
    <t>Importaciones de manufacturas de alta tecnología</t>
  </si>
  <si>
    <t>Importaciones totales provenientes de México</t>
  </si>
  <si>
    <t>Importaciones totales provenientes de EEUU</t>
  </si>
  <si>
    <t>Importaciones totales provenientes de China</t>
  </si>
  <si>
    <t>Importaciones totales provenientes de Brasil</t>
  </si>
  <si>
    <t>Importaciones totales provenientes de Alemania</t>
  </si>
  <si>
    <t>Valor CIF, millones de dólares (por departamento de destino)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</si>
  <si>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</si>
  <si>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</si>
  <si>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</si>
  <si>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</si>
  <si>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</si>
  <si>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</si>
  <si>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</si>
  <si>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de EEUU</t>
  </si>
  <si>
    <t>Importaciones de China</t>
  </si>
  <si>
    <t>Importaciones de México</t>
  </si>
  <si>
    <t>Importaciones de Brasil</t>
  </si>
  <si>
    <t>Importaciones por subpartidas</t>
  </si>
  <si>
    <t>Importaciones de Alemania</t>
  </si>
  <si>
    <t>Otras transacciones</t>
  </si>
  <si>
    <t>Importaciones por uso o destino económico</t>
  </si>
  <si>
    <t>Total importaciones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</si>
  <si>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</si>
  <si>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</si>
  <si>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</si>
  <si>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</si>
  <si>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</si>
  <si>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</si>
  <si>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</si>
  <si>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Electricidad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</si>
  <si>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</si>
  <si>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</si>
  <si>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</si>
  <si>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</si>
  <si>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</si>
  <si>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</si>
  <si>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</si>
  <si>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</si>
  <si>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</si>
  <si>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</si>
  <si>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</si>
  <si>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</si>
  <si>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</si>
  <si>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</si>
  <si>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</si>
  <si>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</si>
  <si>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</si>
  <si>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</si>
  <si>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</si>
  <si>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</si>
  <si>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</si>
  <si>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</si>
  <si>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</si>
  <si>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</si>
  <si>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</si>
  <si>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</si>
  <si>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</si>
  <si>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</si>
  <si>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Fuente: The Economist. Edición impresa 29 de diciembre de 2010.</t>
  </si>
  <si>
    <t>Datos para octubre Zona Euro y Japón.</t>
  </si>
  <si>
    <t>Datos para noviembre Brasil.</t>
  </si>
  <si>
    <t>Segundo trimestre Chile y Colombia.</t>
  </si>
  <si>
    <t>Tercer trimestre Argentina, Canadá, China, Estados Unidos, Gran Bretaña, México, Perú y Venezuela.</t>
  </si>
  <si>
    <t>Año corrido a octubre</t>
  </si>
  <si>
    <t>Octubre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</si>
</sst>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\$#,##0\ ;\(\$#,##0\)"/>
    <numFmt numFmtId="166" formatCode="_-* #,##0.00\ [$€]_-;\-* #,##0.00\ [$€]_-;_-* &quot;-&quot;??\ [$€]_-;_-@_-"/>
  </numFmts>
  <fonts count="24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18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3" fontId="11" fillId="2" borderId="2" xfId="2" applyNumberFormat="1" applyFont="1" applyFill="1" applyBorder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3" fontId="19" fillId="4" borderId="0" xfId="2" applyNumberFormat="1" applyFont="1" applyFill="1" applyBorder="1"/>
    <xf numFmtId="164" fontId="19" fillId="4" borderId="0" xfId="3" applyNumberFormat="1" applyFont="1" applyFill="1" applyBorder="1"/>
    <xf numFmtId="3" fontId="20" fillId="4" borderId="0" xfId="2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0" fontId="19" fillId="5" borderId="0" xfId="1" applyFont="1" applyFill="1"/>
    <xf numFmtId="164" fontId="20" fillId="2" borderId="0" xfId="2" applyNumberFormat="1" applyFont="1" applyFill="1" applyBorder="1"/>
    <xf numFmtId="0" fontId="2" fillId="5" borderId="0" xfId="1" applyFont="1" applyFill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3" fontId="13" fillId="3" borderId="12" xfId="2" applyNumberFormat="1" applyFont="1" applyFill="1" applyBorder="1"/>
    <xf numFmtId="3" fontId="13" fillId="3" borderId="2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3" fontId="11" fillId="4" borderId="2" xfId="2" applyNumberFormat="1" applyFont="1" applyFill="1" applyBorder="1"/>
    <xf numFmtId="3" fontId="12" fillId="4" borderId="2" xfId="2" applyNumberFormat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2" fillId="4" borderId="0" xfId="2" applyFont="1" applyFill="1" applyBorder="1" applyAlignment="1">
      <alignment horizontal="center"/>
    </xf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164" fontId="2" fillId="2" borderId="0" xfId="2" applyNumberFormat="1" applyFont="1" applyFill="1" applyBorder="1"/>
    <xf numFmtId="3" fontId="2" fillId="2" borderId="0" xfId="1" applyNumberFormat="1" applyFont="1" applyFill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3" fontId="23" fillId="2" borderId="0" xfId="13" applyNumberFormat="1" applyFont="1" applyFill="1" applyBorder="1" applyAlignment="1" applyProtection="1">
      <alignment horizontal="left"/>
    </xf>
    <xf numFmtId="0" fontId="23" fillId="2" borderId="0" xfId="13" applyFont="1" applyFill="1" applyBorder="1" applyAlignment="1" applyProtection="1"/>
    <xf numFmtId="164" fontId="12" fillId="2" borderId="2" xfId="2" applyNumberFormat="1" applyFont="1" applyFill="1" applyBorder="1"/>
    <xf numFmtId="3" fontId="12" fillId="2" borderId="2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19" fillId="2" borderId="0" xfId="1" applyFont="1" applyFill="1"/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004559"/>
      <color rgb="FF53722D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4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7.xml"/><Relationship Id="rId47" Type="http://schemas.openxmlformats.org/officeDocument/2006/relationships/externalLink" Target="externalLinks/externalLink12.xml"/><Relationship Id="rId50" Type="http://schemas.openxmlformats.org/officeDocument/2006/relationships/externalLink" Target="externalLinks/externalLink15.xml"/><Relationship Id="rId55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3.xml"/><Relationship Id="rId46" Type="http://schemas.openxmlformats.org/officeDocument/2006/relationships/externalLink" Target="externalLinks/externalLink1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6.xml"/><Relationship Id="rId54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2.xml"/><Relationship Id="rId40" Type="http://schemas.openxmlformats.org/officeDocument/2006/relationships/externalLink" Target="externalLinks/externalLink5.xml"/><Relationship Id="rId45" Type="http://schemas.openxmlformats.org/officeDocument/2006/relationships/externalLink" Target="externalLinks/externalLink10.xml"/><Relationship Id="rId53" Type="http://schemas.openxmlformats.org/officeDocument/2006/relationships/externalLink" Target="externalLinks/externalLink18.xml"/><Relationship Id="rId58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1.xml"/><Relationship Id="rId49" Type="http://schemas.openxmlformats.org/officeDocument/2006/relationships/externalLink" Target="externalLinks/externalLink14.xml"/><Relationship Id="rId57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9.xml"/><Relationship Id="rId52" Type="http://schemas.openxmlformats.org/officeDocument/2006/relationships/externalLink" Target="externalLinks/externalLink17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8.xml"/><Relationship Id="rId48" Type="http://schemas.openxmlformats.org/officeDocument/2006/relationships/externalLink" Target="externalLinks/externalLink13.xml"/><Relationship Id="rId56" Type="http://schemas.openxmlformats.org/officeDocument/2006/relationships/styles" Target="styles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6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Importaciones con destino</a:t>
            </a:r>
            <a:r>
              <a:rPr lang="en-US" sz="1200" baseline="0">
                <a:solidFill>
                  <a:srgbClr val="53722D"/>
                </a:solidFill>
              </a:rPr>
              <a:t>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(2010 acumulado, porcentaje %)</a:t>
            </a:r>
          </a:p>
        </c:rich>
      </c:tx>
      <c:layout/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6.0561257429028389E-2"/>
                  <c:y val="-0.18306882872517646"/>
                </c:manualLayout>
              </c:layout>
              <c:numFmt formatCode="0.0%" sourceLinked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6.2585694029625785E-2"/>
                  <c:y val="0.12010258991598666"/>
                </c:manualLayout>
              </c:layout>
              <c:dLblPos val="bestFit"/>
              <c:showPercent val="1"/>
            </c:dLbl>
            <c:dLbl>
              <c:idx val="2"/>
              <c:layout>
                <c:manualLayout>
                  <c:x val="0.11407439587292974"/>
                  <c:y val="-0.2129824182936037"/>
                </c:manualLayout>
              </c:layout>
              <c:dLblPos val="bestFit"/>
              <c:showPercent val="1"/>
            </c:dLbl>
            <c:numFmt formatCode="0.0%" sourceLinked="0"/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'Resumen importaciones totales'!$C$42:$C$44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totales'!$D$42:$D$44</c:f>
              <c:numCache>
                <c:formatCode>#,##0</c:formatCode>
                <c:ptCount val="3"/>
                <c:pt idx="0">
                  <c:v>522.63412937999965</c:v>
                </c:pt>
                <c:pt idx="1">
                  <c:v>13831.708163960082</c:v>
                </c:pt>
                <c:pt idx="2">
                  <c:v>86.45691414000018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0498"/>
          <c:h val="8.313983165897366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[17]Total!$E$11:$E$59</c:f>
              <c:numCache>
                <c:formatCode>General</c:formatCode>
                <c:ptCount val="49"/>
                <c:pt idx="0">
                  <c:v>38991</c:v>
                </c:pt>
                <c:pt idx="1">
                  <c:v>39022</c:v>
                </c:pt>
                <c:pt idx="2">
                  <c:v>39052</c:v>
                </c:pt>
                <c:pt idx="3">
                  <c:v>39083</c:v>
                </c:pt>
                <c:pt idx="4">
                  <c:v>39114</c:v>
                </c:pt>
                <c:pt idx="5">
                  <c:v>39142</c:v>
                </c:pt>
                <c:pt idx="6">
                  <c:v>39173</c:v>
                </c:pt>
                <c:pt idx="7">
                  <c:v>39203</c:v>
                </c:pt>
                <c:pt idx="8">
                  <c:v>39234</c:v>
                </c:pt>
                <c:pt idx="9">
                  <c:v>39264</c:v>
                </c:pt>
                <c:pt idx="10">
                  <c:v>39295</c:v>
                </c:pt>
                <c:pt idx="11">
                  <c:v>39326</c:v>
                </c:pt>
                <c:pt idx="12">
                  <c:v>39356</c:v>
                </c:pt>
                <c:pt idx="13">
                  <c:v>39387</c:v>
                </c:pt>
                <c:pt idx="14">
                  <c:v>39417</c:v>
                </c:pt>
                <c:pt idx="15">
                  <c:v>39448</c:v>
                </c:pt>
                <c:pt idx="16">
                  <c:v>39479</c:v>
                </c:pt>
                <c:pt idx="17">
                  <c:v>39508</c:v>
                </c:pt>
                <c:pt idx="18">
                  <c:v>39539</c:v>
                </c:pt>
                <c:pt idx="19">
                  <c:v>39569</c:v>
                </c:pt>
                <c:pt idx="20">
                  <c:v>39600</c:v>
                </c:pt>
                <c:pt idx="21">
                  <c:v>39630</c:v>
                </c:pt>
                <c:pt idx="22">
                  <c:v>39661</c:v>
                </c:pt>
                <c:pt idx="23">
                  <c:v>39692</c:v>
                </c:pt>
                <c:pt idx="24">
                  <c:v>39722</c:v>
                </c:pt>
                <c:pt idx="25">
                  <c:v>39753</c:v>
                </c:pt>
                <c:pt idx="26">
                  <c:v>39783</c:v>
                </c:pt>
                <c:pt idx="27">
                  <c:v>39814</c:v>
                </c:pt>
                <c:pt idx="28">
                  <c:v>39845</c:v>
                </c:pt>
                <c:pt idx="29">
                  <c:v>39873</c:v>
                </c:pt>
                <c:pt idx="30">
                  <c:v>39904</c:v>
                </c:pt>
                <c:pt idx="31">
                  <c:v>39934</c:v>
                </c:pt>
                <c:pt idx="32">
                  <c:v>39965</c:v>
                </c:pt>
                <c:pt idx="33">
                  <c:v>39995</c:v>
                </c:pt>
                <c:pt idx="34">
                  <c:v>40026</c:v>
                </c:pt>
                <c:pt idx="35">
                  <c:v>40057</c:v>
                </c:pt>
                <c:pt idx="36">
                  <c:v>40087</c:v>
                </c:pt>
                <c:pt idx="37">
                  <c:v>40118</c:v>
                </c:pt>
                <c:pt idx="38">
                  <c:v>40148</c:v>
                </c:pt>
                <c:pt idx="39">
                  <c:v>40179</c:v>
                </c:pt>
                <c:pt idx="40">
                  <c:v>40210</c:v>
                </c:pt>
                <c:pt idx="41">
                  <c:v>40238</c:v>
                </c:pt>
                <c:pt idx="42">
                  <c:v>40269</c:v>
                </c:pt>
                <c:pt idx="43">
                  <c:v>40299</c:v>
                </c:pt>
                <c:pt idx="44">
                  <c:v>40330</c:v>
                </c:pt>
                <c:pt idx="45">
                  <c:v>40360</c:v>
                </c:pt>
                <c:pt idx="46">
                  <c:v>40391</c:v>
                </c:pt>
                <c:pt idx="47">
                  <c:v>40422</c:v>
                </c:pt>
                <c:pt idx="48">
                  <c:v>40452</c:v>
                </c:pt>
              </c:numCache>
            </c:numRef>
          </c:cat>
          <c:val>
            <c:numRef>
              <c:f>[17]Total!$F$11:$F$59</c:f>
              <c:numCache>
                <c:formatCode>General</c:formatCode>
                <c:ptCount val="49"/>
                <c:pt idx="2">
                  <c:v>852.17574345916637</c:v>
                </c:pt>
                <c:pt idx="3">
                  <c:v>868.94404450833247</c:v>
                </c:pt>
                <c:pt idx="4">
                  <c:v>894.70759506166723</c:v>
                </c:pt>
                <c:pt idx="5">
                  <c:v>908.93445967750006</c:v>
                </c:pt>
                <c:pt idx="6">
                  <c:v>913.83821571749968</c:v>
                </c:pt>
                <c:pt idx="7">
                  <c:v>923.13441499749979</c:v>
                </c:pt>
                <c:pt idx="8">
                  <c:v>928.33705142916608</c:v>
                </c:pt>
                <c:pt idx="9">
                  <c:v>937.85543926583284</c:v>
                </c:pt>
                <c:pt idx="10">
                  <c:v>953.06022468333322</c:v>
                </c:pt>
                <c:pt idx="11">
                  <c:v>968.22442730999956</c:v>
                </c:pt>
                <c:pt idx="12">
                  <c:v>993.71547356916756</c:v>
                </c:pt>
                <c:pt idx="13">
                  <c:v>1015.2358611424999</c:v>
                </c:pt>
                <c:pt idx="14">
                  <c:v>1028.410250830834</c:v>
                </c:pt>
                <c:pt idx="15">
                  <c:v>1038.3081531308349</c:v>
                </c:pt>
                <c:pt idx="16">
                  <c:v>1047.9742476800002</c:v>
                </c:pt>
                <c:pt idx="17">
                  <c:v>1049.4366528008338</c:v>
                </c:pt>
                <c:pt idx="18">
                  <c:v>1080.4477975649991</c:v>
                </c:pt>
                <c:pt idx="19">
                  <c:v>1091.4520261358309</c:v>
                </c:pt>
                <c:pt idx="20">
                  <c:v>1110.4243578849976</c:v>
                </c:pt>
                <c:pt idx="21">
                  <c:v>1137.0389230291626</c:v>
                </c:pt>
                <c:pt idx="22">
                  <c:v>1141.1440030349963</c:v>
                </c:pt>
                <c:pt idx="23">
                  <c:v>1157.5519290824959</c:v>
                </c:pt>
                <c:pt idx="24">
                  <c:v>1171.4173721791619</c:v>
                </c:pt>
                <c:pt idx="25">
                  <c:v>1188.0382741933292</c:v>
                </c:pt>
                <c:pt idx="26">
                  <c:v>1200.680948882494</c:v>
                </c:pt>
                <c:pt idx="27">
                  <c:v>1231.860109816661</c:v>
                </c:pt>
                <c:pt idx="28">
                  <c:v>1231.4811107208282</c:v>
                </c:pt>
                <c:pt idx="29">
                  <c:v>1229.9906196008287</c:v>
                </c:pt>
                <c:pt idx="30">
                  <c:v>1223.4315620333316</c:v>
                </c:pt>
                <c:pt idx="31">
                  <c:v>1207.9435425225008</c:v>
                </c:pt>
                <c:pt idx="32">
                  <c:v>1192.3156023775016</c:v>
                </c:pt>
                <c:pt idx="33">
                  <c:v>1198.3028991725041</c:v>
                </c:pt>
                <c:pt idx="34">
                  <c:v>1195.9863133375036</c:v>
                </c:pt>
                <c:pt idx="35">
                  <c:v>1190.834704262503</c:v>
                </c:pt>
                <c:pt idx="36">
                  <c:v>1183.8303715883355</c:v>
                </c:pt>
                <c:pt idx="37">
                  <c:v>1158.6841218266691</c:v>
                </c:pt>
                <c:pt idx="38">
                  <c:v>1164.3470357383371</c:v>
                </c:pt>
                <c:pt idx="39">
                  <c:v>1148.54532196167</c:v>
                </c:pt>
                <c:pt idx="40">
                  <c:v>1155.3038296425045</c:v>
                </c:pt>
                <c:pt idx="41">
                  <c:v>1196.3089286683366</c:v>
                </c:pt>
                <c:pt idx="42">
                  <c:v>1209.693752784166</c:v>
                </c:pt>
                <c:pt idx="43">
                  <c:v>1244.5338117974984</c:v>
                </c:pt>
                <c:pt idx="44">
                  <c:v>1274.8309969716638</c:v>
                </c:pt>
                <c:pt idx="45">
                  <c:v>1287.2568402033301</c:v>
                </c:pt>
                <c:pt idx="46">
                  <c:v>1325.1180212066645</c:v>
                </c:pt>
                <c:pt idx="47">
                  <c:v>1377.3994433024975</c:v>
                </c:pt>
                <c:pt idx="48">
                  <c:v>1406.8429118358329</c:v>
                </c:pt>
              </c:numCache>
            </c:numRef>
          </c:val>
        </c:ser>
        <c:marker val="1"/>
        <c:axId val="73500544"/>
        <c:axId val="73502080"/>
      </c:lineChart>
      <c:catAx>
        <c:axId val="735005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502080"/>
        <c:crosses val="autoZero"/>
        <c:auto val="1"/>
        <c:lblAlgn val="ctr"/>
        <c:lblOffset val="100"/>
        <c:tickLblSkip val="12"/>
        <c:tickMarkSkip val="12"/>
      </c:catAx>
      <c:valAx>
        <c:axId val="73502080"/>
        <c:scaling>
          <c:orientation val="minMax"/>
          <c:max val="1500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500544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bienes primarios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[17]Primarios!$E$11:$E$59</c:f>
              <c:numCache>
                <c:formatCode>General</c:formatCode>
                <c:ptCount val="49"/>
                <c:pt idx="0">
                  <c:v>38991</c:v>
                </c:pt>
                <c:pt idx="1">
                  <c:v>39022</c:v>
                </c:pt>
                <c:pt idx="2">
                  <c:v>39052</c:v>
                </c:pt>
                <c:pt idx="3">
                  <c:v>39083</c:v>
                </c:pt>
                <c:pt idx="4">
                  <c:v>39114</c:v>
                </c:pt>
                <c:pt idx="5">
                  <c:v>39142</c:v>
                </c:pt>
                <c:pt idx="6">
                  <c:v>39173</c:v>
                </c:pt>
                <c:pt idx="7">
                  <c:v>39203</c:v>
                </c:pt>
                <c:pt idx="8">
                  <c:v>39234</c:v>
                </c:pt>
                <c:pt idx="9">
                  <c:v>39264</c:v>
                </c:pt>
                <c:pt idx="10">
                  <c:v>39295</c:v>
                </c:pt>
                <c:pt idx="11">
                  <c:v>39326</c:v>
                </c:pt>
                <c:pt idx="12">
                  <c:v>39356</c:v>
                </c:pt>
                <c:pt idx="13">
                  <c:v>39387</c:v>
                </c:pt>
                <c:pt idx="14">
                  <c:v>39417</c:v>
                </c:pt>
                <c:pt idx="15">
                  <c:v>39448</c:v>
                </c:pt>
                <c:pt idx="16">
                  <c:v>39479</c:v>
                </c:pt>
                <c:pt idx="17">
                  <c:v>39508</c:v>
                </c:pt>
                <c:pt idx="18">
                  <c:v>39539</c:v>
                </c:pt>
                <c:pt idx="19">
                  <c:v>39569</c:v>
                </c:pt>
                <c:pt idx="20">
                  <c:v>39600</c:v>
                </c:pt>
                <c:pt idx="21">
                  <c:v>39630</c:v>
                </c:pt>
                <c:pt idx="22">
                  <c:v>39661</c:v>
                </c:pt>
                <c:pt idx="23">
                  <c:v>39692</c:v>
                </c:pt>
                <c:pt idx="24">
                  <c:v>39722</c:v>
                </c:pt>
                <c:pt idx="25">
                  <c:v>39753</c:v>
                </c:pt>
                <c:pt idx="26">
                  <c:v>39783</c:v>
                </c:pt>
                <c:pt idx="27">
                  <c:v>39814</c:v>
                </c:pt>
                <c:pt idx="28">
                  <c:v>39845</c:v>
                </c:pt>
                <c:pt idx="29">
                  <c:v>39873</c:v>
                </c:pt>
                <c:pt idx="30">
                  <c:v>39904</c:v>
                </c:pt>
                <c:pt idx="31">
                  <c:v>39934</c:v>
                </c:pt>
                <c:pt idx="32">
                  <c:v>39965</c:v>
                </c:pt>
                <c:pt idx="33">
                  <c:v>39995</c:v>
                </c:pt>
                <c:pt idx="34">
                  <c:v>40026</c:v>
                </c:pt>
                <c:pt idx="35">
                  <c:v>40057</c:v>
                </c:pt>
                <c:pt idx="36">
                  <c:v>40087</c:v>
                </c:pt>
                <c:pt idx="37">
                  <c:v>40118</c:v>
                </c:pt>
                <c:pt idx="38">
                  <c:v>40148</c:v>
                </c:pt>
                <c:pt idx="39">
                  <c:v>40179</c:v>
                </c:pt>
                <c:pt idx="40">
                  <c:v>40210</c:v>
                </c:pt>
                <c:pt idx="41">
                  <c:v>40238</c:v>
                </c:pt>
                <c:pt idx="42">
                  <c:v>40269</c:v>
                </c:pt>
                <c:pt idx="43">
                  <c:v>40299</c:v>
                </c:pt>
                <c:pt idx="44">
                  <c:v>40330</c:v>
                </c:pt>
                <c:pt idx="45">
                  <c:v>40360</c:v>
                </c:pt>
                <c:pt idx="46">
                  <c:v>40391</c:v>
                </c:pt>
                <c:pt idx="47">
                  <c:v>40422</c:v>
                </c:pt>
                <c:pt idx="48">
                  <c:v>40452</c:v>
                </c:pt>
              </c:numCache>
            </c:numRef>
          </c:cat>
          <c:val>
            <c:numRef>
              <c:f>[17]Primarios!$F$11:$F$59</c:f>
              <c:numCache>
                <c:formatCode>General</c:formatCode>
                <c:ptCount val="49"/>
                <c:pt idx="2">
                  <c:v>38.29286400083334</c:v>
                </c:pt>
                <c:pt idx="3">
                  <c:v>37.550596465000012</c:v>
                </c:pt>
                <c:pt idx="4">
                  <c:v>39.285006805833348</c:v>
                </c:pt>
                <c:pt idx="5">
                  <c:v>37.416645598333346</c:v>
                </c:pt>
                <c:pt idx="6">
                  <c:v>37.83429504416668</c:v>
                </c:pt>
                <c:pt idx="7">
                  <c:v>36.611248796666665</c:v>
                </c:pt>
                <c:pt idx="8">
                  <c:v>35.958272819166666</c:v>
                </c:pt>
                <c:pt idx="9">
                  <c:v>33.673349160833332</c:v>
                </c:pt>
                <c:pt idx="10">
                  <c:v>30.592377437499994</c:v>
                </c:pt>
                <c:pt idx="11">
                  <c:v>30.95551508416666</c:v>
                </c:pt>
                <c:pt idx="12">
                  <c:v>32.758239560833317</c:v>
                </c:pt>
                <c:pt idx="13">
                  <c:v>31.328622681666655</c:v>
                </c:pt>
                <c:pt idx="14">
                  <c:v>31.258767539999983</c:v>
                </c:pt>
                <c:pt idx="15">
                  <c:v>31.426830765833319</c:v>
                </c:pt>
                <c:pt idx="16">
                  <c:v>31.834376709999987</c:v>
                </c:pt>
                <c:pt idx="17">
                  <c:v>31.649222727499993</c:v>
                </c:pt>
                <c:pt idx="18">
                  <c:v>32.051521303333324</c:v>
                </c:pt>
                <c:pt idx="19">
                  <c:v>32.622718589166666</c:v>
                </c:pt>
                <c:pt idx="20">
                  <c:v>34.250823239166657</c:v>
                </c:pt>
                <c:pt idx="21">
                  <c:v>35.550994947500001</c:v>
                </c:pt>
                <c:pt idx="22">
                  <c:v>37.985220570833341</c:v>
                </c:pt>
                <c:pt idx="23">
                  <c:v>38.969456431666678</c:v>
                </c:pt>
                <c:pt idx="24">
                  <c:v>40.357121055833353</c:v>
                </c:pt>
                <c:pt idx="25">
                  <c:v>42.85974733333336</c:v>
                </c:pt>
                <c:pt idx="26">
                  <c:v>43.980465499166691</c:v>
                </c:pt>
                <c:pt idx="27">
                  <c:v>43.758092452500023</c:v>
                </c:pt>
                <c:pt idx="28">
                  <c:v>42.809184508333367</c:v>
                </c:pt>
                <c:pt idx="29">
                  <c:v>44.470191533333356</c:v>
                </c:pt>
                <c:pt idx="30">
                  <c:v>44.624840490833357</c:v>
                </c:pt>
                <c:pt idx="31">
                  <c:v>44.548843210000008</c:v>
                </c:pt>
                <c:pt idx="32">
                  <c:v>44.595237090000019</c:v>
                </c:pt>
                <c:pt idx="33">
                  <c:v>45.160477275000012</c:v>
                </c:pt>
                <c:pt idx="34">
                  <c:v>43.913446645000015</c:v>
                </c:pt>
                <c:pt idx="35">
                  <c:v>43.735495691666671</c:v>
                </c:pt>
                <c:pt idx="36">
                  <c:v>42.69963723916667</c:v>
                </c:pt>
                <c:pt idx="37">
                  <c:v>39.972839045833318</c:v>
                </c:pt>
                <c:pt idx="38">
                  <c:v>41.034956977499981</c:v>
                </c:pt>
                <c:pt idx="39">
                  <c:v>41.475832010833315</c:v>
                </c:pt>
                <c:pt idx="40">
                  <c:v>43.019197867499976</c:v>
                </c:pt>
                <c:pt idx="41">
                  <c:v>44.083188124999985</c:v>
                </c:pt>
                <c:pt idx="42">
                  <c:v>46.568289399999976</c:v>
                </c:pt>
                <c:pt idx="43">
                  <c:v>47.317843987499991</c:v>
                </c:pt>
                <c:pt idx="44">
                  <c:v>48.090786568333307</c:v>
                </c:pt>
                <c:pt idx="45">
                  <c:v>48.336971965833328</c:v>
                </c:pt>
                <c:pt idx="46">
                  <c:v>49.375460669999995</c:v>
                </c:pt>
                <c:pt idx="47">
                  <c:v>51.466746474999987</c:v>
                </c:pt>
                <c:pt idx="48">
                  <c:v>51.237090330000001</c:v>
                </c:pt>
              </c:numCache>
            </c:numRef>
          </c:val>
        </c:ser>
        <c:marker val="1"/>
        <c:axId val="74175232"/>
        <c:axId val="74176768"/>
      </c:lineChart>
      <c:catAx>
        <c:axId val="741752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176768"/>
        <c:crosses val="autoZero"/>
        <c:auto val="1"/>
        <c:lblAlgn val="ctr"/>
        <c:lblOffset val="100"/>
        <c:tickLblSkip val="12"/>
        <c:tickMarkSkip val="12"/>
      </c:catAx>
      <c:valAx>
        <c:axId val="74176768"/>
        <c:scaling>
          <c:orientation val="minMax"/>
          <c:max val="55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175232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[17]Manufacturas!$E$11:$E$59</c:f>
              <c:numCache>
                <c:formatCode>General</c:formatCode>
                <c:ptCount val="49"/>
                <c:pt idx="0">
                  <c:v>38991</c:v>
                </c:pt>
                <c:pt idx="1">
                  <c:v>39022</c:v>
                </c:pt>
                <c:pt idx="2">
                  <c:v>39052</c:v>
                </c:pt>
                <c:pt idx="3">
                  <c:v>39083</c:v>
                </c:pt>
                <c:pt idx="4">
                  <c:v>39114</c:v>
                </c:pt>
                <c:pt idx="5">
                  <c:v>39142</c:v>
                </c:pt>
                <c:pt idx="6">
                  <c:v>39173</c:v>
                </c:pt>
                <c:pt idx="7">
                  <c:v>39203</c:v>
                </c:pt>
                <c:pt idx="8">
                  <c:v>39234</c:v>
                </c:pt>
                <c:pt idx="9">
                  <c:v>39264</c:v>
                </c:pt>
                <c:pt idx="10">
                  <c:v>39295</c:v>
                </c:pt>
                <c:pt idx="11">
                  <c:v>39326</c:v>
                </c:pt>
                <c:pt idx="12">
                  <c:v>39356</c:v>
                </c:pt>
                <c:pt idx="13">
                  <c:v>39387</c:v>
                </c:pt>
                <c:pt idx="14">
                  <c:v>39417</c:v>
                </c:pt>
                <c:pt idx="15">
                  <c:v>39448</c:v>
                </c:pt>
                <c:pt idx="16">
                  <c:v>39479</c:v>
                </c:pt>
                <c:pt idx="17">
                  <c:v>39508</c:v>
                </c:pt>
                <c:pt idx="18">
                  <c:v>39539</c:v>
                </c:pt>
                <c:pt idx="19">
                  <c:v>39569</c:v>
                </c:pt>
                <c:pt idx="20">
                  <c:v>39600</c:v>
                </c:pt>
                <c:pt idx="21">
                  <c:v>39630</c:v>
                </c:pt>
                <c:pt idx="22">
                  <c:v>39661</c:v>
                </c:pt>
                <c:pt idx="23">
                  <c:v>39692</c:v>
                </c:pt>
                <c:pt idx="24">
                  <c:v>39722</c:v>
                </c:pt>
                <c:pt idx="25">
                  <c:v>39753</c:v>
                </c:pt>
                <c:pt idx="26">
                  <c:v>39783</c:v>
                </c:pt>
                <c:pt idx="27">
                  <c:v>39814</c:v>
                </c:pt>
                <c:pt idx="28">
                  <c:v>39845</c:v>
                </c:pt>
                <c:pt idx="29">
                  <c:v>39873</c:v>
                </c:pt>
                <c:pt idx="30">
                  <c:v>39904</c:v>
                </c:pt>
                <c:pt idx="31">
                  <c:v>39934</c:v>
                </c:pt>
                <c:pt idx="32">
                  <c:v>39965</c:v>
                </c:pt>
                <c:pt idx="33">
                  <c:v>39995</c:v>
                </c:pt>
                <c:pt idx="34">
                  <c:v>40026</c:v>
                </c:pt>
                <c:pt idx="35">
                  <c:v>40057</c:v>
                </c:pt>
                <c:pt idx="36">
                  <c:v>40087</c:v>
                </c:pt>
                <c:pt idx="37">
                  <c:v>40118</c:v>
                </c:pt>
                <c:pt idx="38">
                  <c:v>40148</c:v>
                </c:pt>
                <c:pt idx="39">
                  <c:v>40179</c:v>
                </c:pt>
                <c:pt idx="40">
                  <c:v>40210</c:v>
                </c:pt>
                <c:pt idx="41">
                  <c:v>40238</c:v>
                </c:pt>
                <c:pt idx="42">
                  <c:v>40269</c:v>
                </c:pt>
                <c:pt idx="43">
                  <c:v>40299</c:v>
                </c:pt>
                <c:pt idx="44">
                  <c:v>40330</c:v>
                </c:pt>
                <c:pt idx="45">
                  <c:v>40360</c:v>
                </c:pt>
                <c:pt idx="46">
                  <c:v>40391</c:v>
                </c:pt>
                <c:pt idx="47">
                  <c:v>40422</c:v>
                </c:pt>
                <c:pt idx="48">
                  <c:v>40452</c:v>
                </c:pt>
              </c:numCache>
            </c:numRef>
          </c:cat>
          <c:val>
            <c:numRef>
              <c:f>[17]Manufacturas!$F$11:$F$59</c:f>
              <c:numCache>
                <c:formatCode>General</c:formatCode>
                <c:ptCount val="49"/>
                <c:pt idx="2">
                  <c:v>809.21290846916725</c:v>
                </c:pt>
                <c:pt idx="3">
                  <c:v>826.53351977250031</c:v>
                </c:pt>
                <c:pt idx="4">
                  <c:v>850.44445452750199</c:v>
                </c:pt>
                <c:pt idx="5">
                  <c:v>866.45170005000182</c:v>
                </c:pt>
                <c:pt idx="6">
                  <c:v>870.8334763558347</c:v>
                </c:pt>
                <c:pt idx="7">
                  <c:v>881.36737024500155</c:v>
                </c:pt>
                <c:pt idx="8">
                  <c:v>887.18919162750126</c:v>
                </c:pt>
                <c:pt idx="9">
                  <c:v>898.83698465250052</c:v>
                </c:pt>
                <c:pt idx="10">
                  <c:v>917.04064192916701</c:v>
                </c:pt>
                <c:pt idx="11">
                  <c:v>931.59270670249998</c:v>
                </c:pt>
                <c:pt idx="12">
                  <c:v>955.03414664333479</c:v>
                </c:pt>
                <c:pt idx="13">
                  <c:v>977.96925455416806</c:v>
                </c:pt>
                <c:pt idx="14">
                  <c:v>991.4099792875013</c:v>
                </c:pt>
                <c:pt idx="15">
                  <c:v>1001.0398806383346</c:v>
                </c:pt>
                <c:pt idx="16">
                  <c:v>1010.1416295341674</c:v>
                </c:pt>
                <c:pt idx="17">
                  <c:v>1011.7248216833344</c:v>
                </c:pt>
                <c:pt idx="18">
                  <c:v>1042.0967691608332</c:v>
                </c:pt>
                <c:pt idx="19">
                  <c:v>1052.4743403758325</c:v>
                </c:pt>
                <c:pt idx="20">
                  <c:v>1069.6274206691651</c:v>
                </c:pt>
                <c:pt idx="21">
                  <c:v>1094.688147731664</c:v>
                </c:pt>
                <c:pt idx="22">
                  <c:v>1096.119381959164</c:v>
                </c:pt>
                <c:pt idx="23">
                  <c:v>1111.4293949624971</c:v>
                </c:pt>
                <c:pt idx="24">
                  <c:v>1123.7660560299967</c:v>
                </c:pt>
                <c:pt idx="25">
                  <c:v>1137.8791362116626</c:v>
                </c:pt>
                <c:pt idx="26">
                  <c:v>1149.3721405191629</c:v>
                </c:pt>
                <c:pt idx="27">
                  <c:v>1180.6693743441631</c:v>
                </c:pt>
                <c:pt idx="28">
                  <c:v>1181.2937780324964</c:v>
                </c:pt>
                <c:pt idx="29">
                  <c:v>1178.1188433616635</c:v>
                </c:pt>
                <c:pt idx="30">
                  <c:v>1171.5659955741651</c:v>
                </c:pt>
                <c:pt idx="31">
                  <c:v>1156.2824491008334</c:v>
                </c:pt>
                <c:pt idx="32">
                  <c:v>1140.6263501575013</c:v>
                </c:pt>
                <c:pt idx="33">
                  <c:v>1146.1625790308369</c:v>
                </c:pt>
                <c:pt idx="34">
                  <c:v>1145.3452232258369</c:v>
                </c:pt>
                <c:pt idx="35">
                  <c:v>1140.6453255608374</c:v>
                </c:pt>
                <c:pt idx="36">
                  <c:v>1134.984053864169</c:v>
                </c:pt>
                <c:pt idx="37">
                  <c:v>1112.4657687233355</c:v>
                </c:pt>
                <c:pt idx="38">
                  <c:v>1116.9253529583359</c:v>
                </c:pt>
                <c:pt idx="39">
                  <c:v>1100.7957157200033</c:v>
                </c:pt>
                <c:pt idx="40">
                  <c:v>1105.9672017333367</c:v>
                </c:pt>
                <c:pt idx="41">
                  <c:v>1145.4752860875033</c:v>
                </c:pt>
                <c:pt idx="42">
                  <c:v>1155.8516991808347</c:v>
                </c:pt>
                <c:pt idx="43">
                  <c:v>1189.441583169167</c:v>
                </c:pt>
                <c:pt idx="44">
                  <c:v>1218.8177888416658</c:v>
                </c:pt>
                <c:pt idx="45">
                  <c:v>1230.9298843241652</c:v>
                </c:pt>
                <c:pt idx="46">
                  <c:v>1267.5009337199988</c:v>
                </c:pt>
                <c:pt idx="47">
                  <c:v>1317.5359840841641</c:v>
                </c:pt>
                <c:pt idx="48">
                  <c:v>1347.0799901966666</c:v>
                </c:pt>
              </c:numCache>
            </c:numRef>
          </c:val>
        </c:ser>
        <c:marker val="1"/>
        <c:axId val="74186112"/>
        <c:axId val="74269824"/>
      </c:lineChart>
      <c:catAx>
        <c:axId val="741861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269824"/>
        <c:crosses val="autoZero"/>
        <c:auto val="1"/>
        <c:lblAlgn val="ctr"/>
        <c:lblOffset val="100"/>
        <c:tickLblSkip val="12"/>
        <c:tickMarkSkip val="12"/>
      </c:catAx>
      <c:valAx>
        <c:axId val="74269824"/>
        <c:scaling>
          <c:orientation val="minMax"/>
          <c:max val="1400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186112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basadas en recursos naturales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[17]Rec_naturales!$E$11:$E$59</c:f>
              <c:numCache>
                <c:formatCode>General</c:formatCode>
                <c:ptCount val="49"/>
                <c:pt idx="0">
                  <c:v>38991</c:v>
                </c:pt>
                <c:pt idx="1">
                  <c:v>39022</c:v>
                </c:pt>
                <c:pt idx="2">
                  <c:v>39052</c:v>
                </c:pt>
                <c:pt idx="3">
                  <c:v>39083</c:v>
                </c:pt>
                <c:pt idx="4">
                  <c:v>39114</c:v>
                </c:pt>
                <c:pt idx="5">
                  <c:v>39142</c:v>
                </c:pt>
                <c:pt idx="6">
                  <c:v>39173</c:v>
                </c:pt>
                <c:pt idx="7">
                  <c:v>39203</c:v>
                </c:pt>
                <c:pt idx="8">
                  <c:v>39234</c:v>
                </c:pt>
                <c:pt idx="9">
                  <c:v>39264</c:v>
                </c:pt>
                <c:pt idx="10">
                  <c:v>39295</c:v>
                </c:pt>
                <c:pt idx="11">
                  <c:v>39326</c:v>
                </c:pt>
                <c:pt idx="12">
                  <c:v>39356</c:v>
                </c:pt>
                <c:pt idx="13">
                  <c:v>39387</c:v>
                </c:pt>
                <c:pt idx="14">
                  <c:v>39417</c:v>
                </c:pt>
                <c:pt idx="15">
                  <c:v>39448</c:v>
                </c:pt>
                <c:pt idx="16">
                  <c:v>39479</c:v>
                </c:pt>
                <c:pt idx="17">
                  <c:v>39508</c:v>
                </c:pt>
                <c:pt idx="18">
                  <c:v>39539</c:v>
                </c:pt>
                <c:pt idx="19">
                  <c:v>39569</c:v>
                </c:pt>
                <c:pt idx="20">
                  <c:v>39600</c:v>
                </c:pt>
                <c:pt idx="21">
                  <c:v>39630</c:v>
                </c:pt>
                <c:pt idx="22">
                  <c:v>39661</c:v>
                </c:pt>
                <c:pt idx="23">
                  <c:v>39692</c:v>
                </c:pt>
                <c:pt idx="24">
                  <c:v>39722</c:v>
                </c:pt>
                <c:pt idx="25">
                  <c:v>39753</c:v>
                </c:pt>
                <c:pt idx="26">
                  <c:v>39783</c:v>
                </c:pt>
                <c:pt idx="27">
                  <c:v>39814</c:v>
                </c:pt>
                <c:pt idx="28">
                  <c:v>39845</c:v>
                </c:pt>
                <c:pt idx="29">
                  <c:v>39873</c:v>
                </c:pt>
                <c:pt idx="30">
                  <c:v>39904</c:v>
                </c:pt>
                <c:pt idx="31">
                  <c:v>39934</c:v>
                </c:pt>
                <c:pt idx="32">
                  <c:v>39965</c:v>
                </c:pt>
                <c:pt idx="33">
                  <c:v>39995</c:v>
                </c:pt>
                <c:pt idx="34">
                  <c:v>40026</c:v>
                </c:pt>
                <c:pt idx="35">
                  <c:v>40057</c:v>
                </c:pt>
                <c:pt idx="36">
                  <c:v>40087</c:v>
                </c:pt>
                <c:pt idx="37">
                  <c:v>40118</c:v>
                </c:pt>
                <c:pt idx="38">
                  <c:v>40148</c:v>
                </c:pt>
                <c:pt idx="39">
                  <c:v>40179</c:v>
                </c:pt>
                <c:pt idx="40">
                  <c:v>40210</c:v>
                </c:pt>
                <c:pt idx="41">
                  <c:v>40238</c:v>
                </c:pt>
                <c:pt idx="42">
                  <c:v>40269</c:v>
                </c:pt>
                <c:pt idx="43">
                  <c:v>40299</c:v>
                </c:pt>
                <c:pt idx="44">
                  <c:v>40330</c:v>
                </c:pt>
                <c:pt idx="45">
                  <c:v>40360</c:v>
                </c:pt>
                <c:pt idx="46">
                  <c:v>40391</c:v>
                </c:pt>
                <c:pt idx="47">
                  <c:v>40422</c:v>
                </c:pt>
                <c:pt idx="48">
                  <c:v>40452</c:v>
                </c:pt>
              </c:numCache>
            </c:numRef>
          </c:cat>
          <c:val>
            <c:numRef>
              <c:f>[17]Rec_naturales!$F$11:$F$59</c:f>
              <c:numCache>
                <c:formatCode>General</c:formatCode>
                <c:ptCount val="49"/>
                <c:pt idx="2">
                  <c:v>85.539661980833344</c:v>
                </c:pt>
                <c:pt idx="3">
                  <c:v>87.366416971666638</c:v>
                </c:pt>
                <c:pt idx="4">
                  <c:v>87.433512418333336</c:v>
                </c:pt>
                <c:pt idx="5">
                  <c:v>89.561557974166661</c:v>
                </c:pt>
                <c:pt idx="6">
                  <c:v>88.117892005833369</c:v>
                </c:pt>
                <c:pt idx="7">
                  <c:v>90.692800397500022</c:v>
                </c:pt>
                <c:pt idx="8">
                  <c:v>90.753292297500025</c:v>
                </c:pt>
                <c:pt idx="9">
                  <c:v>92.510393944166722</c:v>
                </c:pt>
                <c:pt idx="10">
                  <c:v>93.197848851666734</c:v>
                </c:pt>
                <c:pt idx="11">
                  <c:v>93.395268290000033</c:v>
                </c:pt>
                <c:pt idx="12">
                  <c:v>94.590581540833341</c:v>
                </c:pt>
                <c:pt idx="13">
                  <c:v>94.753464210833343</c:v>
                </c:pt>
                <c:pt idx="14">
                  <c:v>93.522593147500046</c:v>
                </c:pt>
                <c:pt idx="15">
                  <c:v>93.354524720000072</c:v>
                </c:pt>
                <c:pt idx="16">
                  <c:v>94.96709377166674</c:v>
                </c:pt>
                <c:pt idx="17">
                  <c:v>95.316325866666759</c:v>
                </c:pt>
                <c:pt idx="18">
                  <c:v>97.390565758333423</c:v>
                </c:pt>
                <c:pt idx="19">
                  <c:v>98.241542709166723</c:v>
                </c:pt>
                <c:pt idx="20">
                  <c:v>99.279721545833397</c:v>
                </c:pt>
                <c:pt idx="21">
                  <c:v>102.18514320583337</c:v>
                </c:pt>
                <c:pt idx="22">
                  <c:v>104.02524109333336</c:v>
                </c:pt>
                <c:pt idx="23">
                  <c:v>105.16778482750003</c:v>
                </c:pt>
                <c:pt idx="24">
                  <c:v>107.11847862333336</c:v>
                </c:pt>
                <c:pt idx="25">
                  <c:v>107.71619387500006</c:v>
                </c:pt>
                <c:pt idx="26">
                  <c:v>110.10004946083338</c:v>
                </c:pt>
                <c:pt idx="27">
                  <c:v>110.63134699000007</c:v>
                </c:pt>
                <c:pt idx="28">
                  <c:v>109.76634230333342</c:v>
                </c:pt>
                <c:pt idx="29">
                  <c:v>109.9923728683334</c:v>
                </c:pt>
                <c:pt idx="30">
                  <c:v>108.2368481375001</c:v>
                </c:pt>
                <c:pt idx="31">
                  <c:v>106.97367766666675</c:v>
                </c:pt>
                <c:pt idx="32">
                  <c:v>105.8798304825001</c:v>
                </c:pt>
                <c:pt idx="33">
                  <c:v>104.12723220916678</c:v>
                </c:pt>
                <c:pt idx="34">
                  <c:v>103.66602865750008</c:v>
                </c:pt>
                <c:pt idx="35">
                  <c:v>103.48934158250007</c:v>
                </c:pt>
                <c:pt idx="36">
                  <c:v>102.42527277333345</c:v>
                </c:pt>
                <c:pt idx="37">
                  <c:v>103.33189182916675</c:v>
                </c:pt>
                <c:pt idx="38">
                  <c:v>104.12603738500012</c:v>
                </c:pt>
                <c:pt idx="39">
                  <c:v>103.82772087750011</c:v>
                </c:pt>
                <c:pt idx="40">
                  <c:v>104.89518587666679</c:v>
                </c:pt>
                <c:pt idx="41">
                  <c:v>107.8592840583334</c:v>
                </c:pt>
                <c:pt idx="42">
                  <c:v>111.49330946250001</c:v>
                </c:pt>
                <c:pt idx="43">
                  <c:v>115.5291660075</c:v>
                </c:pt>
                <c:pt idx="44">
                  <c:v>119.53197662416669</c:v>
                </c:pt>
                <c:pt idx="45">
                  <c:v>123.14866238833332</c:v>
                </c:pt>
                <c:pt idx="46">
                  <c:v>128.01634433166666</c:v>
                </c:pt>
                <c:pt idx="47">
                  <c:v>134.85259019749984</c:v>
                </c:pt>
                <c:pt idx="48">
                  <c:v>144.73154127749982</c:v>
                </c:pt>
              </c:numCache>
            </c:numRef>
          </c:val>
        </c:ser>
        <c:marker val="1"/>
        <c:axId val="74300032"/>
        <c:axId val="74445184"/>
      </c:lineChart>
      <c:catAx>
        <c:axId val="743000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445184"/>
        <c:crosses val="autoZero"/>
        <c:auto val="1"/>
        <c:lblAlgn val="ctr"/>
        <c:lblOffset val="100"/>
        <c:tickLblSkip val="12"/>
        <c:tickMarkSkip val="12"/>
      </c:catAx>
      <c:valAx>
        <c:axId val="74445184"/>
        <c:scaling>
          <c:orientation val="minMax"/>
          <c:max val="160"/>
          <c:min val="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300032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baja tecnología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[17]Baja_tek!$E$11:$E$59</c:f>
              <c:numCache>
                <c:formatCode>General</c:formatCode>
                <c:ptCount val="49"/>
                <c:pt idx="0">
                  <c:v>38991</c:v>
                </c:pt>
                <c:pt idx="1">
                  <c:v>39022</c:v>
                </c:pt>
                <c:pt idx="2">
                  <c:v>39052</c:v>
                </c:pt>
                <c:pt idx="3">
                  <c:v>39083</c:v>
                </c:pt>
                <c:pt idx="4">
                  <c:v>39114</c:v>
                </c:pt>
                <c:pt idx="5">
                  <c:v>39142</c:v>
                </c:pt>
                <c:pt idx="6">
                  <c:v>39173</c:v>
                </c:pt>
                <c:pt idx="7">
                  <c:v>39203</c:v>
                </c:pt>
                <c:pt idx="8">
                  <c:v>39234</c:v>
                </c:pt>
                <c:pt idx="9">
                  <c:v>39264</c:v>
                </c:pt>
                <c:pt idx="10">
                  <c:v>39295</c:v>
                </c:pt>
                <c:pt idx="11">
                  <c:v>39326</c:v>
                </c:pt>
                <c:pt idx="12">
                  <c:v>39356</c:v>
                </c:pt>
                <c:pt idx="13">
                  <c:v>39387</c:v>
                </c:pt>
                <c:pt idx="14">
                  <c:v>39417</c:v>
                </c:pt>
                <c:pt idx="15">
                  <c:v>39448</c:v>
                </c:pt>
                <c:pt idx="16">
                  <c:v>39479</c:v>
                </c:pt>
                <c:pt idx="17">
                  <c:v>39508</c:v>
                </c:pt>
                <c:pt idx="18">
                  <c:v>39539</c:v>
                </c:pt>
                <c:pt idx="19">
                  <c:v>39569</c:v>
                </c:pt>
                <c:pt idx="20">
                  <c:v>39600</c:v>
                </c:pt>
                <c:pt idx="21">
                  <c:v>39630</c:v>
                </c:pt>
                <c:pt idx="22">
                  <c:v>39661</c:v>
                </c:pt>
                <c:pt idx="23">
                  <c:v>39692</c:v>
                </c:pt>
                <c:pt idx="24">
                  <c:v>39722</c:v>
                </c:pt>
                <c:pt idx="25">
                  <c:v>39753</c:v>
                </c:pt>
                <c:pt idx="26">
                  <c:v>39783</c:v>
                </c:pt>
                <c:pt idx="27">
                  <c:v>39814</c:v>
                </c:pt>
                <c:pt idx="28">
                  <c:v>39845</c:v>
                </c:pt>
                <c:pt idx="29">
                  <c:v>39873</c:v>
                </c:pt>
                <c:pt idx="30">
                  <c:v>39904</c:v>
                </c:pt>
                <c:pt idx="31">
                  <c:v>39934</c:v>
                </c:pt>
                <c:pt idx="32">
                  <c:v>39965</c:v>
                </c:pt>
                <c:pt idx="33">
                  <c:v>39995</c:v>
                </c:pt>
                <c:pt idx="34">
                  <c:v>40026</c:v>
                </c:pt>
                <c:pt idx="35">
                  <c:v>40057</c:v>
                </c:pt>
                <c:pt idx="36">
                  <c:v>40087</c:v>
                </c:pt>
                <c:pt idx="37">
                  <c:v>40118</c:v>
                </c:pt>
                <c:pt idx="38">
                  <c:v>40148</c:v>
                </c:pt>
                <c:pt idx="39">
                  <c:v>40179</c:v>
                </c:pt>
                <c:pt idx="40">
                  <c:v>40210</c:v>
                </c:pt>
                <c:pt idx="41">
                  <c:v>40238</c:v>
                </c:pt>
                <c:pt idx="42">
                  <c:v>40269</c:v>
                </c:pt>
                <c:pt idx="43">
                  <c:v>40299</c:v>
                </c:pt>
                <c:pt idx="44">
                  <c:v>40330</c:v>
                </c:pt>
                <c:pt idx="45">
                  <c:v>40360</c:v>
                </c:pt>
                <c:pt idx="46">
                  <c:v>40391</c:v>
                </c:pt>
                <c:pt idx="47">
                  <c:v>40422</c:v>
                </c:pt>
                <c:pt idx="48">
                  <c:v>40452</c:v>
                </c:pt>
              </c:numCache>
            </c:numRef>
          </c:cat>
          <c:val>
            <c:numRef>
              <c:f>[17]Baja_tek!$F$11:$F$59</c:f>
              <c:numCache>
                <c:formatCode>General</c:formatCode>
                <c:ptCount val="49"/>
                <c:pt idx="2">
                  <c:v>95.792447688333255</c:v>
                </c:pt>
                <c:pt idx="3">
                  <c:v>98.148638624166594</c:v>
                </c:pt>
                <c:pt idx="4">
                  <c:v>100.3159691625</c:v>
                </c:pt>
                <c:pt idx="5">
                  <c:v>102.5577029941666</c:v>
                </c:pt>
                <c:pt idx="6">
                  <c:v>104.96214907666659</c:v>
                </c:pt>
                <c:pt idx="7">
                  <c:v>107.4542144874999</c:v>
                </c:pt>
                <c:pt idx="8">
                  <c:v>109.75616435999983</c:v>
                </c:pt>
                <c:pt idx="9">
                  <c:v>114.08843760666649</c:v>
                </c:pt>
                <c:pt idx="10">
                  <c:v>118.1957488041665</c:v>
                </c:pt>
                <c:pt idx="11">
                  <c:v>120.99455253916652</c:v>
                </c:pt>
                <c:pt idx="12">
                  <c:v>124.05050438249991</c:v>
                </c:pt>
                <c:pt idx="13">
                  <c:v>127.44579716666657</c:v>
                </c:pt>
                <c:pt idx="14">
                  <c:v>129.9481113341667</c:v>
                </c:pt>
                <c:pt idx="15">
                  <c:v>133.63507298083343</c:v>
                </c:pt>
                <c:pt idx="16">
                  <c:v>135.83376531499997</c:v>
                </c:pt>
                <c:pt idx="17">
                  <c:v>136.57606767583337</c:v>
                </c:pt>
                <c:pt idx="18">
                  <c:v>140.31691433750007</c:v>
                </c:pt>
                <c:pt idx="19">
                  <c:v>142.14478735666671</c:v>
                </c:pt>
                <c:pt idx="20">
                  <c:v>143.09380311916678</c:v>
                </c:pt>
                <c:pt idx="21">
                  <c:v>145.99212664083348</c:v>
                </c:pt>
                <c:pt idx="22">
                  <c:v>146.88145542000015</c:v>
                </c:pt>
                <c:pt idx="23">
                  <c:v>149.45633847416676</c:v>
                </c:pt>
                <c:pt idx="24">
                  <c:v>152.60433942000023</c:v>
                </c:pt>
                <c:pt idx="25">
                  <c:v>154.89887397666683</c:v>
                </c:pt>
                <c:pt idx="26">
                  <c:v>157.28854953500021</c:v>
                </c:pt>
                <c:pt idx="27">
                  <c:v>160.60086895166691</c:v>
                </c:pt>
                <c:pt idx="28">
                  <c:v>160.85951315500029</c:v>
                </c:pt>
                <c:pt idx="29">
                  <c:v>160.73226764750024</c:v>
                </c:pt>
                <c:pt idx="30">
                  <c:v>158.44453116083361</c:v>
                </c:pt>
                <c:pt idx="31">
                  <c:v>155.45084663916688</c:v>
                </c:pt>
                <c:pt idx="32">
                  <c:v>154.57993027083359</c:v>
                </c:pt>
                <c:pt idx="33">
                  <c:v>152.33280134666697</c:v>
                </c:pt>
                <c:pt idx="34">
                  <c:v>149.79457146166695</c:v>
                </c:pt>
                <c:pt idx="35">
                  <c:v>148.30078338833354</c:v>
                </c:pt>
                <c:pt idx="36">
                  <c:v>145.31851997583342</c:v>
                </c:pt>
                <c:pt idx="37">
                  <c:v>140.89374188250014</c:v>
                </c:pt>
                <c:pt idx="38">
                  <c:v>141.71161079333348</c:v>
                </c:pt>
                <c:pt idx="39">
                  <c:v>136.93899356083347</c:v>
                </c:pt>
                <c:pt idx="40">
                  <c:v>139.53094131500015</c:v>
                </c:pt>
                <c:pt idx="41">
                  <c:v>145.54691871666688</c:v>
                </c:pt>
                <c:pt idx="42">
                  <c:v>148.45631624166677</c:v>
                </c:pt>
                <c:pt idx="43">
                  <c:v>152.53509310250021</c:v>
                </c:pt>
                <c:pt idx="44">
                  <c:v>158.65980679166688</c:v>
                </c:pt>
                <c:pt idx="45">
                  <c:v>165.53823414250019</c:v>
                </c:pt>
                <c:pt idx="46">
                  <c:v>173.20217871499997</c:v>
                </c:pt>
                <c:pt idx="47">
                  <c:v>182.12112057083337</c:v>
                </c:pt>
                <c:pt idx="48">
                  <c:v>190.57028911083322</c:v>
                </c:pt>
              </c:numCache>
            </c:numRef>
          </c:val>
        </c:ser>
        <c:marker val="1"/>
        <c:axId val="74073600"/>
        <c:axId val="74075136"/>
      </c:lineChart>
      <c:catAx>
        <c:axId val="740736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075136"/>
        <c:crosses val="autoZero"/>
        <c:auto val="1"/>
        <c:lblAlgn val="ctr"/>
        <c:lblOffset val="100"/>
        <c:tickLblSkip val="12"/>
        <c:tickMarkSkip val="12"/>
      </c:catAx>
      <c:valAx>
        <c:axId val="74075136"/>
        <c:scaling>
          <c:orientation val="minMax"/>
          <c:max val="210"/>
          <c:min val="9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073600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tecnología media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[17]Media_tek!$E$11:$E$59</c:f>
              <c:numCache>
                <c:formatCode>General</c:formatCode>
                <c:ptCount val="49"/>
                <c:pt idx="0">
                  <c:v>38991</c:v>
                </c:pt>
                <c:pt idx="1">
                  <c:v>39022</c:v>
                </c:pt>
                <c:pt idx="2">
                  <c:v>39052</c:v>
                </c:pt>
                <c:pt idx="3">
                  <c:v>39083</c:v>
                </c:pt>
                <c:pt idx="4">
                  <c:v>39114</c:v>
                </c:pt>
                <c:pt idx="5">
                  <c:v>39142</c:v>
                </c:pt>
                <c:pt idx="6">
                  <c:v>39173</c:v>
                </c:pt>
                <c:pt idx="7">
                  <c:v>39203</c:v>
                </c:pt>
                <c:pt idx="8">
                  <c:v>39234</c:v>
                </c:pt>
                <c:pt idx="9">
                  <c:v>39264</c:v>
                </c:pt>
                <c:pt idx="10">
                  <c:v>39295</c:v>
                </c:pt>
                <c:pt idx="11">
                  <c:v>39326</c:v>
                </c:pt>
                <c:pt idx="12">
                  <c:v>39356</c:v>
                </c:pt>
                <c:pt idx="13">
                  <c:v>39387</c:v>
                </c:pt>
                <c:pt idx="14">
                  <c:v>39417</c:v>
                </c:pt>
                <c:pt idx="15">
                  <c:v>39448</c:v>
                </c:pt>
                <c:pt idx="16">
                  <c:v>39479</c:v>
                </c:pt>
                <c:pt idx="17">
                  <c:v>39508</c:v>
                </c:pt>
                <c:pt idx="18">
                  <c:v>39539</c:v>
                </c:pt>
                <c:pt idx="19">
                  <c:v>39569</c:v>
                </c:pt>
                <c:pt idx="20">
                  <c:v>39600</c:v>
                </c:pt>
                <c:pt idx="21">
                  <c:v>39630</c:v>
                </c:pt>
                <c:pt idx="22">
                  <c:v>39661</c:v>
                </c:pt>
                <c:pt idx="23">
                  <c:v>39692</c:v>
                </c:pt>
                <c:pt idx="24">
                  <c:v>39722</c:v>
                </c:pt>
                <c:pt idx="25">
                  <c:v>39753</c:v>
                </c:pt>
                <c:pt idx="26">
                  <c:v>39783</c:v>
                </c:pt>
                <c:pt idx="27">
                  <c:v>39814</c:v>
                </c:pt>
                <c:pt idx="28">
                  <c:v>39845</c:v>
                </c:pt>
                <c:pt idx="29">
                  <c:v>39873</c:v>
                </c:pt>
                <c:pt idx="30">
                  <c:v>39904</c:v>
                </c:pt>
                <c:pt idx="31">
                  <c:v>39934</c:v>
                </c:pt>
                <c:pt idx="32">
                  <c:v>39965</c:v>
                </c:pt>
                <c:pt idx="33">
                  <c:v>39995</c:v>
                </c:pt>
                <c:pt idx="34">
                  <c:v>40026</c:v>
                </c:pt>
                <c:pt idx="35">
                  <c:v>40057</c:v>
                </c:pt>
                <c:pt idx="36">
                  <c:v>40087</c:v>
                </c:pt>
                <c:pt idx="37">
                  <c:v>40118</c:v>
                </c:pt>
                <c:pt idx="38">
                  <c:v>40148</c:v>
                </c:pt>
                <c:pt idx="39">
                  <c:v>40179</c:v>
                </c:pt>
                <c:pt idx="40">
                  <c:v>40210</c:v>
                </c:pt>
                <c:pt idx="41">
                  <c:v>40238</c:v>
                </c:pt>
                <c:pt idx="42">
                  <c:v>40269</c:v>
                </c:pt>
                <c:pt idx="43">
                  <c:v>40299</c:v>
                </c:pt>
                <c:pt idx="44">
                  <c:v>40330</c:v>
                </c:pt>
                <c:pt idx="45">
                  <c:v>40360</c:v>
                </c:pt>
                <c:pt idx="46">
                  <c:v>40391</c:v>
                </c:pt>
                <c:pt idx="47">
                  <c:v>40422</c:v>
                </c:pt>
                <c:pt idx="48">
                  <c:v>40452</c:v>
                </c:pt>
              </c:numCache>
            </c:numRef>
          </c:cat>
          <c:val>
            <c:numRef>
              <c:f>[17]Media_tek!$F$11:$F$59</c:f>
              <c:numCache>
                <c:formatCode>General</c:formatCode>
                <c:ptCount val="49"/>
                <c:pt idx="2">
                  <c:v>286.79527426999942</c:v>
                </c:pt>
                <c:pt idx="3">
                  <c:v>294.10615684999954</c:v>
                </c:pt>
                <c:pt idx="4">
                  <c:v>302.93614750749964</c:v>
                </c:pt>
                <c:pt idx="5">
                  <c:v>308.92287758166623</c:v>
                </c:pt>
                <c:pt idx="6">
                  <c:v>315.47079669666601</c:v>
                </c:pt>
                <c:pt idx="7">
                  <c:v>323.20817490833252</c:v>
                </c:pt>
                <c:pt idx="8">
                  <c:v>328.26839199416605</c:v>
                </c:pt>
                <c:pt idx="9">
                  <c:v>332.66611780833267</c:v>
                </c:pt>
                <c:pt idx="10">
                  <c:v>339.21128420833276</c:v>
                </c:pt>
                <c:pt idx="11">
                  <c:v>342.07125796999952</c:v>
                </c:pt>
                <c:pt idx="12">
                  <c:v>346.46612117083311</c:v>
                </c:pt>
                <c:pt idx="13">
                  <c:v>348.55762504249969</c:v>
                </c:pt>
                <c:pt idx="14">
                  <c:v>352.179897755833</c:v>
                </c:pt>
                <c:pt idx="15">
                  <c:v>352.21222667166631</c:v>
                </c:pt>
                <c:pt idx="16">
                  <c:v>352.57349981583297</c:v>
                </c:pt>
                <c:pt idx="17">
                  <c:v>350.617079068333</c:v>
                </c:pt>
                <c:pt idx="18">
                  <c:v>358.25101966666642</c:v>
                </c:pt>
                <c:pt idx="19">
                  <c:v>359.15234401083308</c:v>
                </c:pt>
                <c:pt idx="20">
                  <c:v>361.75733591916668</c:v>
                </c:pt>
                <c:pt idx="21">
                  <c:v>369.62949430416666</c:v>
                </c:pt>
                <c:pt idx="22">
                  <c:v>368.56427119916657</c:v>
                </c:pt>
                <c:pt idx="23">
                  <c:v>368.89157748250022</c:v>
                </c:pt>
                <c:pt idx="24">
                  <c:v>373.53838964666664</c:v>
                </c:pt>
                <c:pt idx="25">
                  <c:v>377.33014148750004</c:v>
                </c:pt>
                <c:pt idx="26">
                  <c:v>378.97924302583334</c:v>
                </c:pt>
                <c:pt idx="27">
                  <c:v>385.45376070333305</c:v>
                </c:pt>
                <c:pt idx="28">
                  <c:v>384.55844090666602</c:v>
                </c:pt>
                <c:pt idx="29">
                  <c:v>383.76775680833271</c:v>
                </c:pt>
                <c:pt idx="30">
                  <c:v>374.47317700999969</c:v>
                </c:pt>
                <c:pt idx="31">
                  <c:v>364.6734292124998</c:v>
                </c:pt>
                <c:pt idx="32">
                  <c:v>355.77475204749982</c:v>
                </c:pt>
                <c:pt idx="33">
                  <c:v>348.87273567749935</c:v>
                </c:pt>
                <c:pt idx="34">
                  <c:v>342.13970659833279</c:v>
                </c:pt>
                <c:pt idx="35">
                  <c:v>340.69288011916575</c:v>
                </c:pt>
                <c:pt idx="36">
                  <c:v>335.70711681666586</c:v>
                </c:pt>
                <c:pt idx="37">
                  <c:v>330.20517358166558</c:v>
                </c:pt>
                <c:pt idx="38">
                  <c:v>331.9236599391657</c:v>
                </c:pt>
                <c:pt idx="39">
                  <c:v>327.51502130166574</c:v>
                </c:pt>
                <c:pt idx="40">
                  <c:v>330.24977935916604</c:v>
                </c:pt>
                <c:pt idx="41">
                  <c:v>340.44755333333211</c:v>
                </c:pt>
                <c:pt idx="42">
                  <c:v>349.72458334166549</c:v>
                </c:pt>
                <c:pt idx="43">
                  <c:v>361.39549618416549</c:v>
                </c:pt>
                <c:pt idx="44">
                  <c:v>378.41425274833222</c:v>
                </c:pt>
                <c:pt idx="45">
                  <c:v>387.007962214999</c:v>
                </c:pt>
                <c:pt idx="46">
                  <c:v>401.67374695749874</c:v>
                </c:pt>
                <c:pt idx="47">
                  <c:v>416.30673690666549</c:v>
                </c:pt>
                <c:pt idx="48">
                  <c:v>436.28856238749887</c:v>
                </c:pt>
              </c:numCache>
            </c:numRef>
          </c:val>
        </c:ser>
        <c:marker val="1"/>
        <c:axId val="73462144"/>
        <c:axId val="73463680"/>
      </c:lineChart>
      <c:catAx>
        <c:axId val="734621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463680"/>
        <c:crosses val="autoZero"/>
        <c:auto val="1"/>
        <c:lblAlgn val="ctr"/>
        <c:lblOffset val="100"/>
        <c:tickLblSkip val="12"/>
        <c:tickMarkSkip val="12"/>
      </c:catAx>
      <c:valAx>
        <c:axId val="73463680"/>
        <c:scaling>
          <c:orientation val="minMax"/>
          <c:max val="440"/>
          <c:min val="2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462144"/>
        <c:crosses val="autoZero"/>
        <c:crossBetween val="midCat"/>
        <c:majorUnit val="4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alta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tecnología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[17]Alta_tek!$E$11:$E$59</c:f>
              <c:numCache>
                <c:formatCode>General</c:formatCode>
                <c:ptCount val="49"/>
                <c:pt idx="0">
                  <c:v>38991</c:v>
                </c:pt>
                <c:pt idx="1">
                  <c:v>39022</c:v>
                </c:pt>
                <c:pt idx="2">
                  <c:v>39052</c:v>
                </c:pt>
                <c:pt idx="3">
                  <c:v>39083</c:v>
                </c:pt>
                <c:pt idx="4">
                  <c:v>39114</c:v>
                </c:pt>
                <c:pt idx="5">
                  <c:v>39142</c:v>
                </c:pt>
                <c:pt idx="6">
                  <c:v>39173</c:v>
                </c:pt>
                <c:pt idx="7">
                  <c:v>39203</c:v>
                </c:pt>
                <c:pt idx="8">
                  <c:v>39234</c:v>
                </c:pt>
                <c:pt idx="9">
                  <c:v>39264</c:v>
                </c:pt>
                <c:pt idx="10">
                  <c:v>39295</c:v>
                </c:pt>
                <c:pt idx="11">
                  <c:v>39326</c:v>
                </c:pt>
                <c:pt idx="12">
                  <c:v>39356</c:v>
                </c:pt>
                <c:pt idx="13">
                  <c:v>39387</c:v>
                </c:pt>
                <c:pt idx="14">
                  <c:v>39417</c:v>
                </c:pt>
                <c:pt idx="15">
                  <c:v>39448</c:v>
                </c:pt>
                <c:pt idx="16">
                  <c:v>39479</c:v>
                </c:pt>
                <c:pt idx="17">
                  <c:v>39508</c:v>
                </c:pt>
                <c:pt idx="18">
                  <c:v>39539</c:v>
                </c:pt>
                <c:pt idx="19">
                  <c:v>39569</c:v>
                </c:pt>
                <c:pt idx="20">
                  <c:v>39600</c:v>
                </c:pt>
                <c:pt idx="21">
                  <c:v>39630</c:v>
                </c:pt>
                <c:pt idx="22">
                  <c:v>39661</c:v>
                </c:pt>
                <c:pt idx="23">
                  <c:v>39692</c:v>
                </c:pt>
                <c:pt idx="24">
                  <c:v>39722</c:v>
                </c:pt>
                <c:pt idx="25">
                  <c:v>39753</c:v>
                </c:pt>
                <c:pt idx="26">
                  <c:v>39783</c:v>
                </c:pt>
                <c:pt idx="27">
                  <c:v>39814</c:v>
                </c:pt>
                <c:pt idx="28">
                  <c:v>39845</c:v>
                </c:pt>
                <c:pt idx="29">
                  <c:v>39873</c:v>
                </c:pt>
                <c:pt idx="30">
                  <c:v>39904</c:v>
                </c:pt>
                <c:pt idx="31">
                  <c:v>39934</c:v>
                </c:pt>
                <c:pt idx="32">
                  <c:v>39965</c:v>
                </c:pt>
                <c:pt idx="33">
                  <c:v>39995</c:v>
                </c:pt>
                <c:pt idx="34">
                  <c:v>40026</c:v>
                </c:pt>
                <c:pt idx="35">
                  <c:v>40057</c:v>
                </c:pt>
                <c:pt idx="36">
                  <c:v>40087</c:v>
                </c:pt>
                <c:pt idx="37">
                  <c:v>40118</c:v>
                </c:pt>
                <c:pt idx="38">
                  <c:v>40148</c:v>
                </c:pt>
                <c:pt idx="39">
                  <c:v>40179</c:v>
                </c:pt>
                <c:pt idx="40">
                  <c:v>40210</c:v>
                </c:pt>
                <c:pt idx="41">
                  <c:v>40238</c:v>
                </c:pt>
                <c:pt idx="42">
                  <c:v>40269</c:v>
                </c:pt>
                <c:pt idx="43">
                  <c:v>40299</c:v>
                </c:pt>
                <c:pt idx="44">
                  <c:v>40330</c:v>
                </c:pt>
                <c:pt idx="45">
                  <c:v>40360</c:v>
                </c:pt>
                <c:pt idx="46">
                  <c:v>40391</c:v>
                </c:pt>
                <c:pt idx="47">
                  <c:v>40422</c:v>
                </c:pt>
                <c:pt idx="48">
                  <c:v>40452</c:v>
                </c:pt>
              </c:numCache>
            </c:numRef>
          </c:cat>
          <c:val>
            <c:numRef>
              <c:f>[17]Alta_tek!$F$11:$F$59</c:f>
              <c:numCache>
                <c:formatCode>General</c:formatCode>
                <c:ptCount val="49"/>
                <c:pt idx="2">
                  <c:v>341.08552453000055</c:v>
                </c:pt>
                <c:pt idx="3">
                  <c:v>346.91230732666719</c:v>
                </c:pt>
                <c:pt idx="4">
                  <c:v>359.75882543916697</c:v>
                </c:pt>
                <c:pt idx="5">
                  <c:v>365.40956150000039</c:v>
                </c:pt>
                <c:pt idx="6">
                  <c:v>362.28263857666661</c:v>
                </c:pt>
                <c:pt idx="7">
                  <c:v>360.01218045166632</c:v>
                </c:pt>
                <c:pt idx="8">
                  <c:v>358.41134297583289</c:v>
                </c:pt>
                <c:pt idx="9">
                  <c:v>359.57203529333259</c:v>
                </c:pt>
                <c:pt idx="10">
                  <c:v>366.43576006499922</c:v>
                </c:pt>
                <c:pt idx="11">
                  <c:v>375.13162790333246</c:v>
                </c:pt>
                <c:pt idx="12">
                  <c:v>389.92693954916598</c:v>
                </c:pt>
                <c:pt idx="13">
                  <c:v>407.21236813416613</c:v>
                </c:pt>
                <c:pt idx="14">
                  <c:v>415.75937704999939</c:v>
                </c:pt>
                <c:pt idx="15">
                  <c:v>421.83805626583262</c:v>
                </c:pt>
                <c:pt idx="16">
                  <c:v>426.76727063166601</c:v>
                </c:pt>
                <c:pt idx="17">
                  <c:v>429.21534907249907</c:v>
                </c:pt>
                <c:pt idx="18">
                  <c:v>446.13826939833251</c:v>
                </c:pt>
                <c:pt idx="19">
                  <c:v>452.93566629916614</c:v>
                </c:pt>
                <c:pt idx="20">
                  <c:v>465.49656008499932</c:v>
                </c:pt>
                <c:pt idx="21">
                  <c:v>476.8813835808333</c:v>
                </c:pt>
                <c:pt idx="22">
                  <c:v>476.64841424666633</c:v>
                </c:pt>
                <c:pt idx="23">
                  <c:v>487.91369417833317</c:v>
                </c:pt>
                <c:pt idx="24">
                  <c:v>490.50484833999991</c:v>
                </c:pt>
                <c:pt idx="25">
                  <c:v>497.93392687250002</c:v>
                </c:pt>
                <c:pt idx="26">
                  <c:v>503.0042984975002</c:v>
                </c:pt>
                <c:pt idx="27">
                  <c:v>523.98339769916674</c:v>
                </c:pt>
                <c:pt idx="28">
                  <c:v>526.10948166750029</c:v>
                </c:pt>
                <c:pt idx="29">
                  <c:v>523.62644603750039</c:v>
                </c:pt>
                <c:pt idx="30">
                  <c:v>530.41143926583356</c:v>
                </c:pt>
                <c:pt idx="31">
                  <c:v>529.1844955825004</c:v>
                </c:pt>
                <c:pt idx="32">
                  <c:v>524.39183735666722</c:v>
                </c:pt>
                <c:pt idx="33">
                  <c:v>540.82980979750005</c:v>
                </c:pt>
                <c:pt idx="34">
                  <c:v>549.74491650833374</c:v>
                </c:pt>
                <c:pt idx="35">
                  <c:v>548.16232047083338</c:v>
                </c:pt>
                <c:pt idx="36">
                  <c:v>551.53314429833347</c:v>
                </c:pt>
                <c:pt idx="37">
                  <c:v>538.03496143000018</c:v>
                </c:pt>
                <c:pt idx="38">
                  <c:v>539.16404484083353</c:v>
                </c:pt>
                <c:pt idx="39">
                  <c:v>532.51397998000004</c:v>
                </c:pt>
                <c:pt idx="40">
                  <c:v>531.29129518249988</c:v>
                </c:pt>
                <c:pt idx="41">
                  <c:v>551.6215299791661</c:v>
                </c:pt>
                <c:pt idx="42">
                  <c:v>546.17749013499986</c:v>
                </c:pt>
                <c:pt idx="43">
                  <c:v>559.98182787499957</c:v>
                </c:pt>
                <c:pt idx="44">
                  <c:v>562.2117526774997</c:v>
                </c:pt>
                <c:pt idx="45">
                  <c:v>555.23502557833308</c:v>
                </c:pt>
                <c:pt idx="46">
                  <c:v>564.60866371583245</c:v>
                </c:pt>
                <c:pt idx="47">
                  <c:v>584.25553640916564</c:v>
                </c:pt>
                <c:pt idx="48">
                  <c:v>575.48959742083207</c:v>
                </c:pt>
              </c:numCache>
            </c:numRef>
          </c:val>
        </c:ser>
        <c:marker val="1"/>
        <c:axId val="74480640"/>
        <c:axId val="74793728"/>
      </c:lineChart>
      <c:catAx>
        <c:axId val="744806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793728"/>
        <c:crosses val="autoZero"/>
        <c:auto val="1"/>
        <c:lblAlgn val="ctr"/>
        <c:lblOffset val="100"/>
        <c:tickLblSkip val="12"/>
        <c:tickMarkSkip val="12"/>
      </c:catAx>
      <c:valAx>
        <c:axId val="74793728"/>
        <c:scaling>
          <c:orientation val="minMax"/>
          <c:max val="600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480640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EEUU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[17]Pais1!$E$11:$E$59</c:f>
              <c:numCache>
                <c:formatCode>General</c:formatCode>
                <c:ptCount val="49"/>
                <c:pt idx="0">
                  <c:v>38991</c:v>
                </c:pt>
                <c:pt idx="1">
                  <c:v>39022</c:v>
                </c:pt>
                <c:pt idx="2">
                  <c:v>39052</c:v>
                </c:pt>
                <c:pt idx="3">
                  <c:v>39083</c:v>
                </c:pt>
                <c:pt idx="4">
                  <c:v>39114</c:v>
                </c:pt>
                <c:pt idx="5">
                  <c:v>39142</c:v>
                </c:pt>
                <c:pt idx="6">
                  <c:v>39173</c:v>
                </c:pt>
                <c:pt idx="7">
                  <c:v>39203</c:v>
                </c:pt>
                <c:pt idx="8">
                  <c:v>39234</c:v>
                </c:pt>
                <c:pt idx="9">
                  <c:v>39264</c:v>
                </c:pt>
                <c:pt idx="10">
                  <c:v>39295</c:v>
                </c:pt>
                <c:pt idx="11">
                  <c:v>39326</c:v>
                </c:pt>
                <c:pt idx="12">
                  <c:v>39356</c:v>
                </c:pt>
                <c:pt idx="13">
                  <c:v>39387</c:v>
                </c:pt>
                <c:pt idx="14">
                  <c:v>39417</c:v>
                </c:pt>
                <c:pt idx="15">
                  <c:v>39448</c:v>
                </c:pt>
                <c:pt idx="16">
                  <c:v>39479</c:v>
                </c:pt>
                <c:pt idx="17">
                  <c:v>39508</c:v>
                </c:pt>
                <c:pt idx="18">
                  <c:v>39539</c:v>
                </c:pt>
                <c:pt idx="19">
                  <c:v>39569</c:v>
                </c:pt>
                <c:pt idx="20">
                  <c:v>39600</c:v>
                </c:pt>
                <c:pt idx="21">
                  <c:v>39630</c:v>
                </c:pt>
                <c:pt idx="22">
                  <c:v>39661</c:v>
                </c:pt>
                <c:pt idx="23">
                  <c:v>39692</c:v>
                </c:pt>
                <c:pt idx="24">
                  <c:v>39722</c:v>
                </c:pt>
                <c:pt idx="25">
                  <c:v>39753</c:v>
                </c:pt>
                <c:pt idx="26">
                  <c:v>39783</c:v>
                </c:pt>
                <c:pt idx="27">
                  <c:v>39814</c:v>
                </c:pt>
                <c:pt idx="28">
                  <c:v>39845</c:v>
                </c:pt>
                <c:pt idx="29">
                  <c:v>39873</c:v>
                </c:pt>
                <c:pt idx="30">
                  <c:v>39904</c:v>
                </c:pt>
                <c:pt idx="31">
                  <c:v>39934</c:v>
                </c:pt>
                <c:pt idx="32">
                  <c:v>39965</c:v>
                </c:pt>
                <c:pt idx="33">
                  <c:v>39995</c:v>
                </c:pt>
                <c:pt idx="34">
                  <c:v>40026</c:v>
                </c:pt>
                <c:pt idx="35">
                  <c:v>40057</c:v>
                </c:pt>
                <c:pt idx="36">
                  <c:v>40087</c:v>
                </c:pt>
                <c:pt idx="37">
                  <c:v>40118</c:v>
                </c:pt>
                <c:pt idx="38">
                  <c:v>40148</c:v>
                </c:pt>
                <c:pt idx="39">
                  <c:v>40179</c:v>
                </c:pt>
                <c:pt idx="40">
                  <c:v>40210</c:v>
                </c:pt>
                <c:pt idx="41">
                  <c:v>40238</c:v>
                </c:pt>
                <c:pt idx="42">
                  <c:v>40269</c:v>
                </c:pt>
                <c:pt idx="43">
                  <c:v>40299</c:v>
                </c:pt>
                <c:pt idx="44">
                  <c:v>40330</c:v>
                </c:pt>
                <c:pt idx="45">
                  <c:v>40360</c:v>
                </c:pt>
                <c:pt idx="46">
                  <c:v>40391</c:v>
                </c:pt>
                <c:pt idx="47">
                  <c:v>40422</c:v>
                </c:pt>
                <c:pt idx="48">
                  <c:v>40452</c:v>
                </c:pt>
              </c:numCache>
            </c:numRef>
          </c:cat>
          <c:val>
            <c:numRef>
              <c:f>[17]Pais1!$F$11:$F$59</c:f>
              <c:numCache>
                <c:formatCode>General</c:formatCode>
                <c:ptCount val="49"/>
                <c:pt idx="2">
                  <c:v>249.61094381333317</c:v>
                </c:pt>
                <c:pt idx="3">
                  <c:v>252.5484135683333</c:v>
                </c:pt>
                <c:pt idx="4">
                  <c:v>260.76445049249992</c:v>
                </c:pt>
                <c:pt idx="5">
                  <c:v>261.19265311916655</c:v>
                </c:pt>
                <c:pt idx="6">
                  <c:v>264.54296258499977</c:v>
                </c:pt>
                <c:pt idx="7">
                  <c:v>269.51788060833292</c:v>
                </c:pt>
                <c:pt idx="8">
                  <c:v>272.65053787416645</c:v>
                </c:pt>
                <c:pt idx="9">
                  <c:v>276.72308940666687</c:v>
                </c:pt>
                <c:pt idx="10">
                  <c:v>281.83435830166707</c:v>
                </c:pt>
                <c:pt idx="11">
                  <c:v>286.62891594833366</c:v>
                </c:pt>
                <c:pt idx="12">
                  <c:v>295.82878842166684</c:v>
                </c:pt>
                <c:pt idx="13">
                  <c:v>304.46309201916682</c:v>
                </c:pt>
                <c:pt idx="14">
                  <c:v>312.93391981250022</c:v>
                </c:pt>
                <c:pt idx="15">
                  <c:v>316.61522833999999</c:v>
                </c:pt>
                <c:pt idx="16">
                  <c:v>315.80843955916646</c:v>
                </c:pt>
                <c:pt idx="17">
                  <c:v>319.57213816666638</c:v>
                </c:pt>
                <c:pt idx="18">
                  <c:v>330.97161332749971</c:v>
                </c:pt>
                <c:pt idx="19">
                  <c:v>334.24636439833324</c:v>
                </c:pt>
                <c:pt idx="20">
                  <c:v>340.11207670499954</c:v>
                </c:pt>
                <c:pt idx="21">
                  <c:v>349.69709709833279</c:v>
                </c:pt>
                <c:pt idx="22">
                  <c:v>349.98880695083261</c:v>
                </c:pt>
                <c:pt idx="23">
                  <c:v>351.98014086416634</c:v>
                </c:pt>
                <c:pt idx="24">
                  <c:v>351.72062270250007</c:v>
                </c:pt>
                <c:pt idx="25">
                  <c:v>351.15440042333336</c:v>
                </c:pt>
                <c:pt idx="26">
                  <c:v>354.94134151750012</c:v>
                </c:pt>
                <c:pt idx="27">
                  <c:v>355.72066081333338</c:v>
                </c:pt>
                <c:pt idx="28">
                  <c:v>355.77814447916694</c:v>
                </c:pt>
                <c:pt idx="29">
                  <c:v>356.7280662658336</c:v>
                </c:pt>
                <c:pt idx="30">
                  <c:v>352.03138725750028</c:v>
                </c:pt>
                <c:pt idx="31">
                  <c:v>344.78040986000002</c:v>
                </c:pt>
                <c:pt idx="32">
                  <c:v>339.79456982333346</c:v>
                </c:pt>
                <c:pt idx="33">
                  <c:v>333.38202803833326</c:v>
                </c:pt>
                <c:pt idx="34">
                  <c:v>327.72500387999997</c:v>
                </c:pt>
                <c:pt idx="35">
                  <c:v>326.96103067666633</c:v>
                </c:pt>
                <c:pt idx="36">
                  <c:v>324.94068036833295</c:v>
                </c:pt>
                <c:pt idx="37">
                  <c:v>321.48808217666596</c:v>
                </c:pt>
                <c:pt idx="38">
                  <c:v>320.13657507833244</c:v>
                </c:pt>
                <c:pt idx="39">
                  <c:v>320.10793020499949</c:v>
                </c:pt>
                <c:pt idx="40">
                  <c:v>321.62069941249945</c:v>
                </c:pt>
                <c:pt idx="41">
                  <c:v>326.49380637583243</c:v>
                </c:pt>
                <c:pt idx="42">
                  <c:v>329.19046802999912</c:v>
                </c:pt>
                <c:pt idx="43">
                  <c:v>336.21825692333255</c:v>
                </c:pt>
                <c:pt idx="44">
                  <c:v>339.12139489249921</c:v>
                </c:pt>
                <c:pt idx="45">
                  <c:v>342.2878758574991</c:v>
                </c:pt>
                <c:pt idx="46">
                  <c:v>359.30579001249924</c:v>
                </c:pt>
                <c:pt idx="47">
                  <c:v>369.05362511416621</c:v>
                </c:pt>
                <c:pt idx="48">
                  <c:v>376.29247970666603</c:v>
                </c:pt>
              </c:numCache>
            </c:numRef>
          </c:val>
        </c:ser>
        <c:marker val="1"/>
        <c:axId val="74839936"/>
        <c:axId val="74841472"/>
      </c:lineChart>
      <c:catAx>
        <c:axId val="748399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841472"/>
        <c:crosses val="autoZero"/>
        <c:auto val="1"/>
        <c:lblAlgn val="ctr"/>
        <c:lblOffset val="100"/>
        <c:tickLblSkip val="12"/>
        <c:tickMarkSkip val="12"/>
      </c:catAx>
      <c:valAx>
        <c:axId val="74841472"/>
        <c:scaling>
          <c:orientation val="minMax"/>
          <c:max val="380"/>
          <c:min val="2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839936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China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[17]Pais2!$E$11:$E$59</c:f>
              <c:numCache>
                <c:formatCode>General</c:formatCode>
                <c:ptCount val="49"/>
                <c:pt idx="0">
                  <c:v>38991</c:v>
                </c:pt>
                <c:pt idx="1">
                  <c:v>39022</c:v>
                </c:pt>
                <c:pt idx="2">
                  <c:v>39052</c:v>
                </c:pt>
                <c:pt idx="3">
                  <c:v>39083</c:v>
                </c:pt>
                <c:pt idx="4">
                  <c:v>39114</c:v>
                </c:pt>
                <c:pt idx="5">
                  <c:v>39142</c:v>
                </c:pt>
                <c:pt idx="6">
                  <c:v>39173</c:v>
                </c:pt>
                <c:pt idx="7">
                  <c:v>39203</c:v>
                </c:pt>
                <c:pt idx="8">
                  <c:v>39234</c:v>
                </c:pt>
                <c:pt idx="9">
                  <c:v>39264</c:v>
                </c:pt>
                <c:pt idx="10">
                  <c:v>39295</c:v>
                </c:pt>
                <c:pt idx="11">
                  <c:v>39326</c:v>
                </c:pt>
                <c:pt idx="12">
                  <c:v>39356</c:v>
                </c:pt>
                <c:pt idx="13">
                  <c:v>39387</c:v>
                </c:pt>
                <c:pt idx="14">
                  <c:v>39417</c:v>
                </c:pt>
                <c:pt idx="15">
                  <c:v>39448</c:v>
                </c:pt>
                <c:pt idx="16">
                  <c:v>39479</c:v>
                </c:pt>
                <c:pt idx="17">
                  <c:v>39508</c:v>
                </c:pt>
                <c:pt idx="18">
                  <c:v>39539</c:v>
                </c:pt>
                <c:pt idx="19">
                  <c:v>39569</c:v>
                </c:pt>
                <c:pt idx="20">
                  <c:v>39600</c:v>
                </c:pt>
                <c:pt idx="21">
                  <c:v>39630</c:v>
                </c:pt>
                <c:pt idx="22">
                  <c:v>39661</c:v>
                </c:pt>
                <c:pt idx="23">
                  <c:v>39692</c:v>
                </c:pt>
                <c:pt idx="24">
                  <c:v>39722</c:v>
                </c:pt>
                <c:pt idx="25">
                  <c:v>39753</c:v>
                </c:pt>
                <c:pt idx="26">
                  <c:v>39783</c:v>
                </c:pt>
                <c:pt idx="27">
                  <c:v>39814</c:v>
                </c:pt>
                <c:pt idx="28">
                  <c:v>39845</c:v>
                </c:pt>
                <c:pt idx="29">
                  <c:v>39873</c:v>
                </c:pt>
                <c:pt idx="30">
                  <c:v>39904</c:v>
                </c:pt>
                <c:pt idx="31">
                  <c:v>39934</c:v>
                </c:pt>
                <c:pt idx="32">
                  <c:v>39965</c:v>
                </c:pt>
                <c:pt idx="33">
                  <c:v>39995</c:v>
                </c:pt>
                <c:pt idx="34">
                  <c:v>40026</c:v>
                </c:pt>
                <c:pt idx="35">
                  <c:v>40057</c:v>
                </c:pt>
                <c:pt idx="36">
                  <c:v>40087</c:v>
                </c:pt>
                <c:pt idx="37">
                  <c:v>40118</c:v>
                </c:pt>
                <c:pt idx="38">
                  <c:v>40148</c:v>
                </c:pt>
                <c:pt idx="39">
                  <c:v>40179</c:v>
                </c:pt>
                <c:pt idx="40">
                  <c:v>40210</c:v>
                </c:pt>
                <c:pt idx="41">
                  <c:v>40238</c:v>
                </c:pt>
                <c:pt idx="42">
                  <c:v>40269</c:v>
                </c:pt>
                <c:pt idx="43">
                  <c:v>40299</c:v>
                </c:pt>
                <c:pt idx="44">
                  <c:v>40330</c:v>
                </c:pt>
                <c:pt idx="45">
                  <c:v>40360</c:v>
                </c:pt>
                <c:pt idx="46">
                  <c:v>40391</c:v>
                </c:pt>
                <c:pt idx="47">
                  <c:v>40422</c:v>
                </c:pt>
                <c:pt idx="48">
                  <c:v>40452</c:v>
                </c:pt>
              </c:numCache>
            </c:numRef>
          </c:cat>
          <c:val>
            <c:numRef>
              <c:f>[17]Pais2!$F$11:$F$59</c:f>
              <c:numCache>
                <c:formatCode>General</c:formatCode>
                <c:ptCount val="49"/>
                <c:pt idx="2">
                  <c:v>47.763829299166652</c:v>
                </c:pt>
                <c:pt idx="3">
                  <c:v>49.285672598333321</c:v>
                </c:pt>
                <c:pt idx="4">
                  <c:v>51.126592391666669</c:v>
                </c:pt>
                <c:pt idx="5">
                  <c:v>54.172921762499989</c:v>
                </c:pt>
                <c:pt idx="6">
                  <c:v>55.783080287499985</c:v>
                </c:pt>
                <c:pt idx="7">
                  <c:v>58.207917530833292</c:v>
                </c:pt>
                <c:pt idx="8">
                  <c:v>60.179931498333254</c:v>
                </c:pt>
                <c:pt idx="9">
                  <c:v>63.459571876666594</c:v>
                </c:pt>
                <c:pt idx="10">
                  <c:v>68.163046588333302</c:v>
                </c:pt>
                <c:pt idx="11">
                  <c:v>72.036591563333275</c:v>
                </c:pt>
                <c:pt idx="12">
                  <c:v>75.303550253333285</c:v>
                </c:pt>
                <c:pt idx="13">
                  <c:v>78.058007160833299</c:v>
                </c:pt>
                <c:pt idx="14">
                  <c:v>80.356023007499928</c:v>
                </c:pt>
                <c:pt idx="15">
                  <c:v>83.994612023333261</c:v>
                </c:pt>
                <c:pt idx="16">
                  <c:v>86.158757009166607</c:v>
                </c:pt>
                <c:pt idx="17">
                  <c:v>86.731489594999928</c:v>
                </c:pt>
                <c:pt idx="18">
                  <c:v>89.368003406666602</c:v>
                </c:pt>
                <c:pt idx="19">
                  <c:v>91.196514994166648</c:v>
                </c:pt>
                <c:pt idx="20">
                  <c:v>94.851429723333354</c:v>
                </c:pt>
                <c:pt idx="21">
                  <c:v>98.63076291166665</c:v>
                </c:pt>
                <c:pt idx="22">
                  <c:v>98.920612649166614</c:v>
                </c:pt>
                <c:pt idx="23">
                  <c:v>100.87034524499994</c:v>
                </c:pt>
                <c:pt idx="24">
                  <c:v>104.02688808333328</c:v>
                </c:pt>
                <c:pt idx="25">
                  <c:v>108.93415776749998</c:v>
                </c:pt>
                <c:pt idx="26">
                  <c:v>111.81329665249997</c:v>
                </c:pt>
                <c:pt idx="27">
                  <c:v>112.85010229916664</c:v>
                </c:pt>
                <c:pt idx="28">
                  <c:v>113.70508636416662</c:v>
                </c:pt>
                <c:pt idx="29">
                  <c:v>113.54511165416666</c:v>
                </c:pt>
                <c:pt idx="30">
                  <c:v>112.08798124749997</c:v>
                </c:pt>
                <c:pt idx="31">
                  <c:v>110.78793853249994</c:v>
                </c:pt>
                <c:pt idx="32">
                  <c:v>109.02052584083323</c:v>
                </c:pt>
                <c:pt idx="33">
                  <c:v>106.70825967083324</c:v>
                </c:pt>
                <c:pt idx="34">
                  <c:v>104.51094372749992</c:v>
                </c:pt>
                <c:pt idx="35">
                  <c:v>103.12191220499996</c:v>
                </c:pt>
                <c:pt idx="36">
                  <c:v>101.29199168999992</c:v>
                </c:pt>
                <c:pt idx="37">
                  <c:v>97.066552281666546</c:v>
                </c:pt>
                <c:pt idx="38">
                  <c:v>98.18299595499991</c:v>
                </c:pt>
                <c:pt idx="39">
                  <c:v>97.082120467499905</c:v>
                </c:pt>
                <c:pt idx="40">
                  <c:v>97.908852493333271</c:v>
                </c:pt>
                <c:pt idx="41">
                  <c:v>101.88989509666665</c:v>
                </c:pt>
                <c:pt idx="42">
                  <c:v>105.20356637749997</c:v>
                </c:pt>
                <c:pt idx="43">
                  <c:v>108.60814835000002</c:v>
                </c:pt>
                <c:pt idx="44">
                  <c:v>113.71424204666674</c:v>
                </c:pt>
                <c:pt idx="45">
                  <c:v>119.44333249833339</c:v>
                </c:pt>
                <c:pt idx="46">
                  <c:v>127.0342835108333</c:v>
                </c:pt>
                <c:pt idx="47">
                  <c:v>133.52194592333331</c:v>
                </c:pt>
                <c:pt idx="48">
                  <c:v>141.39329050666677</c:v>
                </c:pt>
              </c:numCache>
            </c:numRef>
          </c:val>
        </c:ser>
        <c:marker val="1"/>
        <c:axId val="74736384"/>
        <c:axId val="74737920"/>
      </c:lineChart>
      <c:catAx>
        <c:axId val="747363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737920"/>
        <c:crosses val="autoZero"/>
        <c:auto val="1"/>
        <c:lblAlgn val="ctr"/>
        <c:lblOffset val="100"/>
        <c:tickLblSkip val="12"/>
        <c:tickMarkSkip val="12"/>
      </c:catAx>
      <c:valAx>
        <c:axId val="74737920"/>
        <c:scaling>
          <c:orientation val="minMax"/>
          <c:max val="160"/>
          <c:min val="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736384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México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[17]Pais3!$E$10:$E$58</c:f>
              <c:numCache>
                <c:formatCode>General</c:formatCode>
                <c:ptCount val="49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</c:numCache>
            </c:numRef>
          </c:cat>
          <c:val>
            <c:numRef>
              <c:f>[17]Pais3!$F$10:$F$58</c:f>
              <c:numCache>
                <c:formatCode>General</c:formatCode>
                <c:ptCount val="49"/>
                <c:pt idx="3">
                  <c:v>77.485959767499978</c:v>
                </c:pt>
                <c:pt idx="4">
                  <c:v>79.436619508333294</c:v>
                </c:pt>
                <c:pt idx="5">
                  <c:v>81.959253377499948</c:v>
                </c:pt>
                <c:pt idx="6">
                  <c:v>83.576788038333262</c:v>
                </c:pt>
                <c:pt idx="7">
                  <c:v>81.89838841583331</c:v>
                </c:pt>
                <c:pt idx="8">
                  <c:v>80.968722761666612</c:v>
                </c:pt>
                <c:pt idx="9">
                  <c:v>82.94296456416663</c:v>
                </c:pt>
                <c:pt idx="10">
                  <c:v>83.690767430000008</c:v>
                </c:pt>
                <c:pt idx="11">
                  <c:v>85.281901586666663</c:v>
                </c:pt>
                <c:pt idx="12">
                  <c:v>87.363762274999999</c:v>
                </c:pt>
                <c:pt idx="13">
                  <c:v>89.38345081750002</c:v>
                </c:pt>
                <c:pt idx="14">
                  <c:v>91.279617054166707</c:v>
                </c:pt>
                <c:pt idx="15">
                  <c:v>93.435844630000062</c:v>
                </c:pt>
                <c:pt idx="16">
                  <c:v>94.034481665833383</c:v>
                </c:pt>
                <c:pt idx="17">
                  <c:v>94.768779571666741</c:v>
                </c:pt>
                <c:pt idx="18">
                  <c:v>94.802430794166767</c:v>
                </c:pt>
                <c:pt idx="19">
                  <c:v>98.367047167500104</c:v>
                </c:pt>
                <c:pt idx="20">
                  <c:v>98.865373124166766</c:v>
                </c:pt>
                <c:pt idx="21">
                  <c:v>96.913330728333392</c:v>
                </c:pt>
                <c:pt idx="22">
                  <c:v>97.675597549166767</c:v>
                </c:pt>
                <c:pt idx="23">
                  <c:v>95.745012895000102</c:v>
                </c:pt>
                <c:pt idx="24">
                  <c:v>93.056462040000099</c:v>
                </c:pt>
                <c:pt idx="25">
                  <c:v>93.845989350000082</c:v>
                </c:pt>
                <c:pt idx="26">
                  <c:v>92.47342742250008</c:v>
                </c:pt>
                <c:pt idx="27">
                  <c:v>91.892090585833387</c:v>
                </c:pt>
                <c:pt idx="28">
                  <c:v>92.883973913333378</c:v>
                </c:pt>
                <c:pt idx="29">
                  <c:v>91.579659411666725</c:v>
                </c:pt>
                <c:pt idx="30">
                  <c:v>89.2986131341667</c:v>
                </c:pt>
                <c:pt idx="31">
                  <c:v>85.435554377499997</c:v>
                </c:pt>
                <c:pt idx="32">
                  <c:v>79.627678025000009</c:v>
                </c:pt>
                <c:pt idx="33">
                  <c:v>77.68076609750004</c:v>
                </c:pt>
                <c:pt idx="34">
                  <c:v>74.735023850000019</c:v>
                </c:pt>
                <c:pt idx="35">
                  <c:v>73.477183166666677</c:v>
                </c:pt>
                <c:pt idx="36">
                  <c:v>72.947535848333331</c:v>
                </c:pt>
                <c:pt idx="37">
                  <c:v>74.236160620833346</c:v>
                </c:pt>
                <c:pt idx="38">
                  <c:v>72.631681218333327</c:v>
                </c:pt>
                <c:pt idx="39">
                  <c:v>72.392592035833403</c:v>
                </c:pt>
                <c:pt idx="40">
                  <c:v>70.526520132500067</c:v>
                </c:pt>
                <c:pt idx="41">
                  <c:v>73.009929453333356</c:v>
                </c:pt>
                <c:pt idx="42">
                  <c:v>79.357017137500051</c:v>
                </c:pt>
                <c:pt idx="43">
                  <c:v>85.939218160000053</c:v>
                </c:pt>
                <c:pt idx="44">
                  <c:v>93.299301968333438</c:v>
                </c:pt>
                <c:pt idx="45">
                  <c:v>101.03207855833341</c:v>
                </c:pt>
                <c:pt idx="46">
                  <c:v>107.3491444466668</c:v>
                </c:pt>
                <c:pt idx="47">
                  <c:v>113.7598924516668</c:v>
                </c:pt>
                <c:pt idx="48">
                  <c:v>121.43138750583347</c:v>
                </c:pt>
              </c:numCache>
            </c:numRef>
          </c:val>
        </c:ser>
        <c:marker val="1"/>
        <c:axId val="74768768"/>
        <c:axId val="74770304"/>
      </c:lineChart>
      <c:catAx>
        <c:axId val="747687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770304"/>
        <c:crosses val="autoZero"/>
        <c:auto val="1"/>
        <c:lblAlgn val="ctr"/>
        <c:lblOffset val="100"/>
        <c:tickLblSkip val="12"/>
        <c:tickMarkSkip val="12"/>
      </c:catAx>
      <c:valAx>
        <c:axId val="74770304"/>
        <c:scaling>
          <c:orientation val="minMax"/>
          <c:max val="130"/>
          <c:min val="6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768768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Brasil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[17]Pais4!$E$10:$E$58</c:f>
              <c:numCache>
                <c:formatCode>General</c:formatCode>
                <c:ptCount val="49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</c:numCache>
            </c:numRef>
          </c:cat>
          <c:val>
            <c:numRef>
              <c:f>[17]Pais4!$F$10:$F$58</c:f>
              <c:numCache>
                <c:formatCode>General</c:formatCode>
                <c:ptCount val="49"/>
                <c:pt idx="3">
                  <c:v>69.85383841499997</c:v>
                </c:pt>
                <c:pt idx="4">
                  <c:v>71.839477841666636</c:v>
                </c:pt>
                <c:pt idx="5">
                  <c:v>79.293509321666633</c:v>
                </c:pt>
                <c:pt idx="6">
                  <c:v>81.703626270000015</c:v>
                </c:pt>
                <c:pt idx="7">
                  <c:v>82.336653319166672</c:v>
                </c:pt>
                <c:pt idx="8">
                  <c:v>79.274940053333339</c:v>
                </c:pt>
                <c:pt idx="9">
                  <c:v>77.422445416666719</c:v>
                </c:pt>
                <c:pt idx="10">
                  <c:v>75.352143660000067</c:v>
                </c:pt>
                <c:pt idx="11">
                  <c:v>73.840007274166709</c:v>
                </c:pt>
                <c:pt idx="12">
                  <c:v>75.385356030833364</c:v>
                </c:pt>
                <c:pt idx="13">
                  <c:v>79.003220212500011</c:v>
                </c:pt>
                <c:pt idx="14">
                  <c:v>83.280119561666666</c:v>
                </c:pt>
                <c:pt idx="15">
                  <c:v>82.055186277499985</c:v>
                </c:pt>
                <c:pt idx="16">
                  <c:v>84.3119428808333</c:v>
                </c:pt>
                <c:pt idx="17">
                  <c:v>79.782511964166645</c:v>
                </c:pt>
                <c:pt idx="18">
                  <c:v>78.465914168333285</c:v>
                </c:pt>
                <c:pt idx="19">
                  <c:v>78.024885872499951</c:v>
                </c:pt>
                <c:pt idx="20">
                  <c:v>76.585612319166614</c:v>
                </c:pt>
                <c:pt idx="21">
                  <c:v>79.95003352166664</c:v>
                </c:pt>
                <c:pt idx="22">
                  <c:v>80.581819585833287</c:v>
                </c:pt>
                <c:pt idx="23">
                  <c:v>85.8169887108333</c:v>
                </c:pt>
                <c:pt idx="24">
                  <c:v>85.978968886666635</c:v>
                </c:pt>
                <c:pt idx="25">
                  <c:v>84.157302770833283</c:v>
                </c:pt>
                <c:pt idx="26">
                  <c:v>80.294099578333316</c:v>
                </c:pt>
                <c:pt idx="27">
                  <c:v>79.778622040833341</c:v>
                </c:pt>
                <c:pt idx="28">
                  <c:v>77.266641381666673</c:v>
                </c:pt>
                <c:pt idx="29">
                  <c:v>80.596752348333339</c:v>
                </c:pt>
                <c:pt idx="30">
                  <c:v>83.205848108333342</c:v>
                </c:pt>
                <c:pt idx="31">
                  <c:v>82.652263418333362</c:v>
                </c:pt>
                <c:pt idx="32">
                  <c:v>82.122681517500027</c:v>
                </c:pt>
                <c:pt idx="33">
                  <c:v>80.342326788333352</c:v>
                </c:pt>
                <c:pt idx="34">
                  <c:v>81.41884950083336</c:v>
                </c:pt>
                <c:pt idx="35">
                  <c:v>76.080557766666729</c:v>
                </c:pt>
                <c:pt idx="36">
                  <c:v>72.951270123333416</c:v>
                </c:pt>
                <c:pt idx="37">
                  <c:v>71.526291715000113</c:v>
                </c:pt>
                <c:pt idx="38">
                  <c:v>71.286146210833408</c:v>
                </c:pt>
                <c:pt idx="39">
                  <c:v>69.411983321666753</c:v>
                </c:pt>
                <c:pt idx="40">
                  <c:v>67.988808960000071</c:v>
                </c:pt>
                <c:pt idx="41">
                  <c:v>63.315062850833407</c:v>
                </c:pt>
                <c:pt idx="42">
                  <c:v>62.402437743333415</c:v>
                </c:pt>
                <c:pt idx="43">
                  <c:v>62.619014565833396</c:v>
                </c:pt>
                <c:pt idx="44">
                  <c:v>63.791075774166735</c:v>
                </c:pt>
                <c:pt idx="45">
                  <c:v>64.04808438750004</c:v>
                </c:pt>
                <c:pt idx="46">
                  <c:v>62.574637084166703</c:v>
                </c:pt>
                <c:pt idx="47">
                  <c:v>65.038860860000014</c:v>
                </c:pt>
                <c:pt idx="48">
                  <c:v>67.785553770833346</c:v>
                </c:pt>
              </c:numCache>
            </c:numRef>
          </c:val>
        </c:ser>
        <c:marker val="1"/>
        <c:axId val="74714112"/>
        <c:axId val="74877952"/>
      </c:lineChart>
      <c:catAx>
        <c:axId val="747141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877952"/>
        <c:crosses val="autoZero"/>
        <c:auto val="1"/>
        <c:lblAlgn val="ctr"/>
        <c:lblOffset val="100"/>
        <c:tickLblSkip val="12"/>
        <c:tickMarkSkip val="12"/>
      </c:catAx>
      <c:valAx>
        <c:axId val="74877952"/>
        <c:scaling>
          <c:orientation val="minMax"/>
          <c:max val="90"/>
          <c:min val="6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714112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Alemania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[17]Pais5!$E$11:$E$59</c:f>
              <c:numCache>
                <c:formatCode>General</c:formatCode>
                <c:ptCount val="49"/>
                <c:pt idx="0">
                  <c:v>38991</c:v>
                </c:pt>
                <c:pt idx="1">
                  <c:v>39022</c:v>
                </c:pt>
                <c:pt idx="2">
                  <c:v>39052</c:v>
                </c:pt>
                <c:pt idx="3">
                  <c:v>39083</c:v>
                </c:pt>
                <c:pt idx="4">
                  <c:v>39114</c:v>
                </c:pt>
                <c:pt idx="5">
                  <c:v>39142</c:v>
                </c:pt>
                <c:pt idx="6">
                  <c:v>39173</c:v>
                </c:pt>
                <c:pt idx="7">
                  <c:v>39203</c:v>
                </c:pt>
                <c:pt idx="8">
                  <c:v>39234</c:v>
                </c:pt>
                <c:pt idx="9">
                  <c:v>39264</c:v>
                </c:pt>
                <c:pt idx="10">
                  <c:v>39295</c:v>
                </c:pt>
                <c:pt idx="11">
                  <c:v>39326</c:v>
                </c:pt>
                <c:pt idx="12">
                  <c:v>39356</c:v>
                </c:pt>
                <c:pt idx="13">
                  <c:v>39387</c:v>
                </c:pt>
                <c:pt idx="14">
                  <c:v>39417</c:v>
                </c:pt>
                <c:pt idx="15">
                  <c:v>39448</c:v>
                </c:pt>
                <c:pt idx="16">
                  <c:v>39479</c:v>
                </c:pt>
                <c:pt idx="17">
                  <c:v>39508</c:v>
                </c:pt>
                <c:pt idx="18">
                  <c:v>39539</c:v>
                </c:pt>
                <c:pt idx="19">
                  <c:v>39569</c:v>
                </c:pt>
                <c:pt idx="20">
                  <c:v>39600</c:v>
                </c:pt>
                <c:pt idx="21">
                  <c:v>39630</c:v>
                </c:pt>
                <c:pt idx="22">
                  <c:v>39661</c:v>
                </c:pt>
                <c:pt idx="23">
                  <c:v>39692</c:v>
                </c:pt>
                <c:pt idx="24">
                  <c:v>39722</c:v>
                </c:pt>
                <c:pt idx="25">
                  <c:v>39753</c:v>
                </c:pt>
                <c:pt idx="26">
                  <c:v>39783</c:v>
                </c:pt>
                <c:pt idx="27">
                  <c:v>39814</c:v>
                </c:pt>
                <c:pt idx="28">
                  <c:v>39845</c:v>
                </c:pt>
                <c:pt idx="29">
                  <c:v>39873</c:v>
                </c:pt>
                <c:pt idx="30">
                  <c:v>39904</c:v>
                </c:pt>
                <c:pt idx="31">
                  <c:v>39934</c:v>
                </c:pt>
                <c:pt idx="32">
                  <c:v>39965</c:v>
                </c:pt>
                <c:pt idx="33">
                  <c:v>39995</c:v>
                </c:pt>
                <c:pt idx="34">
                  <c:v>40026</c:v>
                </c:pt>
                <c:pt idx="35">
                  <c:v>40057</c:v>
                </c:pt>
                <c:pt idx="36">
                  <c:v>40087</c:v>
                </c:pt>
                <c:pt idx="37">
                  <c:v>40118</c:v>
                </c:pt>
                <c:pt idx="38">
                  <c:v>40148</c:v>
                </c:pt>
                <c:pt idx="39">
                  <c:v>40179</c:v>
                </c:pt>
                <c:pt idx="40">
                  <c:v>40210</c:v>
                </c:pt>
                <c:pt idx="41">
                  <c:v>40238</c:v>
                </c:pt>
                <c:pt idx="42">
                  <c:v>40269</c:v>
                </c:pt>
                <c:pt idx="43">
                  <c:v>40299</c:v>
                </c:pt>
                <c:pt idx="44">
                  <c:v>40330</c:v>
                </c:pt>
                <c:pt idx="45">
                  <c:v>40360</c:v>
                </c:pt>
                <c:pt idx="46">
                  <c:v>40391</c:v>
                </c:pt>
                <c:pt idx="47">
                  <c:v>40422</c:v>
                </c:pt>
                <c:pt idx="48">
                  <c:v>40452</c:v>
                </c:pt>
              </c:numCache>
            </c:numRef>
          </c:cat>
          <c:val>
            <c:numRef>
              <c:f>[17]Pais5!$F$11:$F$59</c:f>
              <c:numCache>
                <c:formatCode>General</c:formatCode>
                <c:ptCount val="49"/>
                <c:pt idx="2">
                  <c:v>29.385337295000003</c:v>
                </c:pt>
                <c:pt idx="3">
                  <c:v>30.093520451666659</c:v>
                </c:pt>
                <c:pt idx="4">
                  <c:v>30.668381133333327</c:v>
                </c:pt>
                <c:pt idx="5">
                  <c:v>31.278211074166659</c:v>
                </c:pt>
                <c:pt idx="6">
                  <c:v>31.546694391666659</c:v>
                </c:pt>
                <c:pt idx="7">
                  <c:v>31.380931694166659</c:v>
                </c:pt>
                <c:pt idx="8">
                  <c:v>32.045454792499989</c:v>
                </c:pt>
                <c:pt idx="9">
                  <c:v>33.275293020833324</c:v>
                </c:pt>
                <c:pt idx="10">
                  <c:v>35.411437218333354</c:v>
                </c:pt>
                <c:pt idx="11">
                  <c:v>36.586576230833344</c:v>
                </c:pt>
                <c:pt idx="12">
                  <c:v>38.100364675000002</c:v>
                </c:pt>
                <c:pt idx="13">
                  <c:v>39.460032181666655</c:v>
                </c:pt>
                <c:pt idx="14">
                  <c:v>38.614335614166663</c:v>
                </c:pt>
                <c:pt idx="15">
                  <c:v>39.147204689166657</c:v>
                </c:pt>
                <c:pt idx="16">
                  <c:v>40.105219527500005</c:v>
                </c:pt>
                <c:pt idx="17">
                  <c:v>40.885402649999996</c:v>
                </c:pt>
                <c:pt idx="18">
                  <c:v>43.260239519999999</c:v>
                </c:pt>
                <c:pt idx="19">
                  <c:v>47.530323236666675</c:v>
                </c:pt>
                <c:pt idx="20">
                  <c:v>48.562629949166677</c:v>
                </c:pt>
                <c:pt idx="21">
                  <c:v>49.32465192916667</c:v>
                </c:pt>
                <c:pt idx="22">
                  <c:v>48.374825852499988</c:v>
                </c:pt>
                <c:pt idx="23">
                  <c:v>51.791682795833331</c:v>
                </c:pt>
                <c:pt idx="24">
                  <c:v>52.240128975833336</c:v>
                </c:pt>
                <c:pt idx="25">
                  <c:v>56.012514226666696</c:v>
                </c:pt>
                <c:pt idx="26">
                  <c:v>56.427148755000019</c:v>
                </c:pt>
                <c:pt idx="27">
                  <c:v>56.919993091666704</c:v>
                </c:pt>
                <c:pt idx="28">
                  <c:v>56.312125363333365</c:v>
                </c:pt>
                <c:pt idx="29">
                  <c:v>55.380076637500046</c:v>
                </c:pt>
                <c:pt idx="30">
                  <c:v>53.917667687500035</c:v>
                </c:pt>
                <c:pt idx="31">
                  <c:v>50.068127644166701</c:v>
                </c:pt>
                <c:pt idx="32">
                  <c:v>49.24412637583336</c:v>
                </c:pt>
                <c:pt idx="33">
                  <c:v>48.447113450833349</c:v>
                </c:pt>
                <c:pt idx="34">
                  <c:v>48.341758004166678</c:v>
                </c:pt>
                <c:pt idx="35">
                  <c:v>44.710403694166665</c:v>
                </c:pt>
                <c:pt idx="36">
                  <c:v>47.909600655000013</c:v>
                </c:pt>
                <c:pt idx="37">
                  <c:v>44.057779269999976</c:v>
                </c:pt>
                <c:pt idx="38">
                  <c:v>44.547287956666658</c:v>
                </c:pt>
                <c:pt idx="39">
                  <c:v>44.425481353333318</c:v>
                </c:pt>
                <c:pt idx="40">
                  <c:v>49.279371994166659</c:v>
                </c:pt>
                <c:pt idx="41">
                  <c:v>55.033160605000035</c:v>
                </c:pt>
                <c:pt idx="42">
                  <c:v>55.593348081666683</c:v>
                </c:pt>
                <c:pt idx="43">
                  <c:v>56.232214746666692</c:v>
                </c:pt>
                <c:pt idx="44">
                  <c:v>57.345756594166708</c:v>
                </c:pt>
                <c:pt idx="45">
                  <c:v>58.234118547500053</c:v>
                </c:pt>
                <c:pt idx="46">
                  <c:v>58.766111830000064</c:v>
                </c:pt>
                <c:pt idx="47">
                  <c:v>60.451189672500057</c:v>
                </c:pt>
                <c:pt idx="48">
                  <c:v>57.366885135000068</c:v>
                </c:pt>
              </c:numCache>
            </c:numRef>
          </c:val>
        </c:ser>
        <c:marker val="1"/>
        <c:axId val="75293440"/>
        <c:axId val="75294976"/>
      </c:lineChart>
      <c:catAx>
        <c:axId val="752934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294976"/>
        <c:crosses val="autoZero"/>
        <c:auto val="1"/>
        <c:lblAlgn val="ctr"/>
        <c:lblOffset val="100"/>
        <c:tickLblSkip val="12"/>
        <c:tickMarkSkip val="12"/>
      </c:catAx>
      <c:valAx>
        <c:axId val="75294976"/>
        <c:scaling>
          <c:orientation val="minMax"/>
          <c:max val="65"/>
          <c:min val="2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293440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emf"/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manufactura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Resumen cap&#237;t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cap&#237;tulos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subpartid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EEUU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impo alt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China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impo EEUU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&#233;xico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impo China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rasil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impo M&#233;xico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emania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impo Brasil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emania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18</xdr:col>
      <xdr:colOff>0</xdr:colOff>
      <xdr:row>8</xdr:row>
      <xdr:rowOff>73896</xdr:rowOff>
    </xdr:to>
    <xdr:pic>
      <xdr:nvPicPr>
        <xdr:cNvPr id="7" name="Imagen 6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012706" cy="1687543"/>
        </a:xfrm>
        <a:prstGeom prst="rect">
          <a:avLst/>
        </a:prstGeom>
      </xdr:spPr>
    </xdr:pic>
    <xdr:clientData/>
  </xdr:twoCellAnchor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5051236" y="527237"/>
          <a:ext cx="3857440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3 diciembre 2010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8</xdr:col>
      <xdr:colOff>581025</xdr:colOff>
      <xdr:row>29</xdr:row>
      <xdr:rowOff>46318</xdr:rowOff>
    </xdr:to>
    <xdr:pic>
      <xdr:nvPicPr>
        <xdr:cNvPr id="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23825" y="2352675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381000</xdr:colOff>
      <xdr:row>28</xdr:row>
      <xdr:rowOff>123825</xdr:rowOff>
    </xdr:to>
    <xdr:sp macro="" textlink="">
      <xdr:nvSpPr>
        <xdr:cNvPr id="8" name="7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5,1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9" name="8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2,4%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609600</xdr:colOff>
      <xdr:row>21</xdr:row>
      <xdr:rowOff>152400</xdr:rowOff>
    </xdr:from>
    <xdr:to>
      <xdr:col>1</xdr:col>
      <xdr:colOff>1952625</xdr:colOff>
      <xdr:row>23</xdr:row>
      <xdr:rowOff>152400</xdr:rowOff>
    </xdr:to>
    <xdr:sp macro="" textlink="">
      <xdr:nvSpPr>
        <xdr:cNvPr id="10" name="9 CuadroTexto"/>
        <xdr:cNvSpPr txBox="1"/>
      </xdr:nvSpPr>
      <xdr:spPr>
        <a:xfrm>
          <a:off x="73342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-6,1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24</xdr:row>
      <xdr:rowOff>19050</xdr:rowOff>
    </xdr:from>
    <xdr:to>
      <xdr:col>4</xdr:col>
      <xdr:colOff>76201</xdr:colOff>
      <xdr:row>26</xdr:row>
      <xdr:rowOff>38100</xdr:rowOff>
    </xdr:to>
    <xdr:sp macro="" textlink="">
      <xdr:nvSpPr>
        <xdr:cNvPr id="11" name="10 CuadroTexto"/>
        <xdr:cNvSpPr txBox="1"/>
      </xdr:nvSpPr>
      <xdr:spPr>
        <a:xfrm>
          <a:off x="2609850" y="4772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-49,4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971550</xdr:colOff>
      <xdr:row>23</xdr:row>
      <xdr:rowOff>76200</xdr:rowOff>
    </xdr:from>
    <xdr:to>
      <xdr:col>1</xdr:col>
      <xdr:colOff>2190751</xdr:colOff>
      <xdr:row>25</xdr:row>
      <xdr:rowOff>76200</xdr:rowOff>
    </xdr:to>
    <xdr:sp macro="" textlink="">
      <xdr:nvSpPr>
        <xdr:cNvPr id="12" name="11 CuadroTexto"/>
        <xdr:cNvSpPr txBox="1"/>
      </xdr:nvSpPr>
      <xdr:spPr>
        <a:xfrm>
          <a:off x="1095375" y="46291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-1,5%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20</xdr:row>
      <xdr:rowOff>47625</xdr:rowOff>
    </xdr:from>
    <xdr:to>
      <xdr:col>3</xdr:col>
      <xdr:colOff>95249</xdr:colOff>
      <xdr:row>22</xdr:row>
      <xdr:rowOff>47625</xdr:rowOff>
    </xdr:to>
    <xdr:sp macro="" textlink="">
      <xdr:nvSpPr>
        <xdr:cNvPr id="13" name="12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16,9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9525</xdr:rowOff>
    </xdr:from>
    <xdr:to>
      <xdr:col>1</xdr:col>
      <xdr:colOff>1095376</xdr:colOff>
      <xdr:row>21</xdr:row>
      <xdr:rowOff>9525</xdr:rowOff>
    </xdr:to>
    <xdr:sp macro="" textlink="">
      <xdr:nvSpPr>
        <xdr:cNvPr id="14" name="13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-460,5</a:t>
          </a:r>
        </a:p>
      </xdr:txBody>
    </xdr:sp>
    <xdr:clientData/>
  </xdr:twoCellAnchor>
  <xdr:twoCellAnchor>
    <xdr:from>
      <xdr:col>0</xdr:col>
      <xdr:colOff>66675</xdr:colOff>
      <xdr:row>12</xdr:row>
      <xdr:rowOff>142875</xdr:rowOff>
    </xdr:from>
    <xdr:to>
      <xdr:col>1</xdr:col>
      <xdr:colOff>1162051</xdr:colOff>
      <xdr:row>14</xdr:row>
      <xdr:rowOff>142875</xdr:rowOff>
    </xdr:to>
    <xdr:sp macro="" textlink="">
      <xdr:nvSpPr>
        <xdr:cNvPr id="15" name="14 CuadroTexto"/>
        <xdr:cNvSpPr txBox="1"/>
      </xdr:nvSpPr>
      <xdr:spPr>
        <a:xfrm>
          <a:off x="66675" y="26955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-48,0</a:t>
          </a: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6" name="15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316,3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18</xdr:row>
      <xdr:rowOff>28575</xdr:rowOff>
    </xdr:from>
    <xdr:to>
      <xdr:col>10</xdr:col>
      <xdr:colOff>66676</xdr:colOff>
      <xdr:row>20</xdr:row>
      <xdr:rowOff>28575</xdr:rowOff>
    </xdr:to>
    <xdr:sp macro="" textlink="">
      <xdr:nvSpPr>
        <xdr:cNvPr id="17" name="16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190,2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18</xdr:row>
      <xdr:rowOff>57150</xdr:rowOff>
    </xdr:from>
    <xdr:to>
      <xdr:col>2</xdr:col>
      <xdr:colOff>590549</xdr:colOff>
      <xdr:row>20</xdr:row>
      <xdr:rowOff>57150</xdr:rowOff>
    </xdr:to>
    <xdr:sp macro="" textlink="">
      <xdr:nvSpPr>
        <xdr:cNvPr id="18" name="17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-3</a:t>
          </a:r>
          <a:r>
            <a:rPr lang="es-ES" sz="1200" b="0" baseline="0">
              <a:solidFill>
                <a:srgbClr val="53722D"/>
              </a:solidFill>
            </a:rPr>
            <a:t>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13</xdr:row>
      <xdr:rowOff>66675</xdr:rowOff>
    </xdr:from>
    <xdr:to>
      <xdr:col>5</xdr:col>
      <xdr:colOff>28576</xdr:colOff>
      <xdr:row>15</xdr:row>
      <xdr:rowOff>66675</xdr:rowOff>
    </xdr:to>
    <xdr:sp macro="" textlink="">
      <xdr:nvSpPr>
        <xdr:cNvPr id="19" name="18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-67,5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28</xdr:row>
      <xdr:rowOff>104775</xdr:rowOff>
    </xdr:from>
    <xdr:to>
      <xdr:col>7</xdr:col>
      <xdr:colOff>590550</xdr:colOff>
      <xdr:row>38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86000" y="339725"/>
          <a:ext cx="4352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1719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11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Resumen_impo_corrido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SDDE/Comex/Exportaciones/Cuadros_informe/paises_disminuyeron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resumen_pais_origen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DDE/Comex/Exportaciones/Cuadros_informe/resumen_pais_destino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resumen_pais_primarios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resumen_pais_manufacturas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resumen_pais_rec_nat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resumen_pais_baja_tek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resumen_pais_media_tek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resumen_pais_alta_tek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Historico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Gr&#225;fico_historico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princ_paises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Deptos_destino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Total_impo"/>
      <sheetName val="resumen_tecnologia"/>
      <sheetName val="Disminuyeron"/>
      <sheetName val="Aumentaron"/>
      <sheetName val="capitulos"/>
      <sheetName val="Subpartida"/>
      <sheetName val="resumen_ciiu"/>
      <sheetName val="ciiu_desagregado"/>
      <sheetName val="cuode"/>
    </sheetNames>
    <sheetDataSet>
      <sheetData sheetId="0">
        <row r="2">
          <cell r="A2">
            <v>11531.093251530019</v>
          </cell>
          <cell r="B2">
            <v>14441.043764700104</v>
          </cell>
          <cell r="C2">
            <v>1265.9982494300002</v>
          </cell>
          <cell r="D2">
            <v>1619.3198718299989</v>
          </cell>
        </row>
      </sheetData>
      <sheetData sheetId="1">
        <row r="2">
          <cell r="C2">
            <v>400.20852914999915</v>
          </cell>
          <cell r="D2">
            <v>522.63412937999965</v>
          </cell>
          <cell r="E2">
            <v>44.752462370000025</v>
          </cell>
          <cell r="F2">
            <v>41.99658862999997</v>
          </cell>
        </row>
        <row r="3">
          <cell r="C3">
            <v>1010.4224253200019</v>
          </cell>
          <cell r="D3">
            <v>1497.6884720299772</v>
          </cell>
          <cell r="E3">
            <v>113.91360245999954</v>
          </cell>
          <cell r="F3">
            <v>232.46101542000031</v>
          </cell>
        </row>
        <row r="4">
          <cell r="C4">
            <v>5431.6553431600787</v>
          </cell>
          <cell r="D4">
            <v>5867.561974119998</v>
          </cell>
          <cell r="E4">
            <v>562.56373108000082</v>
          </cell>
          <cell r="F4">
            <v>457.37246321999783</v>
          </cell>
        </row>
        <row r="5">
          <cell r="C5">
            <v>1379.7552921000304</v>
          </cell>
          <cell r="D5">
            <v>1966.0594319099987</v>
          </cell>
          <cell r="E5">
            <v>157.7697077399994</v>
          </cell>
          <cell r="F5">
            <v>259.15973022000111</v>
          </cell>
        </row>
        <row r="6">
          <cell r="C6">
            <v>3248.0194565200459</v>
          </cell>
          <cell r="D6">
            <v>4500.398285900108</v>
          </cell>
          <cell r="E6">
            <v>381.15545859000008</v>
          </cell>
          <cell r="F6">
            <v>620.93736435999563</v>
          </cell>
        </row>
        <row r="7">
          <cell r="C7">
            <v>61.025808760000174</v>
          </cell>
          <cell r="D7">
            <v>86.45691414000018</v>
          </cell>
          <cell r="E7">
            <v>5.8411268099999942</v>
          </cell>
          <cell r="F7">
            <v>7.1481527600000119</v>
          </cell>
        </row>
      </sheetData>
      <sheetData sheetId="2">
        <row r="2">
          <cell r="B2" t="str">
            <v>Francia</v>
          </cell>
          <cell r="C2">
            <v>995.38984245000506</v>
          </cell>
          <cell r="D2">
            <v>548.33145943999557</v>
          </cell>
          <cell r="E2">
            <v>73.104957399999961</v>
          </cell>
          <cell r="F2">
            <v>18.830515249999998</v>
          </cell>
        </row>
        <row r="3">
          <cell r="B3" t="str">
            <v>Venezuela</v>
          </cell>
          <cell r="C3">
            <v>163.28899771999997</v>
          </cell>
          <cell r="D3">
            <v>66.676693869999824</v>
          </cell>
          <cell r="E3">
            <v>8.2716994400000043</v>
          </cell>
          <cell r="F3">
            <v>8.9794796100000021</v>
          </cell>
        </row>
        <row r="4">
          <cell r="B4" t="str">
            <v>Irlanda (Eire)</v>
          </cell>
          <cell r="C4">
            <v>81.850944249999941</v>
          </cell>
          <cell r="D4">
            <v>28.712670410000008</v>
          </cell>
          <cell r="E4">
            <v>2.9559857299999992</v>
          </cell>
          <cell r="F4">
            <v>2.8514909100000021</v>
          </cell>
        </row>
        <row r="5">
          <cell r="B5" t="str">
            <v>Zona Franca Palmaseca</v>
          </cell>
          <cell r="C5">
            <v>45.389878029999998</v>
          </cell>
          <cell r="D5">
            <v>6.0529763100000009</v>
          </cell>
          <cell r="E5">
            <v>9.1248319300000009</v>
          </cell>
          <cell r="F5">
            <v>0.19471035</v>
          </cell>
        </row>
        <row r="6">
          <cell r="B6" t="str">
            <v>Rusia</v>
          </cell>
          <cell r="C6">
            <v>57.533168509999982</v>
          </cell>
          <cell r="D6">
            <v>22.54970569000001</v>
          </cell>
          <cell r="E6">
            <v>0.16590969</v>
          </cell>
          <cell r="F6">
            <v>6.337596999999999E-2</v>
          </cell>
        </row>
        <row r="7">
          <cell r="B7" t="str">
            <v>Reino Unido</v>
          </cell>
          <cell r="C7">
            <v>224.46819310000083</v>
          </cell>
          <cell r="D7">
            <v>210.05727164000049</v>
          </cell>
          <cell r="E7">
            <v>22.357932829999942</v>
          </cell>
          <cell r="F7">
            <v>18.833132570000004</v>
          </cell>
        </row>
        <row r="8">
          <cell r="B8" t="str">
            <v>Zona Franca de Bogotá</v>
          </cell>
          <cell r="C8">
            <v>126.80127934000097</v>
          </cell>
          <cell r="D8">
            <v>119.85054085000014</v>
          </cell>
          <cell r="E8">
            <v>8.3713891500000024</v>
          </cell>
          <cell r="F8">
            <v>11.625379239999994</v>
          </cell>
        </row>
        <row r="9">
          <cell r="B9" t="str">
            <v>Martinica</v>
          </cell>
          <cell r="C9">
            <v>6.5656791500000002</v>
          </cell>
          <cell r="D9">
            <v>0</v>
          </cell>
          <cell r="E9">
            <v>0</v>
          </cell>
        </row>
        <row r="10">
          <cell r="B10" t="str">
            <v>Sudáfrica</v>
          </cell>
          <cell r="C10">
            <v>9.2140901000000106</v>
          </cell>
          <cell r="D10">
            <v>5.0718904600000005</v>
          </cell>
          <cell r="E10">
            <v>0.38860443</v>
          </cell>
          <cell r="F10">
            <v>0.36056228999999995</v>
          </cell>
        </row>
        <row r="11">
          <cell r="B11" t="str">
            <v>Pakistan</v>
          </cell>
          <cell r="C11">
            <v>9.0063701200000033</v>
          </cell>
          <cell r="D11">
            <v>5.503067320000004</v>
          </cell>
          <cell r="E11">
            <v>0.60236083000000007</v>
          </cell>
          <cell r="F11">
            <v>0.50847871999999994</v>
          </cell>
        </row>
        <row r="12">
          <cell r="B12" t="str">
            <v>Reunion</v>
          </cell>
          <cell r="C12">
            <v>5.7766614700000041</v>
          </cell>
          <cell r="D12">
            <v>2.8045997100000006</v>
          </cell>
          <cell r="E12">
            <v>0.68680810999999997</v>
          </cell>
          <cell r="F12">
            <v>9.9554000000000004E-2</v>
          </cell>
        </row>
        <row r="13">
          <cell r="B13" t="str">
            <v>Bulgaria</v>
          </cell>
          <cell r="C13">
            <v>4.5359485699999995</v>
          </cell>
          <cell r="D13">
            <v>3.2755965699999998</v>
          </cell>
          <cell r="E13">
            <v>1.9447760000000001E-2</v>
          </cell>
          <cell r="F13">
            <v>8.6843160000000003E-2</v>
          </cell>
        </row>
        <row r="14">
          <cell r="B14" t="str">
            <v>Sri Lanka</v>
          </cell>
          <cell r="C14">
            <v>3.3355291099999991</v>
          </cell>
          <cell r="D14">
            <v>2.2000736799999996</v>
          </cell>
          <cell r="E14">
            <v>0.94481954000000001</v>
          </cell>
          <cell r="F14">
            <v>0.58225520000000008</v>
          </cell>
        </row>
        <row r="15">
          <cell r="B15" t="str">
            <v>Paises Bajos</v>
          </cell>
          <cell r="C15">
            <v>186.44263838000117</v>
          </cell>
          <cell r="D15">
            <v>185.3075601599997</v>
          </cell>
          <cell r="E15">
            <v>22.321100499999979</v>
          </cell>
          <cell r="F15">
            <v>18.986434999999979</v>
          </cell>
        </row>
        <row r="16">
          <cell r="B16" t="str">
            <v>Corea del Norte</v>
          </cell>
          <cell r="C16">
            <v>6.4166363700000018</v>
          </cell>
          <cell r="D16">
            <v>5.5992528700000026</v>
          </cell>
          <cell r="E16">
            <v>0.74973272000000002</v>
          </cell>
          <cell r="F16">
            <v>0.13111281999999999</v>
          </cell>
        </row>
        <row r="17">
          <cell r="B17" t="str">
            <v>Libia</v>
          </cell>
          <cell r="C17">
            <v>0.7511458299999999</v>
          </cell>
          <cell r="D17">
            <v>5.0228059999999998E-2</v>
          </cell>
          <cell r="E17">
            <v>0</v>
          </cell>
          <cell r="F17">
            <v>0</v>
          </cell>
        </row>
        <row r="18">
          <cell r="B18" t="str">
            <v>Zona Franca Santa Marta</v>
          </cell>
          <cell r="C18">
            <v>0.69477241000000001</v>
          </cell>
          <cell r="D18">
            <v>3.1062399999999997E-3</v>
          </cell>
          <cell r="E18">
            <v>1.0021459999999999E-2</v>
          </cell>
          <cell r="F18">
            <v>0</v>
          </cell>
        </row>
        <row r="19">
          <cell r="B19" t="str">
            <v>Liberia</v>
          </cell>
          <cell r="C19">
            <v>1.0321919799999999</v>
          </cell>
          <cell r="D19">
            <v>0.36388063999999998</v>
          </cell>
          <cell r="E19">
            <v>0</v>
          </cell>
          <cell r="F19">
            <v>2.6076799999999998E-3</v>
          </cell>
        </row>
        <row r="20">
          <cell r="B20" t="str">
            <v>Bangladesh</v>
          </cell>
          <cell r="C20">
            <v>1.5197123700000004</v>
          </cell>
          <cell r="D20">
            <v>0.85481238000000015</v>
          </cell>
          <cell r="E20">
            <v>0.16681342000000002</v>
          </cell>
          <cell r="F20">
            <v>0.29936027999999998</v>
          </cell>
        </row>
        <row r="21">
          <cell r="B21" t="str">
            <v>Zona Franca La Cayena</v>
          </cell>
          <cell r="C21">
            <v>1.9231623</v>
          </cell>
          <cell r="D21">
            <v>1.2592082299999998</v>
          </cell>
          <cell r="E21">
            <v>0</v>
          </cell>
          <cell r="F21">
            <v>0</v>
          </cell>
        </row>
        <row r="22">
          <cell r="C22">
            <v>11.142672209999994</v>
          </cell>
          <cell r="D22">
            <v>6.5526025699999995</v>
          </cell>
          <cell r="E22">
            <v>1.2558000000000002</v>
          </cell>
          <cell r="F22">
            <v>0.40255104999999997</v>
          </cell>
        </row>
      </sheetData>
      <sheetData sheetId="3">
        <row r="2">
          <cell r="B2" t="str">
            <v>Estados Unidos</v>
          </cell>
          <cell r="C2">
            <v>3156.2814957801343</v>
          </cell>
          <cell r="D2">
            <v>3830.1523513202592</v>
          </cell>
          <cell r="E2">
            <v>353.44477575999798</v>
          </cell>
          <cell r="F2">
            <v>440.31103086999906</v>
          </cell>
        </row>
        <row r="3">
          <cell r="B3" t="str">
            <v>Mexico</v>
          </cell>
          <cell r="C3">
            <v>693.01816691999795</v>
          </cell>
          <cell r="D3">
            <v>1334.4701917100074</v>
          </cell>
          <cell r="E3">
            <v>129.07881555999987</v>
          </cell>
          <cell r="F3">
            <v>182.06529470999988</v>
          </cell>
        </row>
        <row r="4">
          <cell r="B4" t="str">
            <v>China</v>
          </cell>
          <cell r="C4">
            <v>947.08100767002554</v>
          </cell>
          <cell r="D4">
            <v>1465.6045422900204</v>
          </cell>
          <cell r="E4">
            <v>117.40006634000021</v>
          </cell>
          <cell r="F4">
            <v>211.85620134000033</v>
          </cell>
        </row>
        <row r="5">
          <cell r="B5" t="str">
            <v>Corea del Sur</v>
          </cell>
          <cell r="C5">
            <v>342.91103929000161</v>
          </cell>
          <cell r="D5">
            <v>530.73787748000029</v>
          </cell>
          <cell r="E5">
            <v>43.734521489999949</v>
          </cell>
          <cell r="F5">
            <v>47.638530089999996</v>
          </cell>
        </row>
        <row r="6">
          <cell r="B6" t="str">
            <v>Panama</v>
          </cell>
          <cell r="C6">
            <v>298.61566057999863</v>
          </cell>
          <cell r="D6">
            <v>486.12565784999367</v>
          </cell>
          <cell r="E6">
            <v>24.495274549999998</v>
          </cell>
          <cell r="F6">
            <v>34.806388509999934</v>
          </cell>
        </row>
        <row r="7">
          <cell r="B7" t="str">
            <v>Alemania</v>
          </cell>
          <cell r="C7">
            <v>443.60360479999673</v>
          </cell>
          <cell r="D7">
            <v>597.43877094000641</v>
          </cell>
          <cell r="E7">
            <v>90.055988329999821</v>
          </cell>
          <cell r="F7">
            <v>53.04433387999989</v>
          </cell>
        </row>
        <row r="8">
          <cell r="B8" t="str">
            <v>Japon</v>
          </cell>
          <cell r="C8">
            <v>292.88589739999981</v>
          </cell>
          <cell r="D8">
            <v>429.23011618999641</v>
          </cell>
          <cell r="E8">
            <v>32.753042430000121</v>
          </cell>
          <cell r="F8">
            <v>55.08171762000012</v>
          </cell>
        </row>
        <row r="9">
          <cell r="B9" t="str">
            <v>Belgica</v>
          </cell>
          <cell r="C9">
            <v>280.69137483999691</v>
          </cell>
          <cell r="D9">
            <v>400.55002604000157</v>
          </cell>
          <cell r="E9">
            <v>35.367110990000093</v>
          </cell>
          <cell r="F9">
            <v>50.788982489999938</v>
          </cell>
        </row>
        <row r="10">
          <cell r="B10" t="str">
            <v>El Salvador</v>
          </cell>
          <cell r="C10">
            <v>2.1867102299999992</v>
          </cell>
          <cell r="D10">
            <v>100.84491432000006</v>
          </cell>
          <cell r="E10">
            <v>0.1601043</v>
          </cell>
          <cell r="F10">
            <v>0.41210184999999994</v>
          </cell>
        </row>
        <row r="11">
          <cell r="B11" t="str">
            <v>Chile</v>
          </cell>
          <cell r="C11">
            <v>301.00626257000249</v>
          </cell>
          <cell r="D11">
            <v>393.7296583400007</v>
          </cell>
          <cell r="E11">
            <v>21.59145208000001</v>
          </cell>
          <cell r="F11">
            <v>38.529222639999972</v>
          </cell>
        </row>
        <row r="12">
          <cell r="B12" t="str">
            <v>Argentina</v>
          </cell>
          <cell r="C12">
            <v>214.60362779000025</v>
          </cell>
          <cell r="D12">
            <v>292.26070448000104</v>
          </cell>
          <cell r="E12">
            <v>17.582803219999992</v>
          </cell>
          <cell r="F12">
            <v>21.935889700000001</v>
          </cell>
        </row>
        <row r="13">
          <cell r="B13" t="str">
            <v>Costa Rica</v>
          </cell>
          <cell r="C13">
            <v>13.631259580000002</v>
          </cell>
          <cell r="D13">
            <v>77.157584540000244</v>
          </cell>
          <cell r="E13">
            <v>1.5620463999999992</v>
          </cell>
          <cell r="F13">
            <v>7.4450133999999979</v>
          </cell>
        </row>
        <row r="14">
          <cell r="B14" t="str">
            <v>India</v>
          </cell>
          <cell r="C14">
            <v>101.25992952000009</v>
          </cell>
          <cell r="D14">
            <v>164.53729064000007</v>
          </cell>
          <cell r="E14">
            <v>11.700442419999991</v>
          </cell>
          <cell r="F14">
            <v>18.440713999999989</v>
          </cell>
        </row>
        <row r="15">
          <cell r="B15" t="str">
            <v>Hong Kong</v>
          </cell>
          <cell r="C15">
            <v>182.71335990000009</v>
          </cell>
          <cell r="D15">
            <v>244.22766529000123</v>
          </cell>
          <cell r="E15">
            <v>21.979945909999987</v>
          </cell>
          <cell r="F15">
            <v>23.499340849999989</v>
          </cell>
        </row>
        <row r="16">
          <cell r="B16" t="str">
            <v>Canada</v>
          </cell>
          <cell r="C16">
            <v>136.03105163000001</v>
          </cell>
          <cell r="D16">
            <v>196.2052192899998</v>
          </cell>
          <cell r="E16">
            <v>12.080241619999999</v>
          </cell>
          <cell r="F16">
            <v>12.594841329999998</v>
          </cell>
        </row>
        <row r="17">
          <cell r="B17" t="str">
            <v>Italia</v>
          </cell>
          <cell r="C17">
            <v>175.86842775999878</v>
          </cell>
          <cell r="D17">
            <v>227.18918825999987</v>
          </cell>
          <cell r="E17">
            <v>16.01444149000001</v>
          </cell>
          <cell r="F17">
            <v>23.233726679999979</v>
          </cell>
        </row>
        <row r="18">
          <cell r="B18" t="str">
            <v>Trinidad y Tobago</v>
          </cell>
          <cell r="C18">
            <v>2.9029367799999992</v>
          </cell>
          <cell r="D18">
            <v>46.48259067</v>
          </cell>
          <cell r="E18">
            <v>0.14414831</v>
          </cell>
          <cell r="F18">
            <v>32.965943709999998</v>
          </cell>
        </row>
        <row r="19">
          <cell r="B19" t="str">
            <v>Otros</v>
          </cell>
          <cell r="C19">
            <v>3.5448850000000004E-2</v>
          </cell>
          <cell r="D19">
            <v>41.594844389999999</v>
          </cell>
          <cell r="E19">
            <v>0</v>
          </cell>
          <cell r="F19">
            <v>2.5943899999999998E-3</v>
          </cell>
        </row>
        <row r="20">
          <cell r="B20" t="str">
            <v>Tailandia</v>
          </cell>
          <cell r="C20">
            <v>46.988682749999882</v>
          </cell>
          <cell r="D20">
            <v>86.226018029999963</v>
          </cell>
          <cell r="E20">
            <v>6.0034183900000055</v>
          </cell>
          <cell r="F20">
            <v>22.138080739999946</v>
          </cell>
        </row>
        <row r="21">
          <cell r="B21" t="str">
            <v>Ecuador</v>
          </cell>
          <cell r="C21">
            <v>104.32482323999999</v>
          </cell>
          <cell r="D21">
            <v>135.0873852900001</v>
          </cell>
          <cell r="E21">
            <v>6.926395170000001</v>
          </cell>
          <cell r="F21">
            <v>28.060537030000006</v>
          </cell>
        </row>
        <row r="22">
          <cell r="C22">
            <v>218.94968342999945</v>
          </cell>
          <cell r="D22">
            <v>247.0352709000004</v>
          </cell>
          <cell r="E22">
            <v>23.505914520000008</v>
          </cell>
          <cell r="F22">
            <v>29.547329010000009</v>
          </cell>
        </row>
      </sheetData>
      <sheetData sheetId="4">
        <row r="2">
          <cell r="A2" t="str">
            <v>Equipo rodante de transporte</v>
          </cell>
          <cell r="B2">
            <v>2164.8880748099987</v>
          </cell>
          <cell r="C2">
            <v>1833.6362722900158</v>
          </cell>
          <cell r="D2">
            <v>190.69734326000005</v>
          </cell>
          <cell r="E2">
            <v>90.178834359999925</v>
          </cell>
        </row>
        <row r="3">
          <cell r="A3" t="str">
            <v>Químicos y farmacéuticos</v>
          </cell>
          <cell r="B3">
            <v>1330.5951143799971</v>
          </cell>
          <cell r="C3">
            <v>1715.7192209499924</v>
          </cell>
          <cell r="D3">
            <v>152.73153991000032</v>
          </cell>
          <cell r="E3">
            <v>193.85078967999993</v>
          </cell>
        </row>
        <row r="4">
          <cell r="A4" t="str">
            <v>Aparatos de oficina</v>
          </cell>
          <cell r="B4">
            <v>1038.1873994399916</v>
          </cell>
          <cell r="C4">
            <v>1373.7064713100149</v>
          </cell>
          <cell r="D4">
            <v>125.11660248000024</v>
          </cell>
          <cell r="E4">
            <v>142.73508722000005</v>
          </cell>
        </row>
        <row r="5">
          <cell r="A5" t="str">
            <v>Otro equipo fijo</v>
          </cell>
          <cell r="B5">
            <v>905.62564977999091</v>
          </cell>
          <cell r="C5">
            <v>1255.9541440900025</v>
          </cell>
          <cell r="D5">
            <v>86.868086849999827</v>
          </cell>
          <cell r="E5">
            <v>141.49916890000046</v>
          </cell>
        </row>
        <row r="6">
          <cell r="A6" t="str">
            <v>Maquinaria industrial</v>
          </cell>
          <cell r="B6">
            <v>849.77638192999007</v>
          </cell>
          <cell r="C6">
            <v>1014.9251458500081</v>
          </cell>
          <cell r="D6">
            <v>88.197601779999914</v>
          </cell>
          <cell r="E6">
            <v>123.43402212999995</v>
          </cell>
        </row>
        <row r="7">
          <cell r="A7" t="str">
            <v>Productos mineros</v>
          </cell>
          <cell r="B7">
            <v>692.6549944699965</v>
          </cell>
          <cell r="C7">
            <v>984.74016519998088</v>
          </cell>
          <cell r="D7">
            <v>76.184069220001078</v>
          </cell>
          <cell r="E7">
            <v>118.27035794000004</v>
          </cell>
        </row>
        <row r="8">
          <cell r="A8" t="str">
            <v>Farmacéuticos</v>
          </cell>
          <cell r="B8">
            <v>697.45569975999672</v>
          </cell>
          <cell r="C8">
            <v>807.30026523999481</v>
          </cell>
          <cell r="D8">
            <v>79.541868780000186</v>
          </cell>
          <cell r="E8">
            <v>84.466214829999885</v>
          </cell>
        </row>
        <row r="9">
          <cell r="A9" t="str">
            <v>Vehículos particulares</v>
          </cell>
          <cell r="B9">
            <v>369.46288548999985</v>
          </cell>
          <cell r="C9">
            <v>761.76068400999804</v>
          </cell>
          <cell r="D9">
            <v>51.01087839000008</v>
          </cell>
          <cell r="E9">
            <v>145.75153172000006</v>
          </cell>
        </row>
        <row r="10">
          <cell r="A10" t="str">
            <v>Partes equipo de transporte</v>
          </cell>
          <cell r="B10">
            <v>559.18238342000393</v>
          </cell>
          <cell r="C10">
            <v>693.21555880999711</v>
          </cell>
          <cell r="D10">
            <v>54.65295686999967</v>
          </cell>
          <cell r="E10">
            <v>69.659055519999953</v>
          </cell>
        </row>
        <row r="11">
          <cell r="A11" t="str">
            <v>Agropecuarios no alimenticios</v>
          </cell>
          <cell r="B11">
            <v>425.19488627999647</v>
          </cell>
          <cell r="C11">
            <v>613.32980234999729</v>
          </cell>
          <cell r="D11">
            <v>50.777428540000045</v>
          </cell>
          <cell r="E11">
            <v>78.848612859999889</v>
          </cell>
        </row>
        <row r="12">
          <cell r="A12" t="str">
            <v>Aparatos domésticos</v>
          </cell>
          <cell r="B12">
            <v>250.70383044999909</v>
          </cell>
          <cell r="C12">
            <v>427.0656601700004</v>
          </cell>
          <cell r="D12">
            <v>40.310197869999989</v>
          </cell>
          <cell r="E12">
            <v>35.414298869999989</v>
          </cell>
        </row>
        <row r="13">
          <cell r="A13" t="str">
            <v>Productos alimenticios</v>
          </cell>
          <cell r="B13">
            <v>250.29487986999956</v>
          </cell>
          <cell r="C13">
            <v>386.77209353000018</v>
          </cell>
          <cell r="D13">
            <v>30.57710796000001</v>
          </cell>
          <cell r="E13">
            <v>24.897179199999989</v>
          </cell>
        </row>
        <row r="14">
          <cell r="A14" t="str">
            <v>Materiales de construcción</v>
          </cell>
          <cell r="B14">
            <v>286.41423300999992</v>
          </cell>
          <cell r="C14">
            <v>378.14682995999709</v>
          </cell>
          <cell r="D14">
            <v>25.789017239999929</v>
          </cell>
          <cell r="E14">
            <v>58.045034400000247</v>
          </cell>
        </row>
        <row r="15">
          <cell r="A15" t="str">
            <v>Otros consumo no duradero</v>
          </cell>
          <cell r="B15">
            <v>284.24917849999849</v>
          </cell>
          <cell r="C15">
            <v>370.63162874999745</v>
          </cell>
          <cell r="D15">
            <v>33.207211520000122</v>
          </cell>
          <cell r="E15">
            <v>47.501322100000003</v>
          </cell>
        </row>
        <row r="16">
          <cell r="A16" t="str">
            <v>Alimentos</v>
          </cell>
          <cell r="B16">
            <v>218.52082795000027</v>
          </cell>
          <cell r="C16">
            <v>287.54462823000074</v>
          </cell>
          <cell r="D16">
            <v>24.909030699999978</v>
          </cell>
          <cell r="E16">
            <v>37.656572009999962</v>
          </cell>
        </row>
        <row r="17">
          <cell r="A17" t="str">
            <v>Objetos de adorno</v>
          </cell>
          <cell r="B17">
            <v>227.59087467999868</v>
          </cell>
          <cell r="C17">
            <v>281.9372023199997</v>
          </cell>
          <cell r="D17">
            <v>30.057612740000078</v>
          </cell>
          <cell r="E17">
            <v>37.269822059999981</v>
          </cell>
        </row>
        <row r="18">
          <cell r="A18" t="str">
            <v>Partes maquinaria industrial</v>
          </cell>
          <cell r="B18">
            <v>195.31164069000081</v>
          </cell>
          <cell r="C18">
            <v>247.44541832000044</v>
          </cell>
          <cell r="D18">
            <v>37.954883729999949</v>
          </cell>
          <cell r="E18">
            <v>31.985674450000005</v>
          </cell>
        </row>
        <row r="19">
          <cell r="A19" t="str">
            <v>Vestuario</v>
          </cell>
          <cell r="B19">
            <v>129.37297249999961</v>
          </cell>
          <cell r="C19">
            <v>166.90310386999906</v>
          </cell>
          <cell r="D19">
            <v>16.696289470000053</v>
          </cell>
          <cell r="E19">
            <v>20.398016699999967</v>
          </cell>
        </row>
        <row r="20">
          <cell r="A20" t="str">
            <v>Muebles</v>
          </cell>
          <cell r="B20">
            <v>91.273119169999774</v>
          </cell>
          <cell r="C20">
            <v>146.94644170999982</v>
          </cell>
          <cell r="D20">
            <v>11.218020810000011</v>
          </cell>
          <cell r="E20">
            <v>18.941494929999976</v>
          </cell>
        </row>
        <row r="21">
          <cell r="A21" t="str">
            <v>Materias primas agricultura</v>
          </cell>
          <cell r="B21">
            <v>148.09465519999992</v>
          </cell>
          <cell r="C21">
            <v>132.80545671999994</v>
          </cell>
          <cell r="D21">
            <v>14.96920568999999</v>
          </cell>
          <cell r="E21">
            <v>10.178156649999996</v>
          </cell>
        </row>
        <row r="22">
          <cell r="A22" t="str">
            <v>Armas y equipo militar</v>
          </cell>
          <cell r="B22">
            <v>77.40097200999999</v>
          </cell>
          <cell r="C22">
            <v>97.926910689999971</v>
          </cell>
          <cell r="D22">
            <v>10.009458329999999</v>
          </cell>
          <cell r="E22">
            <v>5.5201848800000022</v>
          </cell>
        </row>
        <row r="23">
          <cell r="A23" t="str">
            <v>Herramientas</v>
          </cell>
          <cell r="B23">
            <v>61.402855079999782</v>
          </cell>
          <cell r="C23">
            <v>88.247864180000363</v>
          </cell>
          <cell r="D23">
            <v>6.2634647500000078</v>
          </cell>
          <cell r="E23">
            <v>9.0776084100000034</v>
          </cell>
        </row>
        <row r="24">
          <cell r="A24" t="str">
            <v>Lubricantes</v>
          </cell>
          <cell r="B24">
            <v>31.481093380000061</v>
          </cell>
          <cell r="C24">
            <v>82.255434880000038</v>
          </cell>
          <cell r="D24">
            <v>2.6539998299999992</v>
          </cell>
          <cell r="E24">
            <v>47.426984139999981</v>
          </cell>
        </row>
        <row r="25">
          <cell r="A25" t="str">
            <v>Alimentos para animales</v>
          </cell>
          <cell r="B25">
            <v>65.933377250000021</v>
          </cell>
          <cell r="C25">
            <v>65.300893270000017</v>
          </cell>
          <cell r="D25">
            <v>6.7688455200000002</v>
          </cell>
          <cell r="E25">
            <v>3.5989776200000017</v>
          </cell>
        </row>
        <row r="26">
          <cell r="A26" t="str">
            <v>Utensilios domésticos</v>
          </cell>
          <cell r="B26">
            <v>43.477008139999725</v>
          </cell>
          <cell r="C26">
            <v>58.979221539999969</v>
          </cell>
          <cell r="D26">
            <v>5.8207717799999932</v>
          </cell>
          <cell r="E26">
            <v>6.5636223900000052</v>
          </cell>
        </row>
        <row r="27">
          <cell r="A27" t="str">
            <v>Bebidas</v>
          </cell>
          <cell r="B27">
            <v>36.137957750000012</v>
          </cell>
          <cell r="C27">
            <v>38.887349430000064</v>
          </cell>
          <cell r="D27">
            <v>6.2699023900000013</v>
          </cell>
          <cell r="E27">
            <v>3.2993105599999981</v>
          </cell>
        </row>
        <row r="28">
          <cell r="A28" t="str">
            <v>Combustibles</v>
          </cell>
          <cell r="B28">
            <v>2.0922221699999999</v>
          </cell>
          <cell r="C28">
            <v>35.730261280000008</v>
          </cell>
          <cell r="D28">
            <v>7.7257510000000015E-2</v>
          </cell>
          <cell r="E28">
            <v>22.395432830000004</v>
          </cell>
        </row>
        <row r="29">
          <cell r="A29" t="str">
            <v>Bienes no clasificados</v>
          </cell>
          <cell r="B29">
            <v>25.026322609999941</v>
          </cell>
          <cell r="C29">
            <v>26.873533789999968</v>
          </cell>
          <cell r="D29">
            <v>1.9409968999999996</v>
          </cell>
          <cell r="E29">
            <v>2.0663948199999997</v>
          </cell>
        </row>
        <row r="30">
          <cell r="A30" t="str">
            <v>Material de transporte</v>
          </cell>
          <cell r="B30">
            <v>31.14467861999999</v>
          </cell>
          <cell r="C30">
            <v>18.295910969999998</v>
          </cell>
          <cell r="D30">
            <v>1.3949525</v>
          </cell>
          <cell r="E30">
            <v>2.4960109099999999</v>
          </cell>
        </row>
        <row r="31">
          <cell r="A31" t="str">
            <v>Tabaco</v>
          </cell>
          <cell r="B31">
            <v>5.5380302100000014</v>
          </cell>
          <cell r="C31">
            <v>16.334371240000003</v>
          </cell>
          <cell r="D31">
            <v>1.0661540299999999</v>
          </cell>
          <cell r="E31">
            <v>1.9468504099999997</v>
          </cell>
        </row>
        <row r="32">
          <cell r="A32" t="str">
            <v>Equipo fijo de transporte</v>
          </cell>
          <cell r="B32">
            <v>12.987397069999989</v>
          </cell>
          <cell r="C32">
            <v>15.924589379999988</v>
          </cell>
          <cell r="D32">
            <v>0.9401666399999995</v>
          </cell>
          <cell r="E32">
            <v>1.9366650800000005</v>
          </cell>
        </row>
        <row r="33">
          <cell r="A33" t="str">
            <v>Máquinas y herramientas</v>
          </cell>
          <cell r="B33">
            <v>22.902630589999951</v>
          </cell>
          <cell r="C33">
            <v>14.275363159999998</v>
          </cell>
          <cell r="D33">
            <v>1.2462985499999988</v>
          </cell>
          <cell r="E33">
            <v>1.672688089999999</v>
          </cell>
        </row>
        <row r="34">
          <cell r="A34" t="str">
            <v>Equipo para la agricultura</v>
          </cell>
          <cell r="B34">
            <v>0.71902487000000015</v>
          </cell>
          <cell r="C34">
            <v>1.5258672099999995</v>
          </cell>
          <cell r="D34">
            <v>7.9026890000000002E-2</v>
          </cell>
          <cell r="E34">
            <v>0.33789515999999997</v>
          </cell>
        </row>
      </sheetData>
      <sheetData sheetId="5">
        <row r="2">
          <cell r="C2">
            <v>1668077365.5800002</v>
          </cell>
          <cell r="D2">
            <v>135437239.48000002</v>
          </cell>
          <cell r="G2">
            <v>1300491294.9600003</v>
          </cell>
          <cell r="H2">
            <v>6538950.1600000001</v>
          </cell>
          <cell r="J2" t="str">
            <v>Aviones &gt; 15 mil Kg</v>
          </cell>
        </row>
        <row r="3">
          <cell r="C3">
            <v>269895699.81999987</v>
          </cell>
          <cell r="D3">
            <v>22967183.790000018</v>
          </cell>
          <cell r="G3">
            <v>518149541.55000138</v>
          </cell>
          <cell r="H3">
            <v>56345343.230000034</v>
          </cell>
          <cell r="J3" t="str">
            <v>Teléfonos móviles</v>
          </cell>
        </row>
        <row r="4">
          <cell r="C4">
            <v>203577917.05999976</v>
          </cell>
          <cell r="D4">
            <v>30299958.169999998</v>
          </cell>
          <cell r="G4">
            <v>409344189.75999951</v>
          </cell>
          <cell r="H4">
            <v>81308793.579999983</v>
          </cell>
          <cell r="J4" t="str">
            <v>Vehículos entre 1500 y 3000 cm3</v>
          </cell>
        </row>
        <row r="5">
          <cell r="C5">
            <v>261440485.8299998</v>
          </cell>
          <cell r="D5">
            <v>36401146.389999993</v>
          </cell>
          <cell r="G5">
            <v>379138726.48999882</v>
          </cell>
          <cell r="H5">
            <v>41262632.430000015</v>
          </cell>
          <cell r="J5" t="str">
            <v>Portátiles</v>
          </cell>
        </row>
        <row r="6">
          <cell r="C6">
            <v>335541450.84999919</v>
          </cell>
          <cell r="D6">
            <v>39642993.739999995</v>
          </cell>
          <cell r="G6">
            <v>363534893.69000214</v>
          </cell>
          <cell r="H6">
            <v>36792759.919999994</v>
          </cell>
          <cell r="J6" t="str">
            <v>Medicamentos uso humano</v>
          </cell>
        </row>
        <row r="7">
          <cell r="C7">
            <v>253294104.85999945</v>
          </cell>
          <cell r="D7">
            <v>24452263.499999981</v>
          </cell>
          <cell r="G7">
            <v>283538996.86000037</v>
          </cell>
          <cell r="H7">
            <v>32999033.609999985</v>
          </cell>
          <cell r="J7" t="str">
            <v>Aparatos de telecomunicación</v>
          </cell>
        </row>
        <row r="8">
          <cell r="C8">
            <v>171177280.64000034</v>
          </cell>
          <cell r="D8">
            <v>16425922.459999993</v>
          </cell>
          <cell r="G8">
            <v>223332260.78000039</v>
          </cell>
          <cell r="H8">
            <v>16782992.750000019</v>
          </cell>
          <cell r="J8" t="str">
            <v>Máquinas procesamiento de datos</v>
          </cell>
        </row>
        <row r="9">
          <cell r="C9">
            <v>178501963.18000004</v>
          </cell>
          <cell r="D9">
            <v>12864000</v>
          </cell>
          <cell r="G9">
            <v>130760306.73000002</v>
          </cell>
          <cell r="H9">
            <v>600345.80000000005</v>
          </cell>
          <cell r="J9" t="str">
            <v>Aviones &lt; 15 mil Kg</v>
          </cell>
        </row>
        <row r="10">
          <cell r="C10">
            <v>41870213.95000001</v>
          </cell>
          <cell r="D10">
            <v>11022670.950000001</v>
          </cell>
          <cell r="G10">
            <v>121921470.59000002</v>
          </cell>
          <cell r="H10">
            <v>7348580.3900000006</v>
          </cell>
          <cell r="J10" t="str">
            <v>Aparatos receptores de televisión</v>
          </cell>
        </row>
        <row r="11">
          <cell r="C11">
            <v>84820326.169999957</v>
          </cell>
          <cell r="D11">
            <v>7950181.6800000006</v>
          </cell>
          <cell r="G11">
            <v>91021013.019999951</v>
          </cell>
          <cell r="H11">
            <v>7174903.9099999992</v>
          </cell>
          <cell r="J11" t="str">
            <v>Medicamentos VIH</v>
          </cell>
        </row>
        <row r="12">
          <cell r="C12">
            <v>93373001.080000177</v>
          </cell>
          <cell r="D12">
            <v>15935208.000000002</v>
          </cell>
          <cell r="G12">
            <v>89448509.160000205</v>
          </cell>
          <cell r="H12">
            <v>6840929.1899999995</v>
          </cell>
          <cell r="J12" t="str">
            <v>Partes de aviones o helicopteros</v>
          </cell>
        </row>
        <row r="13">
          <cell r="C13">
            <v>29865951.430000015</v>
          </cell>
          <cell r="D13">
            <v>3020696.6099999994</v>
          </cell>
          <cell r="G13">
            <v>86949521.850000098</v>
          </cell>
          <cell r="H13">
            <v>30770210.330000002</v>
          </cell>
          <cell r="J13" t="str">
            <v>Vehículos carga menor a 4537 ton</v>
          </cell>
        </row>
        <row r="14">
          <cell r="C14">
            <v>21129665.20000001</v>
          </cell>
          <cell r="D14">
            <v>2982014.8000000017</v>
          </cell>
          <cell r="G14">
            <v>86886268.410000026</v>
          </cell>
          <cell r="H14">
            <v>16499836.660000011</v>
          </cell>
          <cell r="J14" t="str">
            <v>Vehículos entre 1000 y 1500 cm3</v>
          </cell>
        </row>
        <row r="15">
          <cell r="C15">
            <v>64229652.68</v>
          </cell>
          <cell r="D15">
            <v>0</v>
          </cell>
          <cell r="G15">
            <v>84321755.139999986</v>
          </cell>
          <cell r="H15">
            <v>6941710.5699999994</v>
          </cell>
          <cell r="J15" t="str">
            <v>Propulsores a reacción</v>
          </cell>
        </row>
        <row r="16">
          <cell r="C16">
            <v>58871162.509999968</v>
          </cell>
          <cell r="D16">
            <v>9262610.5500000026</v>
          </cell>
          <cell r="G16">
            <v>82207804.780000076</v>
          </cell>
          <cell r="H16">
            <v>10418198.359999998</v>
          </cell>
          <cell r="J16" t="str">
            <v>Productos inmunológicos</v>
          </cell>
        </row>
        <row r="17">
          <cell r="C17">
            <v>64462034.100000076</v>
          </cell>
          <cell r="D17">
            <v>7655516.0699999975</v>
          </cell>
          <cell r="G17">
            <v>76250557.189999804</v>
          </cell>
          <cell r="H17">
            <v>7430275.4400000023</v>
          </cell>
          <cell r="J17" t="str">
            <v>Máquinas impresoras</v>
          </cell>
        </row>
        <row r="18">
          <cell r="C18">
            <v>65992447.969999962</v>
          </cell>
          <cell r="D18">
            <v>3834817.9599999995</v>
          </cell>
          <cell r="G18">
            <v>76132669.410000011</v>
          </cell>
          <cell r="H18">
            <v>8689800.3099999987</v>
          </cell>
          <cell r="J18" t="str">
            <v>Vacunas para medicina humana</v>
          </cell>
        </row>
        <row r="19">
          <cell r="C19">
            <v>55427012.76000002</v>
          </cell>
          <cell r="D19">
            <v>9103489.5500000007</v>
          </cell>
          <cell r="G19">
            <v>75113304.120000035</v>
          </cell>
          <cell r="H19">
            <v>11826054</v>
          </cell>
          <cell r="J19" t="str">
            <v>Productos para tratamiento VIH</v>
          </cell>
        </row>
        <row r="20">
          <cell r="C20">
            <v>80222217.410000011</v>
          </cell>
          <cell r="D20">
            <v>9007173.4500000011</v>
          </cell>
          <cell r="G20">
            <v>73261392.179999977</v>
          </cell>
          <cell r="H20">
            <v>1135435.0900000001</v>
          </cell>
          <cell r="J20" t="str">
            <v>Los demás trigos</v>
          </cell>
        </row>
        <row r="21">
          <cell r="C21">
            <v>41512104.650000021</v>
          </cell>
          <cell r="D21">
            <v>5929057.0300000021</v>
          </cell>
          <cell r="G21">
            <v>68077928.660000235</v>
          </cell>
          <cell r="H21">
            <v>7569803.5099999951</v>
          </cell>
          <cell r="J21" t="str">
            <v>Aparatos de medicina y cirugía</v>
          </cell>
        </row>
      </sheetData>
      <sheetData sheetId="6">
        <row r="2">
          <cell r="A2" t="str">
            <v>Productos químicos</v>
          </cell>
          <cell r="B2">
            <v>2030.8210448000248</v>
          </cell>
          <cell r="C2">
            <v>2469.6149601400416</v>
          </cell>
          <cell r="D2">
            <v>231.42654072000005</v>
          </cell>
          <cell r="E2">
            <v>268.17003467999973</v>
          </cell>
        </row>
        <row r="3">
          <cell r="A3" t="str">
            <v>Equipos de transporte</v>
          </cell>
          <cell r="B3">
            <v>2275.4864176600072</v>
          </cell>
          <cell r="C3">
            <v>1799.9244352099995</v>
          </cell>
          <cell r="D3">
            <v>193.01019690000032</v>
          </cell>
          <cell r="E3">
            <v>33.611891000000007</v>
          </cell>
        </row>
        <row r="4">
          <cell r="A4" t="str">
            <v>Maquinaria y equipo</v>
          </cell>
          <cell r="B4">
            <v>1244.3444360999833</v>
          </cell>
          <cell r="C4">
            <v>1526.6045780500053</v>
          </cell>
          <cell r="D4">
            <v>146.79889044000012</v>
          </cell>
          <cell r="E4">
            <v>203.29312625000009</v>
          </cell>
        </row>
        <row r="5">
          <cell r="A5" t="str">
            <v>Equipo de radio</v>
          </cell>
          <cell r="B5">
            <v>1035.7162671199956</v>
          </cell>
          <cell r="C5">
            <v>1489.5228965800582</v>
          </cell>
          <cell r="D5">
            <v>119.43301994000001</v>
          </cell>
          <cell r="E5">
            <v>152.36232258000032</v>
          </cell>
        </row>
        <row r="6">
          <cell r="A6" t="str">
            <v>Vehículos automotores</v>
          </cell>
          <cell r="B6">
            <v>739.50859708001087</v>
          </cell>
          <cell r="C6">
            <v>1344.2023077799997</v>
          </cell>
          <cell r="D6">
            <v>96.576873439999659</v>
          </cell>
          <cell r="E6">
            <v>241.10316449999931</v>
          </cell>
        </row>
      </sheetData>
      <sheetData sheetId="7">
        <row r="2">
          <cell r="A2" t="str">
            <v>Productos químicos</v>
          </cell>
          <cell r="B2">
            <v>2030.8210448000248</v>
          </cell>
          <cell r="C2">
            <v>2469.6149601400416</v>
          </cell>
          <cell r="D2">
            <v>231.42654072000005</v>
          </cell>
          <cell r="E2">
            <v>268.17003467999973</v>
          </cell>
        </row>
        <row r="3">
          <cell r="A3" t="str">
            <v>Equipos de transporte</v>
          </cell>
          <cell r="B3">
            <v>2275.4864176600072</v>
          </cell>
          <cell r="C3">
            <v>1799.9244352099995</v>
          </cell>
          <cell r="D3">
            <v>193.01019690000032</v>
          </cell>
          <cell r="E3">
            <v>33.611891000000007</v>
          </cell>
        </row>
        <row r="4">
          <cell r="A4" t="str">
            <v>Maquinaria y equipo</v>
          </cell>
          <cell r="B4">
            <v>1244.3444360999833</v>
          </cell>
          <cell r="C4">
            <v>1526.6045780500053</v>
          </cell>
          <cell r="D4">
            <v>146.79889044000012</v>
          </cell>
          <cell r="E4">
            <v>203.29312625000009</v>
          </cell>
        </row>
        <row r="5">
          <cell r="A5" t="str">
            <v>Equipo de radio</v>
          </cell>
          <cell r="B5">
            <v>1035.7162671199956</v>
          </cell>
          <cell r="C5">
            <v>1489.5228965800582</v>
          </cell>
          <cell r="D5">
            <v>119.43301994000001</v>
          </cell>
          <cell r="E5">
            <v>152.36232258000032</v>
          </cell>
        </row>
        <row r="6">
          <cell r="A6" t="str">
            <v>Vehículos automotores</v>
          </cell>
          <cell r="B6">
            <v>739.50859708001087</v>
          </cell>
          <cell r="C6">
            <v>1344.2023077799997</v>
          </cell>
          <cell r="D6">
            <v>96.576873439999659</v>
          </cell>
          <cell r="E6">
            <v>241.10316449999931</v>
          </cell>
        </row>
        <row r="7">
          <cell r="A7" t="str">
            <v>Maquinaria de oficina</v>
          </cell>
          <cell r="B7">
            <v>636.48256831999754</v>
          </cell>
          <cell r="C7">
            <v>847.06671650999181</v>
          </cell>
          <cell r="D7">
            <v>75.202176859999994</v>
          </cell>
          <cell r="E7">
            <v>89.389937840000101</v>
          </cell>
        </row>
        <row r="8">
          <cell r="A8" t="str">
            <v>Instrumentos médicos</v>
          </cell>
          <cell r="B8">
            <v>600.38098049999996</v>
          </cell>
          <cell r="C8">
            <v>767.80063549000431</v>
          </cell>
          <cell r="D8">
            <v>69.430411660000061</v>
          </cell>
          <cell r="E8">
            <v>80.079995320000222</v>
          </cell>
        </row>
        <row r="9">
          <cell r="A9" t="str">
            <v>Aparatos eléctricos</v>
          </cell>
          <cell r="B9">
            <v>446.85304672999837</v>
          </cell>
          <cell r="C9">
            <v>554.83888425000418</v>
          </cell>
          <cell r="D9">
            <v>45.385481579999926</v>
          </cell>
          <cell r="E9">
            <v>56.811613159999844</v>
          </cell>
        </row>
        <row r="10">
          <cell r="A10" t="str">
            <v>Alimentos y bebidas</v>
          </cell>
          <cell r="B10">
            <v>380.66521082000094</v>
          </cell>
          <cell r="C10">
            <v>542.70714570000143</v>
          </cell>
          <cell r="D10">
            <v>46.579993440000102</v>
          </cell>
          <cell r="E10">
            <v>59.678591419999968</v>
          </cell>
        </row>
        <row r="11">
          <cell r="A11" t="str">
            <v>Productos metalúrgicos</v>
          </cell>
          <cell r="B11">
            <v>317.75222934000072</v>
          </cell>
          <cell r="C11">
            <v>527.80436332000158</v>
          </cell>
          <cell r="D11">
            <v>23.805587219999989</v>
          </cell>
          <cell r="E11">
            <v>70.892676790000024</v>
          </cell>
        </row>
        <row r="12">
          <cell r="A12" t="str">
            <v>Textiles</v>
          </cell>
          <cell r="B12">
            <v>290.95389177999988</v>
          </cell>
          <cell r="C12">
            <v>397.8923628800012</v>
          </cell>
          <cell r="D12">
            <v>32.082408909999977</v>
          </cell>
          <cell r="E12">
            <v>51.002534730000029</v>
          </cell>
        </row>
        <row r="13">
          <cell r="A13" t="str">
            <v>Caucho y de plástico</v>
          </cell>
          <cell r="B13">
            <v>264.15190699000181</v>
          </cell>
          <cell r="C13">
            <v>369.94068594000129</v>
          </cell>
          <cell r="D13">
            <v>29.545497540000007</v>
          </cell>
          <cell r="E13">
            <v>43.81128159</v>
          </cell>
        </row>
        <row r="14">
          <cell r="A14" t="str">
            <v>Agricultura</v>
          </cell>
          <cell r="B14">
            <v>256.11200726999988</v>
          </cell>
          <cell r="C14">
            <v>342.29979310999812</v>
          </cell>
          <cell r="D14">
            <v>27.920685330000001</v>
          </cell>
          <cell r="E14">
            <v>22.538195279999972</v>
          </cell>
        </row>
        <row r="15">
          <cell r="A15" t="str">
            <v>Productos de metal</v>
          </cell>
          <cell r="B15">
            <v>179.16768528000156</v>
          </cell>
          <cell r="C15">
            <v>256.5977796200001</v>
          </cell>
          <cell r="D15">
            <v>21.860717720000029</v>
          </cell>
          <cell r="E15">
            <v>32.465438510000091</v>
          </cell>
        </row>
        <row r="16">
          <cell r="A16" t="str">
            <v>Muebles industrias</v>
          </cell>
          <cell r="B16">
            <v>186.23837700999934</v>
          </cell>
          <cell r="C16">
            <v>249.02350548999866</v>
          </cell>
          <cell r="D16">
            <v>25.713811420000035</v>
          </cell>
          <cell r="E16">
            <v>34.823987379999977</v>
          </cell>
        </row>
        <row r="17">
          <cell r="A17" t="str">
            <v>Papel</v>
          </cell>
          <cell r="B17">
            <v>158.43010016999932</v>
          </cell>
          <cell r="C17">
            <v>221.3051241399989</v>
          </cell>
          <cell r="D17">
            <v>19.983666919999987</v>
          </cell>
          <cell r="E17">
            <v>24.733575179999971</v>
          </cell>
        </row>
        <row r="18">
          <cell r="A18" t="str">
            <v>Cueros</v>
          </cell>
          <cell r="B18">
            <v>99.506752100000483</v>
          </cell>
          <cell r="C18">
            <v>142.37242665000014</v>
          </cell>
          <cell r="D18">
            <v>17.208800400000023</v>
          </cell>
          <cell r="E18">
            <v>23.795193399999974</v>
          </cell>
        </row>
        <row r="19">
          <cell r="A19" t="str">
            <v>Minerales no metálicos</v>
          </cell>
          <cell r="B19">
            <v>108.49207157999989</v>
          </cell>
          <cell r="C19">
            <v>134.19355591000121</v>
          </cell>
          <cell r="D19">
            <v>13.227439109999983</v>
          </cell>
          <cell r="E19">
            <v>19.910118749999992</v>
          </cell>
        </row>
        <row r="20">
          <cell r="A20" t="str">
            <v>Refinación del petróleo</v>
          </cell>
          <cell r="B20">
            <v>34.963296889999931</v>
          </cell>
          <cell r="C20">
            <v>116.85241043000028</v>
          </cell>
          <cell r="D20">
            <v>2.843139310000002</v>
          </cell>
          <cell r="E20">
            <v>69.195971320000041</v>
          </cell>
        </row>
        <row r="21">
          <cell r="A21" t="str">
            <v>Prendas de vestir</v>
          </cell>
          <cell r="B21">
            <v>87.789638340000195</v>
          </cell>
          <cell r="C21">
            <v>106.23940039999914</v>
          </cell>
          <cell r="D21">
            <v>11.236092659999999</v>
          </cell>
          <cell r="E21">
            <v>13.704878039999979</v>
          </cell>
        </row>
        <row r="22">
          <cell r="A22" t="str">
            <v>Edición</v>
          </cell>
          <cell r="B22">
            <v>76.458532919999925</v>
          </cell>
          <cell r="C22">
            <v>105.42420544000035</v>
          </cell>
          <cell r="D22">
            <v>7.2380613599999926</v>
          </cell>
          <cell r="E22">
            <v>8.1208709199999909</v>
          </cell>
        </row>
        <row r="23">
          <cell r="A23" t="str">
            <v>Madera</v>
          </cell>
          <cell r="B23">
            <v>46.874839789999832</v>
          </cell>
          <cell r="C23">
            <v>73.590098820000037</v>
          </cell>
          <cell r="D23">
            <v>4.9426374300000013</v>
          </cell>
          <cell r="E23">
            <v>10.974334499999982</v>
          </cell>
        </row>
        <row r="24">
          <cell r="A24" t="str">
            <v>Minerales no metálicos</v>
          </cell>
          <cell r="B24">
            <v>13.080474200000024</v>
          </cell>
          <cell r="C24">
            <v>21.227782430000005</v>
          </cell>
          <cell r="D24">
            <v>2.1570465699999999</v>
          </cell>
          <cell r="E24">
            <v>4.4648363500000006</v>
          </cell>
        </row>
        <row r="25">
          <cell r="A25" t="str">
            <v>Tabaco</v>
          </cell>
          <cell r="B25">
            <v>5.5380302100000041</v>
          </cell>
          <cell r="C25">
            <v>16.334371240000007</v>
          </cell>
          <cell r="D25">
            <v>1.0661540300000001</v>
          </cell>
          <cell r="E25">
            <v>1.9468504099999997</v>
          </cell>
        </row>
        <row r="26">
          <cell r="A26" t="str">
            <v>Sin información</v>
          </cell>
          <cell r="B26">
            <v>7.4650176400000037</v>
          </cell>
          <cell r="C26">
            <v>8.9066635899999991</v>
          </cell>
          <cell r="D26">
            <v>0.65050891999999971</v>
          </cell>
          <cell r="E26">
            <v>1.2684746099999999</v>
          </cell>
        </row>
        <row r="27">
          <cell r="A27" t="str">
            <v>Minerales metalíferos</v>
          </cell>
          <cell r="B27">
            <v>2.4383758699999989</v>
          </cell>
          <cell r="C27">
            <v>2.4595956300000004</v>
          </cell>
          <cell r="D27">
            <v>0.15181222</v>
          </cell>
          <cell r="E27">
            <v>0.42908617999999993</v>
          </cell>
        </row>
        <row r="28">
          <cell r="A28" t="str">
            <v>Silvicultura</v>
          </cell>
          <cell r="B28">
            <v>1.9037332199999994</v>
          </cell>
          <cell r="C28">
            <v>1.8210543099999998</v>
          </cell>
          <cell r="D28">
            <v>0.11299925</v>
          </cell>
          <cell r="E28">
            <v>0.23975121000000005</v>
          </cell>
        </row>
        <row r="29">
          <cell r="A29" t="str">
            <v>Pesca</v>
          </cell>
          <cell r="B29">
            <v>1.3462128200000005</v>
          </cell>
          <cell r="C29">
            <v>1.3594526500000008</v>
          </cell>
          <cell r="D29">
            <v>0.13486281999999999</v>
          </cell>
          <cell r="E29">
            <v>0.14452457000000002</v>
          </cell>
        </row>
        <row r="30">
          <cell r="A30" t="str">
            <v>Reciclaje</v>
          </cell>
          <cell r="B30">
            <v>0.61150842000000005</v>
          </cell>
          <cell r="C30">
            <v>0.85853038000000004</v>
          </cell>
          <cell r="D30">
            <v>5.8442189999999998E-2</v>
          </cell>
          <cell r="E30">
            <v>0.13494192000000002</v>
          </cell>
        </row>
        <row r="31">
          <cell r="A31" t="str">
            <v>Esparcimiento</v>
          </cell>
          <cell r="B31">
            <v>0.62711635999999971</v>
          </cell>
          <cell r="C31">
            <v>0.85807904999999973</v>
          </cell>
          <cell r="D31">
            <v>4.2475460000000007E-2</v>
          </cell>
          <cell r="E31">
            <v>0.15394456999999998</v>
          </cell>
        </row>
        <row r="32">
          <cell r="A32" t="str">
            <v>Carbón</v>
          </cell>
          <cell r="B32">
            <v>0.73742808000000037</v>
          </cell>
          <cell r="C32">
            <v>0.83842107999999982</v>
          </cell>
          <cell r="D32">
            <v>6.2694790000000014E-2</v>
          </cell>
          <cell r="E32">
            <v>6.7552269999999998E-2</v>
          </cell>
        </row>
        <row r="33">
          <cell r="A33" t="str">
            <v>Activ. empresariales</v>
          </cell>
          <cell r="B33">
            <v>0.15368261000000003</v>
          </cell>
          <cell r="C33">
            <v>0.51344842000000002</v>
          </cell>
          <cell r="D33">
            <v>0.10899803999999999</v>
          </cell>
          <cell r="E33">
            <v>1.5400000000000001E-6</v>
          </cell>
        </row>
        <row r="34">
          <cell r="A34" t="str">
            <v>Comercio al por mayor</v>
          </cell>
          <cell r="B34">
            <v>2.1376809999999996E-2</v>
          </cell>
          <cell r="C34">
            <v>4.0813719999999998E-2</v>
          </cell>
          <cell r="D34">
            <v>1.2483000000000001E-4</v>
          </cell>
          <cell r="E34">
            <v>0</v>
          </cell>
        </row>
        <row r="35">
          <cell r="A35" t="str">
            <v>Petróleo</v>
          </cell>
          <cell r="B35">
            <v>1.4578099999999999E-3</v>
          </cell>
          <cell r="C35">
            <v>7.2803399999999997E-3</v>
          </cell>
          <cell r="D35">
            <v>0</v>
          </cell>
          <cell r="E35">
            <v>1.7505999999999999E-4</v>
          </cell>
        </row>
        <row r="36">
          <cell r="A36" t="str">
            <v>Otras actividades</v>
          </cell>
          <cell r="B36">
            <v>1.893889E-2</v>
          </cell>
          <cell r="D36">
            <v>0</v>
          </cell>
        </row>
      </sheetData>
      <sheetData sheetId="8">
        <row r="2">
          <cell r="C2">
            <v>25026322.610000018</v>
          </cell>
          <cell r="D2">
            <v>1940996.9000000004</v>
          </cell>
          <cell r="F2">
            <v>26873533.789999995</v>
          </cell>
          <cell r="G2">
            <v>2066394.8200000015</v>
          </cell>
        </row>
        <row r="3">
          <cell r="C3">
            <v>218520827.94999999</v>
          </cell>
          <cell r="D3">
            <v>24909030.699999977</v>
          </cell>
          <cell r="F3">
            <v>287544628.22999954</v>
          </cell>
          <cell r="G3">
            <v>37656572.009999976</v>
          </cell>
        </row>
        <row r="4">
          <cell r="C4">
            <v>36137957.749999993</v>
          </cell>
          <cell r="D4">
            <v>6269902.3900000015</v>
          </cell>
          <cell r="F4">
            <v>38887349.429999992</v>
          </cell>
          <cell r="G4">
            <v>3299310.5599999977</v>
          </cell>
        </row>
        <row r="5">
          <cell r="C5">
            <v>5538030.2100000028</v>
          </cell>
          <cell r="D5">
            <v>1066154.03</v>
          </cell>
          <cell r="F5">
            <v>16334371.240000002</v>
          </cell>
          <cell r="G5">
            <v>1946850.41</v>
          </cell>
        </row>
        <row r="6">
          <cell r="C6">
            <v>697455699.76000476</v>
          </cell>
          <cell r="D6">
            <v>79541868.779999956</v>
          </cell>
          <cell r="F6">
            <v>807300265.23999679</v>
          </cell>
          <cell r="G6">
            <v>84466214.829999804</v>
          </cell>
        </row>
        <row r="7">
          <cell r="C7">
            <v>129372972.49999902</v>
          </cell>
          <cell r="D7">
            <v>16696289.470000021</v>
          </cell>
          <cell r="F7">
            <v>166903103.87000111</v>
          </cell>
          <cell r="G7">
            <v>20398016.69999994</v>
          </cell>
        </row>
        <row r="8">
          <cell r="C8">
            <v>284249178.50000072</v>
          </cell>
          <cell r="D8">
            <v>33207211.520000115</v>
          </cell>
          <cell r="F8">
            <v>370631628.74999601</v>
          </cell>
          <cell r="G8">
            <v>47501322.099999994</v>
          </cell>
        </row>
        <row r="9">
          <cell r="C9">
            <v>43477008.140000038</v>
          </cell>
          <cell r="D9">
            <v>5820771.7799999984</v>
          </cell>
          <cell r="F9">
            <v>58979221.540000238</v>
          </cell>
          <cell r="G9">
            <v>6563622.3900000043</v>
          </cell>
        </row>
        <row r="10">
          <cell r="C10">
            <v>227590874.67999944</v>
          </cell>
          <cell r="D10">
            <v>30057612.740000077</v>
          </cell>
          <cell r="F10">
            <v>281937202.31999946</v>
          </cell>
          <cell r="G10">
            <v>37269822.05999998</v>
          </cell>
        </row>
        <row r="11">
          <cell r="C11">
            <v>91273119.169999391</v>
          </cell>
          <cell r="D11">
            <v>11218020.809999999</v>
          </cell>
          <cell r="F11">
            <v>146946441.71000022</v>
          </cell>
          <cell r="G11">
            <v>18941494.930000026</v>
          </cell>
        </row>
        <row r="12">
          <cell r="C12">
            <v>250703830.45000029</v>
          </cell>
          <cell r="D12">
            <v>40310197.869999975</v>
          </cell>
          <cell r="F12">
            <v>427065660.17000139</v>
          </cell>
          <cell r="G12">
            <v>35414298.86999996</v>
          </cell>
        </row>
        <row r="13">
          <cell r="C13">
            <v>369462885.48999989</v>
          </cell>
          <cell r="D13">
            <v>51010878.389999971</v>
          </cell>
          <cell r="F13">
            <v>761760684.00999951</v>
          </cell>
          <cell r="G13">
            <v>145751531.71999997</v>
          </cell>
        </row>
        <row r="14">
          <cell r="C14">
            <v>77400972.009999961</v>
          </cell>
          <cell r="D14">
            <v>10009458.33</v>
          </cell>
          <cell r="F14">
            <v>97926910.690000013</v>
          </cell>
          <cell r="G14">
            <v>5520184.8799999999</v>
          </cell>
        </row>
        <row r="15">
          <cell r="C15">
            <v>2092222.1699999997</v>
          </cell>
          <cell r="D15">
            <v>77257.510000000009</v>
          </cell>
          <cell r="F15">
            <v>35730261.279999979</v>
          </cell>
          <cell r="G15">
            <v>22395432.830000002</v>
          </cell>
        </row>
        <row r="16">
          <cell r="C16">
            <v>31481093.380000029</v>
          </cell>
          <cell r="D16">
            <v>2653999.8300000005</v>
          </cell>
          <cell r="F16">
            <v>82255434.879999936</v>
          </cell>
          <cell r="G16">
            <v>47426984.140000001</v>
          </cell>
        </row>
        <row r="17">
          <cell r="C17">
            <v>65933377.250000022</v>
          </cell>
          <cell r="D17">
            <v>6768845.5200000014</v>
          </cell>
          <cell r="F17">
            <v>65300893.269999981</v>
          </cell>
          <cell r="G17">
            <v>3598977.62</v>
          </cell>
        </row>
        <row r="18">
          <cell r="C18">
            <v>148094655.20000017</v>
          </cell>
          <cell r="D18">
            <v>14969205.689999986</v>
          </cell>
          <cell r="F18">
            <v>132805456.71999991</v>
          </cell>
          <cell r="G18">
            <v>10178156.65</v>
          </cell>
        </row>
        <row r="19">
          <cell r="C19">
            <v>250294879.86999956</v>
          </cell>
          <cell r="D19">
            <v>30577107.960000005</v>
          </cell>
          <cell r="F19">
            <v>386772093.53000033</v>
          </cell>
          <cell r="G19">
            <v>24897179.20000001</v>
          </cell>
        </row>
        <row r="20">
          <cell r="C20">
            <v>425194886.28000021</v>
          </cell>
          <cell r="D20">
            <v>50777428.540000036</v>
          </cell>
          <cell r="F20">
            <v>613329802.34999883</v>
          </cell>
          <cell r="G20">
            <v>78848612.859999985</v>
          </cell>
        </row>
        <row r="21">
          <cell r="C21">
            <v>692654994.46999097</v>
          </cell>
          <cell r="D21">
            <v>76184069.220000789</v>
          </cell>
          <cell r="F21">
            <v>984740165.19999492</v>
          </cell>
          <cell r="G21">
            <v>118270357.94000025</v>
          </cell>
        </row>
        <row r="22">
          <cell r="C22">
            <v>1330595114.379998</v>
          </cell>
          <cell r="D22">
            <v>152731539.90999916</v>
          </cell>
          <cell r="F22">
            <v>1715719220.9499881</v>
          </cell>
          <cell r="G22">
            <v>193850789.67999986</v>
          </cell>
        </row>
        <row r="23">
          <cell r="C23">
            <v>286414233.01000094</v>
          </cell>
          <cell r="D23">
            <v>25789017.239999991</v>
          </cell>
          <cell r="F23">
            <v>378146829.95999843</v>
          </cell>
          <cell r="G23">
            <v>58045034.400000066</v>
          </cell>
        </row>
        <row r="24">
          <cell r="C24">
            <v>22902630.589999992</v>
          </cell>
          <cell r="D24">
            <v>1246298.5500000003</v>
          </cell>
          <cell r="F24">
            <v>14275363.160000015</v>
          </cell>
          <cell r="G24">
            <v>1672688.0899999996</v>
          </cell>
        </row>
        <row r="25">
          <cell r="C25">
            <v>719024.87000000011</v>
          </cell>
          <cell r="D25">
            <v>79026.89</v>
          </cell>
          <cell r="F25">
            <v>1525867.2100000004</v>
          </cell>
          <cell r="G25">
            <v>337895.16</v>
          </cell>
        </row>
        <row r="26">
          <cell r="C26">
            <v>31144678.619999982</v>
          </cell>
          <cell r="D26">
            <v>1394952.5</v>
          </cell>
          <cell r="F26">
            <v>18295910.969999995</v>
          </cell>
          <cell r="G26">
            <v>2496010.91</v>
          </cell>
        </row>
        <row r="27">
          <cell r="C27">
            <v>1038187399.4399924</v>
          </cell>
          <cell r="D27">
            <v>125116602.48000006</v>
          </cell>
          <cell r="F27">
            <v>1373706471.3100059</v>
          </cell>
          <cell r="G27">
            <v>142735087.22</v>
          </cell>
        </row>
        <row r="28">
          <cell r="C28">
            <v>61402855.07999976</v>
          </cell>
          <cell r="D28">
            <v>6263464.7499999972</v>
          </cell>
          <cell r="F28">
            <v>88247864.179999769</v>
          </cell>
          <cell r="G28">
            <v>9077608.4100000095</v>
          </cell>
        </row>
        <row r="29">
          <cell r="C29">
            <v>195311640.69000033</v>
          </cell>
          <cell r="D29">
            <v>37954883.729999967</v>
          </cell>
          <cell r="F29">
            <v>247445418.32000065</v>
          </cell>
          <cell r="G29">
            <v>31985674.45000004</v>
          </cell>
        </row>
        <row r="30">
          <cell r="C30">
            <v>849776381.9299947</v>
          </cell>
          <cell r="D30">
            <v>88197601.779999956</v>
          </cell>
          <cell r="F30">
            <v>1014925145.8499957</v>
          </cell>
          <cell r="G30">
            <v>123434022.12999944</v>
          </cell>
        </row>
        <row r="31">
          <cell r="C31">
            <v>905625649.77999687</v>
          </cell>
          <cell r="D31">
            <v>86868086.850000054</v>
          </cell>
          <cell r="F31">
            <v>1255954144.0899928</v>
          </cell>
          <cell r="G31">
            <v>141499168.89999998</v>
          </cell>
        </row>
        <row r="32">
          <cell r="C32">
            <v>559182383.42000604</v>
          </cell>
          <cell r="D32">
            <v>54652956.869999684</v>
          </cell>
          <cell r="F32">
            <v>693215558.81000543</v>
          </cell>
          <cell r="G32">
            <v>69659055.520000055</v>
          </cell>
        </row>
        <row r="33">
          <cell r="C33">
            <v>2164888074.8099985</v>
          </cell>
          <cell r="D33">
            <v>190697343.26000005</v>
          </cell>
          <cell r="F33">
            <v>1833636272.2900007</v>
          </cell>
          <cell r="G33">
            <v>90178834.359999925</v>
          </cell>
        </row>
        <row r="34">
          <cell r="C34">
            <v>12987397.07</v>
          </cell>
          <cell r="D34">
            <v>940166.64000000013</v>
          </cell>
          <cell r="F34">
            <v>15924589.379999978</v>
          </cell>
          <cell r="G34">
            <v>1936665.0800000012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XX"/>
    </sheetNames>
    <sheetDataSet>
      <sheetData sheetId="0">
        <row r="2">
          <cell r="A2" t="str">
            <v>Venezuela</v>
          </cell>
        </row>
        <row r="20">
          <cell r="A20" t="str">
            <v>Los demás</v>
          </cell>
        </row>
      </sheetData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resumen_pais_origen"/>
    </sheetNames>
    <sheetDataSet>
      <sheetData sheetId="0">
        <row r="7">
          <cell r="B7" t="str">
            <v>Bolivia</v>
          </cell>
          <cell r="C7">
            <v>2870637</v>
          </cell>
          <cell r="D7">
            <v>5119556</v>
          </cell>
          <cell r="E7">
            <v>383800</v>
          </cell>
          <cell r="F7">
            <v>982566</v>
          </cell>
        </row>
        <row r="8">
          <cell r="B8" t="str">
            <v>Ecuador</v>
          </cell>
          <cell r="C8">
            <v>104324823</v>
          </cell>
          <cell r="D8">
            <v>135087385</v>
          </cell>
          <cell r="E8">
            <v>6926395</v>
          </cell>
          <cell r="F8">
            <v>28060537</v>
          </cell>
        </row>
        <row r="9">
          <cell r="B9" t="str">
            <v xml:space="preserve">Perú </v>
          </cell>
          <cell r="C9">
            <v>131006992</v>
          </cell>
          <cell r="D9">
            <v>154691153</v>
          </cell>
          <cell r="E9">
            <v>13204293</v>
          </cell>
          <cell r="F9">
            <v>16740268</v>
          </cell>
        </row>
        <row r="23">
          <cell r="B23" t="str">
            <v>Argentina</v>
          </cell>
          <cell r="C23">
            <v>214603628</v>
          </cell>
          <cell r="D23">
            <v>292260704</v>
          </cell>
          <cell r="E23">
            <v>17582803</v>
          </cell>
          <cell r="F23">
            <v>21935890</v>
          </cell>
        </row>
        <row r="24">
          <cell r="B24" t="str">
            <v xml:space="preserve">Brasil </v>
          </cell>
          <cell r="C24">
            <v>706112685</v>
          </cell>
          <cell r="D24">
            <v>709201614</v>
          </cell>
          <cell r="E24">
            <v>59084652</v>
          </cell>
          <cell r="F24">
            <v>81690736</v>
          </cell>
        </row>
        <row r="25">
          <cell r="B25" t="str">
            <v xml:space="preserve">Cuba </v>
          </cell>
          <cell r="C25">
            <v>2211254</v>
          </cell>
          <cell r="D25">
            <v>3240788</v>
          </cell>
          <cell r="E25">
            <v>80038</v>
          </cell>
          <cell r="F25">
            <v>577606</v>
          </cell>
        </row>
        <row r="26">
          <cell r="B26" t="str">
            <v xml:space="preserve">Chile </v>
          </cell>
          <cell r="C26">
            <v>301006263</v>
          </cell>
          <cell r="D26">
            <v>393729658</v>
          </cell>
          <cell r="E26">
            <v>21591452</v>
          </cell>
          <cell r="F26">
            <v>38529223</v>
          </cell>
        </row>
        <row r="27">
          <cell r="B27" t="str">
            <v xml:space="preserve">México </v>
          </cell>
          <cell r="C27">
            <v>693018167</v>
          </cell>
          <cell r="D27">
            <v>1334470192</v>
          </cell>
          <cell r="E27">
            <v>129078816</v>
          </cell>
          <cell r="F27">
            <v>182065295</v>
          </cell>
        </row>
        <row r="28">
          <cell r="B28" t="str">
            <v xml:space="preserve">Paraguay </v>
          </cell>
          <cell r="C28">
            <v>2364057</v>
          </cell>
          <cell r="D28">
            <v>2640299</v>
          </cell>
          <cell r="E28">
            <v>180651</v>
          </cell>
          <cell r="F28">
            <v>223568</v>
          </cell>
        </row>
        <row r="29">
          <cell r="B29" t="str">
            <v xml:space="preserve">Uruguay </v>
          </cell>
          <cell r="C29">
            <v>55648369</v>
          </cell>
          <cell r="D29">
            <v>61059060</v>
          </cell>
          <cell r="E29">
            <v>4566111</v>
          </cell>
          <cell r="F29">
            <v>7338635</v>
          </cell>
        </row>
        <row r="30">
          <cell r="B30" t="str">
            <v>Venezuela</v>
          </cell>
          <cell r="C30">
            <v>163288998</v>
          </cell>
          <cell r="D30">
            <v>66676694</v>
          </cell>
          <cell r="E30">
            <v>8271699</v>
          </cell>
          <cell r="F30">
            <v>8979480</v>
          </cell>
        </row>
        <row r="44">
          <cell r="B44" t="str">
            <v xml:space="preserve">Canadá </v>
          </cell>
          <cell r="C44">
            <v>136031052</v>
          </cell>
          <cell r="D44">
            <v>196205219</v>
          </cell>
          <cell r="E44">
            <v>12080242</v>
          </cell>
          <cell r="F44">
            <v>12594841</v>
          </cell>
        </row>
        <row r="45">
          <cell r="B45" t="str">
            <v>Estados Unidos</v>
          </cell>
          <cell r="C45">
            <v>3156281496</v>
          </cell>
          <cell r="D45">
            <v>3830152351</v>
          </cell>
          <cell r="E45">
            <v>353444776</v>
          </cell>
          <cell r="F45">
            <v>440311031</v>
          </cell>
        </row>
        <row r="59">
          <cell r="B59" t="str">
            <v xml:space="preserve">Alemania </v>
          </cell>
          <cell r="C59">
            <v>443603605</v>
          </cell>
          <cell r="D59">
            <v>597438771</v>
          </cell>
          <cell r="E59">
            <v>90055988</v>
          </cell>
          <cell r="F59">
            <v>53044334</v>
          </cell>
        </row>
        <row r="60">
          <cell r="B60" t="str">
            <v xml:space="preserve">Bélgica </v>
          </cell>
          <cell r="C60">
            <v>280691375</v>
          </cell>
          <cell r="D60">
            <v>400550026</v>
          </cell>
          <cell r="E60">
            <v>35367111</v>
          </cell>
          <cell r="F60">
            <v>50788982</v>
          </cell>
        </row>
        <row r="61">
          <cell r="B61" t="str">
            <v xml:space="preserve">Dinamarca </v>
          </cell>
          <cell r="C61">
            <v>19068018</v>
          </cell>
          <cell r="D61">
            <v>31769132</v>
          </cell>
          <cell r="E61">
            <v>1853318</v>
          </cell>
          <cell r="F61">
            <v>3259153</v>
          </cell>
        </row>
        <row r="62">
          <cell r="B62" t="str">
            <v xml:space="preserve">España </v>
          </cell>
          <cell r="C62">
            <v>205286503</v>
          </cell>
          <cell r="D62">
            <v>211491495</v>
          </cell>
          <cell r="E62">
            <v>18526188</v>
          </cell>
          <cell r="F62">
            <v>16230627</v>
          </cell>
        </row>
        <row r="63">
          <cell r="B63" t="str">
            <v xml:space="preserve">Finlandia </v>
          </cell>
          <cell r="C63">
            <v>40910562</v>
          </cell>
          <cell r="D63">
            <v>48646596</v>
          </cell>
          <cell r="E63">
            <v>3073185</v>
          </cell>
          <cell r="F63">
            <v>4531524</v>
          </cell>
        </row>
        <row r="64">
          <cell r="B64" t="str">
            <v xml:space="preserve">Francia </v>
          </cell>
          <cell r="C64">
            <v>995389842</v>
          </cell>
          <cell r="D64">
            <v>548331459</v>
          </cell>
          <cell r="E64">
            <v>73104957</v>
          </cell>
          <cell r="F64">
            <v>18830515</v>
          </cell>
        </row>
        <row r="65">
          <cell r="B65" t="str">
            <v xml:space="preserve">Italia </v>
          </cell>
          <cell r="C65">
            <v>175868428</v>
          </cell>
          <cell r="D65">
            <v>227189188</v>
          </cell>
          <cell r="E65">
            <v>16014441</v>
          </cell>
          <cell r="F65">
            <v>23233727</v>
          </cell>
        </row>
        <row r="66">
          <cell r="B66" t="str">
            <v xml:space="preserve">Países Bajos </v>
          </cell>
          <cell r="C66">
            <v>186442638</v>
          </cell>
          <cell r="D66">
            <v>185307560</v>
          </cell>
          <cell r="E66">
            <v>22321100</v>
          </cell>
          <cell r="F66">
            <v>18986435</v>
          </cell>
        </row>
        <row r="67">
          <cell r="B67" t="str">
            <v xml:space="preserve">Reino Unido </v>
          </cell>
          <cell r="C67">
            <v>224468193</v>
          </cell>
          <cell r="D67">
            <v>210057272</v>
          </cell>
          <cell r="E67">
            <v>22357933</v>
          </cell>
          <cell r="F67">
            <v>18833133</v>
          </cell>
        </row>
        <row r="68">
          <cell r="B68" t="str">
            <v xml:space="preserve">Suecia </v>
          </cell>
          <cell r="C68">
            <v>42454303</v>
          </cell>
          <cell r="D68">
            <v>53957219</v>
          </cell>
          <cell r="E68">
            <v>3697895</v>
          </cell>
          <cell r="F68">
            <v>5667859</v>
          </cell>
        </row>
        <row r="69">
          <cell r="B69" t="str">
            <v xml:space="preserve">Resto </v>
          </cell>
          <cell r="C69">
            <v>121588506</v>
          </cell>
          <cell r="D69">
            <v>86706737</v>
          </cell>
          <cell r="E69">
            <v>6999465</v>
          </cell>
          <cell r="F69">
            <v>8282449</v>
          </cell>
        </row>
        <row r="83">
          <cell r="B83" t="str">
            <v>Corea del Sur</v>
          </cell>
          <cell r="C83">
            <v>342911039</v>
          </cell>
          <cell r="D83">
            <v>530737877</v>
          </cell>
          <cell r="E83">
            <v>43734521</v>
          </cell>
          <cell r="F83">
            <v>47638530</v>
          </cell>
        </row>
        <row r="84">
          <cell r="B84" t="str">
            <v xml:space="preserve">China </v>
          </cell>
          <cell r="C84">
            <v>947081008</v>
          </cell>
          <cell r="D84">
            <v>1465604542</v>
          </cell>
          <cell r="E84">
            <v>117400066</v>
          </cell>
          <cell r="F84">
            <v>211856201</v>
          </cell>
        </row>
        <row r="85">
          <cell r="B85" t="str">
            <v xml:space="preserve">Japón </v>
          </cell>
          <cell r="C85">
            <v>292885897</v>
          </cell>
          <cell r="D85">
            <v>429230116</v>
          </cell>
          <cell r="E85">
            <v>32753042</v>
          </cell>
          <cell r="F85">
            <v>55081718</v>
          </cell>
        </row>
      </sheetData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resumen_pais_destino"/>
    </sheetNames>
    <sheetDataSet>
      <sheetData sheetId="0" refreshError="1">
        <row r="7">
          <cell r="B7" t="str">
            <v>Bolivia</v>
          </cell>
        </row>
        <row r="22">
          <cell r="F22">
            <v>2010</v>
          </cell>
        </row>
      </sheetData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resumen_pais_primarios"/>
    </sheetNames>
    <sheetDataSet>
      <sheetData sheetId="0">
        <row r="7">
          <cell r="B7" t="str">
            <v>Bolivia</v>
          </cell>
          <cell r="C7">
            <v>1249053</v>
          </cell>
          <cell r="D7">
            <v>949262</v>
          </cell>
          <cell r="E7">
            <v>205478</v>
          </cell>
          <cell r="F7">
            <v>66327</v>
          </cell>
        </row>
        <row r="8">
          <cell r="B8" t="str">
            <v>Ecuador</v>
          </cell>
          <cell r="C8">
            <v>5553912</v>
          </cell>
          <cell r="D8">
            <v>8375266</v>
          </cell>
          <cell r="E8">
            <v>638882</v>
          </cell>
          <cell r="F8">
            <v>1031947</v>
          </cell>
        </row>
        <row r="9">
          <cell r="B9" t="str">
            <v xml:space="preserve">Perú </v>
          </cell>
          <cell r="C9">
            <v>21801188</v>
          </cell>
          <cell r="D9">
            <v>22760099</v>
          </cell>
          <cell r="E9">
            <v>2244308</v>
          </cell>
          <cell r="F9">
            <v>2740472</v>
          </cell>
        </row>
        <row r="23">
          <cell r="B23" t="str">
            <v>Argentina</v>
          </cell>
          <cell r="C23">
            <v>61050291</v>
          </cell>
          <cell r="D23">
            <v>110724285</v>
          </cell>
          <cell r="E23">
            <v>2538963</v>
          </cell>
          <cell r="F23">
            <v>4874903</v>
          </cell>
        </row>
        <row r="24">
          <cell r="B24" t="str">
            <v xml:space="preserve">Brasil </v>
          </cell>
          <cell r="C24">
            <v>24997664</v>
          </cell>
          <cell r="D24">
            <v>26762674</v>
          </cell>
          <cell r="E24">
            <v>8288393</v>
          </cell>
          <cell r="F24">
            <v>3206436</v>
          </cell>
        </row>
        <row r="25">
          <cell r="B25" t="str">
            <v xml:space="preserve">Cuba </v>
          </cell>
          <cell r="C25">
            <v>157856</v>
          </cell>
          <cell r="D25">
            <v>34463</v>
          </cell>
          <cell r="E25">
            <v>0</v>
          </cell>
          <cell r="F25">
            <v>0</v>
          </cell>
        </row>
        <row r="26">
          <cell r="B26" t="str">
            <v xml:space="preserve">Chile </v>
          </cell>
          <cell r="C26">
            <v>45921010</v>
          </cell>
          <cell r="D26">
            <v>59591688</v>
          </cell>
          <cell r="E26">
            <v>4014970</v>
          </cell>
          <cell r="F26">
            <v>7006122</v>
          </cell>
        </row>
        <row r="27">
          <cell r="B27" t="str">
            <v xml:space="preserve">México </v>
          </cell>
          <cell r="C27">
            <v>19171363</v>
          </cell>
          <cell r="D27">
            <v>18745715</v>
          </cell>
          <cell r="E27">
            <v>1025195</v>
          </cell>
          <cell r="F27">
            <v>906357</v>
          </cell>
        </row>
        <row r="28">
          <cell r="B28" t="str">
            <v xml:space="preserve">Paraguay </v>
          </cell>
          <cell r="C28">
            <v>1528031</v>
          </cell>
          <cell r="D28">
            <v>926625</v>
          </cell>
          <cell r="E28">
            <v>89898</v>
          </cell>
          <cell r="F28">
            <v>117324</v>
          </cell>
        </row>
        <row r="29">
          <cell r="B29" t="str">
            <v xml:space="preserve">Uruguay </v>
          </cell>
          <cell r="C29">
            <v>1045252</v>
          </cell>
          <cell r="D29">
            <v>1449921</v>
          </cell>
          <cell r="E29">
            <v>5</v>
          </cell>
          <cell r="F29">
            <v>287037</v>
          </cell>
        </row>
        <row r="30">
          <cell r="B30" t="str">
            <v>Venezuela</v>
          </cell>
          <cell r="C30">
            <v>2145788</v>
          </cell>
          <cell r="D30">
            <v>449689</v>
          </cell>
          <cell r="E30">
            <v>348760</v>
          </cell>
          <cell r="F30">
            <v>1159</v>
          </cell>
        </row>
        <row r="44">
          <cell r="B44" t="str">
            <v xml:space="preserve">Canadá </v>
          </cell>
          <cell r="C44">
            <v>71117542</v>
          </cell>
          <cell r="D44">
            <v>89192591</v>
          </cell>
          <cell r="E44">
            <v>4486124</v>
          </cell>
          <cell r="F44">
            <v>1564328</v>
          </cell>
        </row>
        <row r="45">
          <cell r="B45" t="str">
            <v>Estados Unidos</v>
          </cell>
          <cell r="C45">
            <v>88471685</v>
          </cell>
          <cell r="D45">
            <v>94356234</v>
          </cell>
          <cell r="E45">
            <v>12424273</v>
          </cell>
          <cell r="F45">
            <v>7080671</v>
          </cell>
        </row>
        <row r="59">
          <cell r="B59" t="str">
            <v xml:space="preserve">Alemania </v>
          </cell>
          <cell r="C59">
            <v>1814459</v>
          </cell>
          <cell r="D59">
            <v>3198894</v>
          </cell>
          <cell r="E59">
            <v>130361</v>
          </cell>
          <cell r="F59">
            <v>266884</v>
          </cell>
        </row>
        <row r="60">
          <cell r="B60" t="str">
            <v xml:space="preserve">Bélgica </v>
          </cell>
          <cell r="C60">
            <v>1618251</v>
          </cell>
          <cell r="D60">
            <v>3051588</v>
          </cell>
          <cell r="E60">
            <v>117328</v>
          </cell>
          <cell r="F60">
            <v>472549</v>
          </cell>
        </row>
        <row r="61">
          <cell r="B61" t="str">
            <v xml:space="preserve">Chipre </v>
          </cell>
          <cell r="C61">
            <v>57755</v>
          </cell>
          <cell r="D61">
            <v>243928</v>
          </cell>
          <cell r="E61">
            <v>0</v>
          </cell>
          <cell r="F61">
            <v>0</v>
          </cell>
        </row>
        <row r="62">
          <cell r="B62" t="str">
            <v xml:space="preserve">Dinamarca </v>
          </cell>
          <cell r="C62">
            <v>396559</v>
          </cell>
          <cell r="D62">
            <v>446758</v>
          </cell>
          <cell r="E62">
            <v>66065</v>
          </cell>
          <cell r="F62">
            <v>0</v>
          </cell>
        </row>
        <row r="63">
          <cell r="B63" t="str">
            <v xml:space="preserve">España </v>
          </cell>
          <cell r="C63">
            <v>3737938</v>
          </cell>
          <cell r="D63">
            <v>4914834</v>
          </cell>
          <cell r="E63">
            <v>246248</v>
          </cell>
          <cell r="F63">
            <v>759336</v>
          </cell>
        </row>
        <row r="64">
          <cell r="B64" t="str">
            <v xml:space="preserve">Francia </v>
          </cell>
          <cell r="C64">
            <v>3152265</v>
          </cell>
          <cell r="D64">
            <v>2875982</v>
          </cell>
          <cell r="E64">
            <v>318344</v>
          </cell>
          <cell r="F64">
            <v>38966</v>
          </cell>
        </row>
        <row r="65">
          <cell r="B65" t="str">
            <v xml:space="preserve">Italia </v>
          </cell>
          <cell r="C65">
            <v>1565128</v>
          </cell>
          <cell r="D65">
            <v>2599444</v>
          </cell>
          <cell r="E65">
            <v>147275</v>
          </cell>
          <cell r="F65">
            <v>263792</v>
          </cell>
        </row>
        <row r="66">
          <cell r="B66" t="str">
            <v xml:space="preserve">Países Bajos </v>
          </cell>
          <cell r="C66">
            <v>8189353</v>
          </cell>
          <cell r="D66">
            <v>9552606</v>
          </cell>
          <cell r="E66">
            <v>892111</v>
          </cell>
          <cell r="F66">
            <v>1198137</v>
          </cell>
        </row>
        <row r="67">
          <cell r="B67" t="str">
            <v xml:space="preserve">Reino Unido </v>
          </cell>
          <cell r="C67">
            <v>1455824</v>
          </cell>
          <cell r="D67">
            <v>2365833</v>
          </cell>
          <cell r="E67">
            <v>277813</v>
          </cell>
          <cell r="F67">
            <v>104248</v>
          </cell>
        </row>
        <row r="68">
          <cell r="B68" t="str">
            <v>República Checa</v>
          </cell>
          <cell r="C68">
            <v>504571</v>
          </cell>
          <cell r="D68">
            <v>349657</v>
          </cell>
          <cell r="E68">
            <v>139759</v>
          </cell>
          <cell r="F68">
            <v>56342</v>
          </cell>
        </row>
        <row r="69">
          <cell r="B69" t="str">
            <v xml:space="preserve">Resto </v>
          </cell>
          <cell r="C69">
            <v>880889</v>
          </cell>
          <cell r="D69">
            <v>754798</v>
          </cell>
          <cell r="E69">
            <v>112170</v>
          </cell>
          <cell r="F69">
            <v>46688</v>
          </cell>
        </row>
        <row r="83">
          <cell r="B83" t="str">
            <v>Corea del Sur</v>
          </cell>
          <cell r="C83">
            <v>7615</v>
          </cell>
          <cell r="D83">
            <v>26250</v>
          </cell>
          <cell r="E83">
            <v>0</v>
          </cell>
          <cell r="F83">
            <v>0</v>
          </cell>
        </row>
        <row r="84">
          <cell r="B84" t="str">
            <v xml:space="preserve">China </v>
          </cell>
          <cell r="C84">
            <v>7376020</v>
          </cell>
          <cell r="D84">
            <v>12904798</v>
          </cell>
          <cell r="E84">
            <v>912944</v>
          </cell>
          <cell r="F84">
            <v>1512410</v>
          </cell>
        </row>
        <row r="85">
          <cell r="B85" t="str">
            <v xml:space="preserve">Japón </v>
          </cell>
          <cell r="C85">
            <v>83707</v>
          </cell>
          <cell r="D85">
            <v>109577</v>
          </cell>
          <cell r="E85">
            <v>59914</v>
          </cell>
          <cell r="F85">
            <v>41782</v>
          </cell>
        </row>
      </sheetData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resumen_pais_manufacturas"/>
    </sheetNames>
    <sheetDataSet>
      <sheetData sheetId="0">
        <row r="7">
          <cell r="B7" t="str">
            <v>Bolivia</v>
          </cell>
          <cell r="C7">
            <v>1611057</v>
          </cell>
          <cell r="D7">
            <v>4102572</v>
          </cell>
          <cell r="E7">
            <v>177904</v>
          </cell>
          <cell r="F7">
            <v>916238</v>
          </cell>
        </row>
        <row r="8">
          <cell r="B8" t="str">
            <v>Ecuador</v>
          </cell>
          <cell r="C8">
            <v>98353442</v>
          </cell>
          <cell r="D8">
            <v>126437035</v>
          </cell>
          <cell r="E8">
            <v>6251576</v>
          </cell>
          <cell r="F8">
            <v>27011564</v>
          </cell>
        </row>
        <row r="9">
          <cell r="B9" t="str">
            <v xml:space="preserve">Perú </v>
          </cell>
          <cell r="C9">
            <v>104837924</v>
          </cell>
          <cell r="D9">
            <v>128877830</v>
          </cell>
          <cell r="E9">
            <v>10453855</v>
          </cell>
          <cell r="F9">
            <v>13938296</v>
          </cell>
        </row>
        <row r="23">
          <cell r="B23" t="str">
            <v>Argentina</v>
          </cell>
          <cell r="C23">
            <v>151194777</v>
          </cell>
          <cell r="D23">
            <v>177953878</v>
          </cell>
          <cell r="E23">
            <v>14857569</v>
          </cell>
          <cell r="F23">
            <v>16744419</v>
          </cell>
        </row>
        <row r="24">
          <cell r="B24" t="str">
            <v xml:space="preserve">Brasil </v>
          </cell>
          <cell r="C24">
            <v>680033634</v>
          </cell>
          <cell r="D24">
            <v>679157457</v>
          </cell>
          <cell r="E24">
            <v>50648727</v>
          </cell>
          <cell r="F24">
            <v>78352826</v>
          </cell>
        </row>
        <row r="25">
          <cell r="B25" t="str">
            <v xml:space="preserve">Cuba </v>
          </cell>
          <cell r="C25">
            <v>2041879</v>
          </cell>
          <cell r="D25">
            <v>3033728</v>
          </cell>
          <cell r="E25">
            <v>71159</v>
          </cell>
          <cell r="F25">
            <v>410397</v>
          </cell>
        </row>
        <row r="26">
          <cell r="B26" t="str">
            <v xml:space="preserve">Chile </v>
          </cell>
          <cell r="C26">
            <v>249849819</v>
          </cell>
          <cell r="D26">
            <v>329053163</v>
          </cell>
          <cell r="E26">
            <v>16842307</v>
          </cell>
          <cell r="F26">
            <v>31391366</v>
          </cell>
        </row>
        <row r="27">
          <cell r="B27" t="str">
            <v xml:space="preserve">México </v>
          </cell>
          <cell r="C27">
            <v>667025764</v>
          </cell>
          <cell r="D27">
            <v>1306861778</v>
          </cell>
          <cell r="E27">
            <v>127568156</v>
          </cell>
          <cell r="F27">
            <v>180231874</v>
          </cell>
        </row>
        <row r="28">
          <cell r="B28" t="str">
            <v xml:space="preserve">Paraguay </v>
          </cell>
          <cell r="C28">
            <v>826865</v>
          </cell>
          <cell r="D28">
            <v>1683872</v>
          </cell>
          <cell r="E28">
            <v>90753</v>
          </cell>
          <cell r="F28">
            <v>106244</v>
          </cell>
        </row>
        <row r="29">
          <cell r="B29" t="str">
            <v xml:space="preserve">Uruguay </v>
          </cell>
          <cell r="C29">
            <v>54522405</v>
          </cell>
          <cell r="D29">
            <v>58801227</v>
          </cell>
          <cell r="E29">
            <v>4525314</v>
          </cell>
          <cell r="F29">
            <v>6909678</v>
          </cell>
        </row>
        <row r="30">
          <cell r="B30" t="str">
            <v>Venezuela</v>
          </cell>
          <cell r="C30">
            <v>160064813</v>
          </cell>
          <cell r="D30">
            <v>65979911</v>
          </cell>
          <cell r="E30">
            <v>7898837</v>
          </cell>
          <cell r="F30">
            <v>8964419</v>
          </cell>
        </row>
        <row r="44">
          <cell r="B44" t="str">
            <v xml:space="preserve">Canadá </v>
          </cell>
          <cell r="C44">
            <v>64687352</v>
          </cell>
          <cell r="D44">
            <v>106669260</v>
          </cell>
          <cell r="E44">
            <v>7588527</v>
          </cell>
          <cell r="F44">
            <v>11017267</v>
          </cell>
        </row>
        <row r="45">
          <cell r="B45" t="str">
            <v>Estados Unidos</v>
          </cell>
          <cell r="C45">
            <v>3047717879</v>
          </cell>
          <cell r="D45">
            <v>3717232070</v>
          </cell>
          <cell r="E45">
            <v>339528088</v>
          </cell>
          <cell r="F45">
            <v>430917030</v>
          </cell>
        </row>
        <row r="59">
          <cell r="B59" t="str">
            <v xml:space="preserve">Alemania </v>
          </cell>
          <cell r="C59">
            <v>440677634</v>
          </cell>
          <cell r="D59">
            <v>593080893</v>
          </cell>
          <cell r="E59">
            <v>89797007</v>
          </cell>
          <cell r="F59">
            <v>52691101</v>
          </cell>
        </row>
        <row r="60">
          <cell r="B60" t="str">
            <v xml:space="preserve">Bélgica </v>
          </cell>
          <cell r="C60">
            <v>278720249</v>
          </cell>
          <cell r="D60">
            <v>397230902</v>
          </cell>
          <cell r="E60">
            <v>35242282</v>
          </cell>
          <cell r="F60">
            <v>50311315</v>
          </cell>
        </row>
        <row r="61">
          <cell r="B61" t="str">
            <v xml:space="preserve">Dinamarca </v>
          </cell>
          <cell r="C61">
            <v>18606978</v>
          </cell>
          <cell r="D61">
            <v>31279032</v>
          </cell>
          <cell r="E61">
            <v>1785827</v>
          </cell>
          <cell r="F61">
            <v>3258783</v>
          </cell>
        </row>
        <row r="62">
          <cell r="B62" t="str">
            <v xml:space="preserve">España </v>
          </cell>
          <cell r="C62">
            <v>194744642</v>
          </cell>
          <cell r="D62">
            <v>193059915</v>
          </cell>
          <cell r="E62">
            <v>17647368</v>
          </cell>
          <cell r="F62">
            <v>14708345</v>
          </cell>
        </row>
        <row r="63">
          <cell r="B63" t="str">
            <v xml:space="preserve">Finlandia </v>
          </cell>
          <cell r="C63">
            <v>40909583</v>
          </cell>
          <cell r="D63">
            <v>48593635</v>
          </cell>
          <cell r="E63">
            <v>3073185</v>
          </cell>
          <cell r="F63">
            <v>4517907</v>
          </cell>
        </row>
        <row r="64">
          <cell r="B64" t="str">
            <v xml:space="preserve">Francia </v>
          </cell>
          <cell r="C64">
            <v>991307765</v>
          </cell>
          <cell r="D64">
            <v>544330030</v>
          </cell>
          <cell r="E64">
            <v>72697328</v>
          </cell>
          <cell r="F64">
            <v>18644916</v>
          </cell>
        </row>
        <row r="65">
          <cell r="B65" t="str">
            <v xml:space="preserve">Italia </v>
          </cell>
          <cell r="C65">
            <v>172788495</v>
          </cell>
          <cell r="D65">
            <v>217099267</v>
          </cell>
          <cell r="E65">
            <v>15798478</v>
          </cell>
          <cell r="F65">
            <v>22943888</v>
          </cell>
        </row>
        <row r="66">
          <cell r="B66" t="str">
            <v xml:space="preserve">Países Bajos </v>
          </cell>
          <cell r="C66">
            <v>177976886</v>
          </cell>
          <cell r="D66">
            <v>174828332</v>
          </cell>
          <cell r="E66">
            <v>21392632</v>
          </cell>
          <cell r="F66">
            <v>17610930</v>
          </cell>
        </row>
        <row r="67">
          <cell r="B67" t="str">
            <v xml:space="preserve">Reino Unido </v>
          </cell>
          <cell r="C67">
            <v>221811006</v>
          </cell>
          <cell r="D67">
            <v>205944040</v>
          </cell>
          <cell r="E67">
            <v>21927040</v>
          </cell>
          <cell r="F67">
            <v>18637431</v>
          </cell>
        </row>
        <row r="68">
          <cell r="B68" t="str">
            <v xml:space="preserve">Suecia </v>
          </cell>
          <cell r="C68">
            <v>42353218</v>
          </cell>
          <cell r="D68">
            <v>53870890</v>
          </cell>
          <cell r="E68">
            <v>3646430</v>
          </cell>
          <cell r="F68">
            <v>5652241</v>
          </cell>
        </row>
        <row r="69">
          <cell r="B69" t="str">
            <v xml:space="preserve">Resto </v>
          </cell>
          <cell r="C69">
            <v>119190830</v>
          </cell>
          <cell r="D69">
            <v>84569379</v>
          </cell>
          <cell r="E69">
            <v>6782528</v>
          </cell>
          <cell r="F69">
            <v>8171341</v>
          </cell>
        </row>
        <row r="83">
          <cell r="B83" t="str">
            <v>Corea del Sur</v>
          </cell>
          <cell r="C83">
            <v>342744066</v>
          </cell>
          <cell r="D83">
            <v>530532464</v>
          </cell>
          <cell r="E83">
            <v>43723453</v>
          </cell>
          <cell r="F83">
            <v>47636110</v>
          </cell>
        </row>
        <row r="84">
          <cell r="B84" t="str">
            <v xml:space="preserve">China </v>
          </cell>
          <cell r="C84">
            <v>938322609</v>
          </cell>
          <cell r="D84">
            <v>1449053374</v>
          </cell>
          <cell r="E84">
            <v>116363283</v>
          </cell>
          <cell r="F84">
            <v>209974627</v>
          </cell>
        </row>
        <row r="85">
          <cell r="B85" t="str">
            <v xml:space="preserve">Japón </v>
          </cell>
          <cell r="C85">
            <v>292719384</v>
          </cell>
          <cell r="D85">
            <v>428875586</v>
          </cell>
          <cell r="E85">
            <v>32673054</v>
          </cell>
          <cell r="F85">
            <v>55030799</v>
          </cell>
        </row>
      </sheetData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resumen_pais_rec_nat"/>
    </sheetNames>
    <sheetDataSet>
      <sheetData sheetId="0">
        <row r="7">
          <cell r="B7" t="str">
            <v>Bolivia</v>
          </cell>
          <cell r="C7">
            <v>1157610</v>
          </cell>
          <cell r="D7">
            <v>3331418</v>
          </cell>
          <cell r="E7">
            <v>176666</v>
          </cell>
          <cell r="F7">
            <v>650176</v>
          </cell>
        </row>
        <row r="8">
          <cell r="B8" t="str">
            <v>Ecuador</v>
          </cell>
          <cell r="C8">
            <v>21425307</v>
          </cell>
          <cell r="D8">
            <v>20464842</v>
          </cell>
          <cell r="E8">
            <v>1279792</v>
          </cell>
          <cell r="F8">
            <v>3643608</v>
          </cell>
        </row>
        <row r="9">
          <cell r="B9" t="str">
            <v xml:space="preserve">Perú </v>
          </cell>
          <cell r="C9">
            <v>30620832</v>
          </cell>
          <cell r="D9">
            <v>52757569</v>
          </cell>
          <cell r="E9">
            <v>4039922</v>
          </cell>
          <cell r="F9">
            <v>6968133</v>
          </cell>
        </row>
        <row r="23">
          <cell r="B23" t="str">
            <v>Argentina</v>
          </cell>
          <cell r="C23">
            <v>43272947</v>
          </cell>
          <cell r="D23">
            <v>62662238</v>
          </cell>
          <cell r="E23">
            <v>6942902</v>
          </cell>
          <cell r="F23">
            <v>4091547</v>
          </cell>
        </row>
        <row r="24">
          <cell r="B24" t="str">
            <v xml:space="preserve">Brasil </v>
          </cell>
          <cell r="C24">
            <v>98432578</v>
          </cell>
          <cell r="D24">
            <v>167522866</v>
          </cell>
          <cell r="E24">
            <v>11243396</v>
          </cell>
          <cell r="F24">
            <v>20166976</v>
          </cell>
        </row>
        <row r="25">
          <cell r="B25" t="str">
            <v xml:space="preserve">Cuba </v>
          </cell>
          <cell r="C25">
            <v>526480</v>
          </cell>
          <cell r="D25">
            <v>893280</v>
          </cell>
          <cell r="E25">
            <v>21432</v>
          </cell>
          <cell r="F25">
            <v>391464</v>
          </cell>
        </row>
        <row r="26">
          <cell r="B26" t="str">
            <v xml:space="preserve">Chile </v>
          </cell>
          <cell r="C26">
            <v>91564514</v>
          </cell>
          <cell r="D26">
            <v>127718533</v>
          </cell>
          <cell r="E26">
            <v>10007194</v>
          </cell>
          <cell r="F26">
            <v>15271038</v>
          </cell>
        </row>
        <row r="27">
          <cell r="B27" t="str">
            <v xml:space="preserve">México </v>
          </cell>
          <cell r="C27">
            <v>70521166</v>
          </cell>
          <cell r="D27">
            <v>114519487</v>
          </cell>
          <cell r="E27">
            <v>7635390</v>
          </cell>
          <cell r="F27">
            <v>16124755</v>
          </cell>
        </row>
        <row r="28">
          <cell r="B28" t="str">
            <v xml:space="preserve">Paraguay </v>
          </cell>
          <cell r="C28">
            <v>12361</v>
          </cell>
          <cell r="D28">
            <v>58881</v>
          </cell>
          <cell r="E28">
            <v>0</v>
          </cell>
          <cell r="F28">
            <v>0</v>
          </cell>
        </row>
        <row r="29">
          <cell r="B29" t="str">
            <v xml:space="preserve">Uruguay </v>
          </cell>
          <cell r="C29">
            <v>18341441</v>
          </cell>
          <cell r="D29">
            <v>20116203</v>
          </cell>
          <cell r="E29">
            <v>721227</v>
          </cell>
          <cell r="F29">
            <v>2142162</v>
          </cell>
        </row>
        <row r="30">
          <cell r="B30" t="str">
            <v>Venezuela</v>
          </cell>
          <cell r="C30">
            <v>22540250</v>
          </cell>
          <cell r="D30">
            <v>20106559</v>
          </cell>
          <cell r="E30">
            <v>2534387</v>
          </cell>
          <cell r="F30">
            <v>2132063</v>
          </cell>
        </row>
        <row r="44">
          <cell r="B44" t="str">
            <v xml:space="preserve">Canadá </v>
          </cell>
          <cell r="C44">
            <v>25853671</v>
          </cell>
          <cell r="D44">
            <v>35932116</v>
          </cell>
          <cell r="E44">
            <v>2683382</v>
          </cell>
          <cell r="F44">
            <v>3766557</v>
          </cell>
        </row>
        <row r="45">
          <cell r="B45" t="str">
            <v>Estados Unidos</v>
          </cell>
          <cell r="C45">
            <v>170980161</v>
          </cell>
          <cell r="D45">
            <v>286244938</v>
          </cell>
          <cell r="E45">
            <v>20313459</v>
          </cell>
          <cell r="F45">
            <v>59231799</v>
          </cell>
        </row>
        <row r="59">
          <cell r="B59" t="str">
            <v xml:space="preserve">Alemania </v>
          </cell>
          <cell r="C59">
            <v>40477890</v>
          </cell>
          <cell r="D59">
            <v>69082155</v>
          </cell>
          <cell r="E59">
            <v>4978521</v>
          </cell>
          <cell r="F59">
            <v>8554680</v>
          </cell>
        </row>
        <row r="60">
          <cell r="B60" t="str">
            <v xml:space="preserve">Bélgica </v>
          </cell>
          <cell r="C60">
            <v>34572013</v>
          </cell>
          <cell r="D60">
            <v>47212555</v>
          </cell>
          <cell r="E60">
            <v>4011299</v>
          </cell>
          <cell r="F60">
            <v>5246515</v>
          </cell>
        </row>
        <row r="61">
          <cell r="B61" t="str">
            <v xml:space="preserve">España </v>
          </cell>
          <cell r="C61">
            <v>27141970</v>
          </cell>
          <cell r="D61">
            <v>30604011</v>
          </cell>
          <cell r="E61">
            <v>2558051</v>
          </cell>
          <cell r="F61">
            <v>3035599</v>
          </cell>
        </row>
        <row r="62">
          <cell r="B62" t="str">
            <v xml:space="preserve">Finlandia </v>
          </cell>
          <cell r="C62">
            <v>5527549</v>
          </cell>
          <cell r="D62">
            <v>8838817</v>
          </cell>
          <cell r="E62">
            <v>599806</v>
          </cell>
          <cell r="F62">
            <v>755613</v>
          </cell>
        </row>
        <row r="63">
          <cell r="B63" t="str">
            <v xml:space="preserve">Francia </v>
          </cell>
          <cell r="C63">
            <v>12161791</v>
          </cell>
          <cell r="D63">
            <v>14972924</v>
          </cell>
          <cell r="E63">
            <v>925956</v>
          </cell>
          <cell r="F63">
            <v>1563657</v>
          </cell>
        </row>
        <row r="64">
          <cell r="B64" t="str">
            <v xml:space="preserve">Irlanda </v>
          </cell>
          <cell r="C64">
            <v>5544678</v>
          </cell>
          <cell r="D64">
            <v>7953595</v>
          </cell>
          <cell r="E64">
            <v>451404</v>
          </cell>
          <cell r="F64">
            <v>597474</v>
          </cell>
        </row>
        <row r="65">
          <cell r="B65" t="str">
            <v xml:space="preserve">Italia </v>
          </cell>
          <cell r="C65">
            <v>26214406</v>
          </cell>
          <cell r="D65">
            <v>29643451</v>
          </cell>
          <cell r="E65">
            <v>4319941</v>
          </cell>
          <cell r="F65">
            <v>3067232</v>
          </cell>
        </row>
        <row r="66">
          <cell r="B66" t="str">
            <v xml:space="preserve">Países Bajos </v>
          </cell>
          <cell r="C66">
            <v>8232264</v>
          </cell>
          <cell r="D66">
            <v>10527933</v>
          </cell>
          <cell r="E66">
            <v>594622</v>
          </cell>
          <cell r="F66">
            <v>1166324</v>
          </cell>
        </row>
        <row r="67">
          <cell r="B67" t="str">
            <v xml:space="preserve">Reino Unido </v>
          </cell>
          <cell r="C67">
            <v>29433936</v>
          </cell>
          <cell r="D67">
            <v>26910184</v>
          </cell>
          <cell r="E67">
            <v>5316083</v>
          </cell>
          <cell r="F67">
            <v>2874649</v>
          </cell>
        </row>
        <row r="68">
          <cell r="B68" t="str">
            <v xml:space="preserve">Suecia </v>
          </cell>
          <cell r="C68">
            <v>3769064</v>
          </cell>
          <cell r="D68">
            <v>8279735</v>
          </cell>
          <cell r="E68">
            <v>230324</v>
          </cell>
          <cell r="F68">
            <v>1290329</v>
          </cell>
        </row>
        <row r="69">
          <cell r="B69" t="str">
            <v xml:space="preserve">Resto </v>
          </cell>
          <cell r="C69">
            <v>10194618</v>
          </cell>
          <cell r="D69">
            <v>11234974</v>
          </cell>
          <cell r="E69">
            <v>593215</v>
          </cell>
          <cell r="F69">
            <v>864664</v>
          </cell>
        </row>
        <row r="83">
          <cell r="B83" t="str">
            <v>Corea del Sur</v>
          </cell>
          <cell r="C83">
            <v>9524451</v>
          </cell>
          <cell r="D83">
            <v>11090166</v>
          </cell>
        </row>
        <row r="84">
          <cell r="B84" t="str">
            <v xml:space="preserve">China </v>
          </cell>
          <cell r="C84">
            <v>102176087</v>
          </cell>
          <cell r="D84">
            <v>124123507</v>
          </cell>
        </row>
        <row r="85">
          <cell r="B85" t="str">
            <v xml:space="preserve">Japón </v>
          </cell>
          <cell r="C85">
            <v>9094875</v>
          </cell>
          <cell r="D85">
            <v>20566089</v>
          </cell>
        </row>
      </sheetData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resumen_pais_baja_tek"/>
    </sheetNames>
    <sheetDataSet>
      <sheetData sheetId="0">
        <row r="7">
          <cell r="B7" t="str">
            <v>Bolivia</v>
          </cell>
          <cell r="C7">
            <v>203416</v>
          </cell>
          <cell r="D7">
            <v>344887</v>
          </cell>
          <cell r="E7">
            <v>0</v>
          </cell>
          <cell r="F7">
            <v>253346</v>
          </cell>
        </row>
        <row r="8">
          <cell r="B8" t="str">
            <v>Ecuador</v>
          </cell>
          <cell r="C8">
            <v>13109090</v>
          </cell>
          <cell r="D8">
            <v>20475038</v>
          </cell>
          <cell r="E8">
            <v>1848620</v>
          </cell>
          <cell r="F8">
            <v>3155945</v>
          </cell>
        </row>
        <row r="9">
          <cell r="B9" t="str">
            <v xml:space="preserve">Perú </v>
          </cell>
          <cell r="C9">
            <v>42368971</v>
          </cell>
          <cell r="D9">
            <v>38227483</v>
          </cell>
          <cell r="E9">
            <v>3460492</v>
          </cell>
          <cell r="F9">
            <v>4203226</v>
          </cell>
        </row>
        <row r="23">
          <cell r="B23" t="str">
            <v>Argentina</v>
          </cell>
          <cell r="C23">
            <v>26082187</v>
          </cell>
          <cell r="D23">
            <v>20418979</v>
          </cell>
          <cell r="E23">
            <v>1338285</v>
          </cell>
          <cell r="F23">
            <v>1753667</v>
          </cell>
        </row>
        <row r="24">
          <cell r="B24" t="str">
            <v xml:space="preserve">Brasil </v>
          </cell>
          <cell r="C24">
            <v>78760194</v>
          </cell>
          <cell r="D24">
            <v>92688523</v>
          </cell>
          <cell r="E24">
            <v>6557431</v>
          </cell>
          <cell r="F24">
            <v>8490549</v>
          </cell>
        </row>
        <row r="25">
          <cell r="B25" t="str">
            <v xml:space="preserve">Cuba </v>
          </cell>
          <cell r="C25">
            <v>660843</v>
          </cell>
          <cell r="D25">
            <v>183828</v>
          </cell>
          <cell r="E25">
            <v>843</v>
          </cell>
          <cell r="F25">
            <v>0</v>
          </cell>
        </row>
        <row r="26">
          <cell r="B26" t="str">
            <v xml:space="preserve">Chile </v>
          </cell>
          <cell r="C26">
            <v>13062693</v>
          </cell>
          <cell r="D26">
            <v>18584915</v>
          </cell>
          <cell r="E26">
            <v>1888931</v>
          </cell>
          <cell r="F26">
            <v>2488103</v>
          </cell>
        </row>
        <row r="27">
          <cell r="B27" t="str">
            <v xml:space="preserve">México </v>
          </cell>
          <cell r="C27">
            <v>86632926</v>
          </cell>
          <cell r="D27">
            <v>169746317</v>
          </cell>
          <cell r="E27">
            <v>9757524</v>
          </cell>
          <cell r="F27">
            <v>23624935</v>
          </cell>
        </row>
        <row r="28">
          <cell r="B28" t="str">
            <v xml:space="preserve">Paraguay </v>
          </cell>
          <cell r="C28">
            <v>289420</v>
          </cell>
          <cell r="D28">
            <v>77880</v>
          </cell>
          <cell r="E28">
            <v>17541</v>
          </cell>
          <cell r="F28">
            <v>0</v>
          </cell>
        </row>
        <row r="29">
          <cell r="B29" t="str">
            <v xml:space="preserve">Uruguay </v>
          </cell>
          <cell r="C29">
            <v>1184533</v>
          </cell>
          <cell r="D29">
            <v>1058889</v>
          </cell>
          <cell r="E29">
            <v>227475</v>
          </cell>
          <cell r="F29">
            <v>182310</v>
          </cell>
        </row>
        <row r="30">
          <cell r="B30" t="str">
            <v>Venezuela</v>
          </cell>
          <cell r="C30">
            <v>20774723</v>
          </cell>
          <cell r="D30">
            <v>13799942</v>
          </cell>
          <cell r="E30">
            <v>1867523</v>
          </cell>
          <cell r="F30">
            <v>3461031</v>
          </cell>
        </row>
        <row r="44">
          <cell r="B44" t="str">
            <v xml:space="preserve">Canadá </v>
          </cell>
          <cell r="C44">
            <v>4041958</v>
          </cell>
          <cell r="D44">
            <v>13150652</v>
          </cell>
          <cell r="E44">
            <v>295034</v>
          </cell>
          <cell r="F44">
            <v>737213</v>
          </cell>
        </row>
        <row r="45">
          <cell r="B45" t="str">
            <v>Estados Unidos</v>
          </cell>
          <cell r="C45">
            <v>290644146</v>
          </cell>
          <cell r="D45">
            <v>392854783</v>
          </cell>
          <cell r="E45">
            <v>31927665</v>
          </cell>
          <cell r="F45">
            <v>46681502</v>
          </cell>
        </row>
        <row r="59">
          <cell r="B59" t="str">
            <v xml:space="preserve">Alemania </v>
          </cell>
          <cell r="C59">
            <v>40488110</v>
          </cell>
          <cell r="D59">
            <v>50228390</v>
          </cell>
          <cell r="E59">
            <v>5403915</v>
          </cell>
          <cell r="F59">
            <v>5644615</v>
          </cell>
        </row>
        <row r="60">
          <cell r="B60" t="str">
            <v xml:space="preserve">Austria </v>
          </cell>
          <cell r="C60">
            <v>3248466</v>
          </cell>
          <cell r="D60">
            <v>3745257</v>
          </cell>
          <cell r="E60">
            <v>115095</v>
          </cell>
          <cell r="F60">
            <v>699303</v>
          </cell>
        </row>
        <row r="61">
          <cell r="B61" t="str">
            <v xml:space="preserve">Bélgica </v>
          </cell>
          <cell r="C61">
            <v>11041867</v>
          </cell>
          <cell r="D61">
            <v>24850979</v>
          </cell>
          <cell r="E61">
            <v>1951307</v>
          </cell>
          <cell r="F61">
            <v>4546653</v>
          </cell>
        </row>
        <row r="62">
          <cell r="B62" t="str">
            <v xml:space="preserve">España </v>
          </cell>
          <cell r="C62">
            <v>58505231</v>
          </cell>
          <cell r="D62">
            <v>74447322</v>
          </cell>
          <cell r="E62">
            <v>6427383</v>
          </cell>
          <cell r="F62">
            <v>2978225</v>
          </cell>
        </row>
        <row r="63">
          <cell r="B63" t="str">
            <v xml:space="preserve">Finlandia </v>
          </cell>
          <cell r="C63">
            <v>2998849</v>
          </cell>
          <cell r="D63">
            <v>4169691</v>
          </cell>
          <cell r="E63">
            <v>392919</v>
          </cell>
          <cell r="F63">
            <v>757627</v>
          </cell>
        </row>
        <row r="64">
          <cell r="B64" t="str">
            <v xml:space="preserve">Francia </v>
          </cell>
          <cell r="C64">
            <v>10747427</v>
          </cell>
          <cell r="D64">
            <v>13704890</v>
          </cell>
          <cell r="E64">
            <v>1094496</v>
          </cell>
          <cell r="F64">
            <v>1253615</v>
          </cell>
        </row>
        <row r="65">
          <cell r="B65" t="str">
            <v xml:space="preserve">Italia </v>
          </cell>
          <cell r="C65">
            <v>28678935</v>
          </cell>
          <cell r="D65">
            <v>37066922</v>
          </cell>
          <cell r="E65">
            <v>2206861</v>
          </cell>
          <cell r="F65">
            <v>4550027</v>
          </cell>
        </row>
        <row r="66">
          <cell r="B66" t="str">
            <v xml:space="preserve">Países Bajos </v>
          </cell>
          <cell r="C66">
            <v>16901197</v>
          </cell>
          <cell r="D66">
            <v>20222889</v>
          </cell>
          <cell r="E66">
            <v>2187537</v>
          </cell>
          <cell r="F66">
            <v>2085236</v>
          </cell>
        </row>
        <row r="67">
          <cell r="B67" t="str">
            <v xml:space="preserve">Reino Unido </v>
          </cell>
          <cell r="C67">
            <v>7377777</v>
          </cell>
          <cell r="D67">
            <v>8624688</v>
          </cell>
          <cell r="E67">
            <v>893590</v>
          </cell>
          <cell r="F67">
            <v>790123</v>
          </cell>
        </row>
        <row r="68">
          <cell r="B68" t="str">
            <v xml:space="preserve">Suecia </v>
          </cell>
          <cell r="C68">
            <v>2792918</v>
          </cell>
          <cell r="D68">
            <v>4122961</v>
          </cell>
          <cell r="E68">
            <v>160247</v>
          </cell>
          <cell r="F68">
            <v>402279</v>
          </cell>
        </row>
        <row r="69">
          <cell r="B69" t="str">
            <v xml:space="preserve">Resto </v>
          </cell>
          <cell r="C69">
            <v>6723440</v>
          </cell>
          <cell r="D69">
            <v>10592417</v>
          </cell>
          <cell r="E69">
            <v>1439196</v>
          </cell>
          <cell r="F69">
            <v>1585290</v>
          </cell>
        </row>
        <row r="83">
          <cell r="B83" t="str">
            <v>Corea del Sur</v>
          </cell>
          <cell r="C83">
            <v>22231782</v>
          </cell>
          <cell r="D83">
            <v>32586136</v>
          </cell>
          <cell r="E83">
            <v>3928328</v>
          </cell>
          <cell r="F83">
            <v>2503025</v>
          </cell>
        </row>
        <row r="84">
          <cell r="B84" t="str">
            <v xml:space="preserve">China </v>
          </cell>
          <cell r="C84">
            <v>311043369</v>
          </cell>
          <cell r="D84">
            <v>452580897</v>
          </cell>
          <cell r="E84">
            <v>37804591</v>
          </cell>
          <cell r="F84">
            <v>80011541</v>
          </cell>
        </row>
        <row r="85">
          <cell r="B85" t="str">
            <v xml:space="preserve">Japón </v>
          </cell>
          <cell r="C85">
            <v>16050866</v>
          </cell>
          <cell r="D85">
            <v>38431580</v>
          </cell>
          <cell r="E85">
            <v>1061922</v>
          </cell>
          <cell r="F85">
            <v>1698289</v>
          </cell>
        </row>
      </sheetData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resumen_pais_media_tek"/>
    </sheetNames>
    <sheetDataSet>
      <sheetData sheetId="0">
        <row r="7">
          <cell r="B7" t="str">
            <v>Bolivia</v>
          </cell>
          <cell r="C7">
            <v>39337</v>
          </cell>
          <cell r="D7">
            <v>398460</v>
          </cell>
          <cell r="E7">
            <v>0</v>
          </cell>
          <cell r="F7">
            <v>12716</v>
          </cell>
        </row>
        <row r="8">
          <cell r="B8" t="str">
            <v>Ecuador</v>
          </cell>
          <cell r="C8">
            <v>27278801</v>
          </cell>
          <cell r="D8">
            <v>44459060</v>
          </cell>
          <cell r="E8">
            <v>1930988</v>
          </cell>
          <cell r="F8">
            <v>17752769</v>
          </cell>
        </row>
        <row r="9">
          <cell r="B9" t="str">
            <v xml:space="preserve">Perú </v>
          </cell>
          <cell r="C9">
            <v>27976736</v>
          </cell>
          <cell r="D9">
            <v>32520158</v>
          </cell>
          <cell r="E9">
            <v>2770887</v>
          </cell>
          <cell r="F9">
            <v>2326331</v>
          </cell>
        </row>
        <row r="23">
          <cell r="B23" t="str">
            <v>Argentina</v>
          </cell>
          <cell r="C23">
            <v>49802505</v>
          </cell>
          <cell r="D23">
            <v>59647705</v>
          </cell>
          <cell r="E23">
            <v>3843127</v>
          </cell>
          <cell r="F23">
            <v>8264199</v>
          </cell>
        </row>
        <row r="24">
          <cell r="B24" t="str">
            <v xml:space="preserve">Brasil </v>
          </cell>
          <cell r="C24">
            <v>197293968</v>
          </cell>
          <cell r="D24">
            <v>209500608</v>
          </cell>
          <cell r="E24">
            <v>19143142</v>
          </cell>
          <cell r="F24">
            <v>27628767</v>
          </cell>
        </row>
        <row r="25">
          <cell r="B25" t="str">
            <v xml:space="preserve">Cuba </v>
          </cell>
          <cell r="C25">
            <v>854557</v>
          </cell>
          <cell r="D25">
            <v>1920871</v>
          </cell>
          <cell r="E25">
            <v>48884</v>
          </cell>
          <cell r="F25">
            <v>16425</v>
          </cell>
        </row>
        <row r="26">
          <cell r="B26" t="str">
            <v xml:space="preserve">Chile </v>
          </cell>
          <cell r="C26">
            <v>32344163</v>
          </cell>
          <cell r="D26">
            <v>47011980</v>
          </cell>
          <cell r="E26">
            <v>4286312</v>
          </cell>
          <cell r="F26">
            <v>13143285</v>
          </cell>
        </row>
        <row r="27">
          <cell r="B27" t="str">
            <v xml:space="preserve">México </v>
          </cell>
          <cell r="C27">
            <v>140741321</v>
          </cell>
          <cell r="D27">
            <v>437861807</v>
          </cell>
          <cell r="E27">
            <v>21980338</v>
          </cell>
          <cell r="F27">
            <v>77303712</v>
          </cell>
        </row>
        <row r="28">
          <cell r="B28" t="str">
            <v xml:space="preserve">Paraguay </v>
          </cell>
          <cell r="C28">
            <v>0</v>
          </cell>
          <cell r="D28">
            <v>940</v>
          </cell>
          <cell r="E28">
            <v>0</v>
          </cell>
          <cell r="F28">
            <v>0</v>
          </cell>
        </row>
        <row r="29">
          <cell r="B29" t="str">
            <v xml:space="preserve">Uruguay </v>
          </cell>
          <cell r="C29">
            <v>3658018</v>
          </cell>
          <cell r="D29">
            <v>3352390</v>
          </cell>
          <cell r="E29">
            <v>378416</v>
          </cell>
          <cell r="F29">
            <v>380654</v>
          </cell>
        </row>
        <row r="30">
          <cell r="B30" t="str">
            <v>Venezuela</v>
          </cell>
          <cell r="C30">
            <v>49274855</v>
          </cell>
          <cell r="D30">
            <v>26823267</v>
          </cell>
          <cell r="E30">
            <v>3096889</v>
          </cell>
          <cell r="F30">
            <v>2750095</v>
          </cell>
        </row>
        <row r="44">
          <cell r="B44" t="str">
            <v xml:space="preserve">Canadá </v>
          </cell>
          <cell r="C44">
            <v>17569329</v>
          </cell>
          <cell r="D44">
            <v>38051835</v>
          </cell>
          <cell r="E44">
            <v>2886199</v>
          </cell>
          <cell r="F44">
            <v>4812491</v>
          </cell>
        </row>
        <row r="45">
          <cell r="B45" t="str">
            <v>Estados Unidos</v>
          </cell>
          <cell r="C45">
            <v>1041269537</v>
          </cell>
          <cell r="D45">
            <v>1337875700</v>
          </cell>
          <cell r="E45">
            <v>128813121</v>
          </cell>
          <cell r="F45">
            <v>182864299</v>
          </cell>
        </row>
        <row r="59">
          <cell r="B59" t="str">
            <v xml:space="preserve">Alemania </v>
          </cell>
          <cell r="C59">
            <v>159702721</v>
          </cell>
          <cell r="D59">
            <v>199849228</v>
          </cell>
          <cell r="E59">
            <v>15883725</v>
          </cell>
          <cell r="F59">
            <v>22424099</v>
          </cell>
        </row>
        <row r="60">
          <cell r="B60" t="str">
            <v xml:space="preserve">Bélgica </v>
          </cell>
          <cell r="C60">
            <v>124890587</v>
          </cell>
          <cell r="D60">
            <v>182640594</v>
          </cell>
          <cell r="E60">
            <v>17471165</v>
          </cell>
          <cell r="F60">
            <v>26349671</v>
          </cell>
        </row>
        <row r="61">
          <cell r="B61" t="str">
            <v xml:space="preserve">Dinamarca </v>
          </cell>
          <cell r="C61">
            <v>2992459</v>
          </cell>
          <cell r="D61">
            <v>8620450</v>
          </cell>
          <cell r="E61">
            <v>416615</v>
          </cell>
          <cell r="F61">
            <v>597228</v>
          </cell>
        </row>
        <row r="62">
          <cell r="B62" t="str">
            <v xml:space="preserve">España </v>
          </cell>
          <cell r="C62">
            <v>56040659</v>
          </cell>
          <cell r="D62">
            <v>57557786</v>
          </cell>
          <cell r="E62">
            <v>6019947</v>
          </cell>
          <cell r="F62">
            <v>6209170</v>
          </cell>
        </row>
        <row r="63">
          <cell r="B63" t="str">
            <v xml:space="preserve">Francia </v>
          </cell>
          <cell r="C63">
            <v>58262470</v>
          </cell>
          <cell r="D63">
            <v>77767023</v>
          </cell>
          <cell r="E63">
            <v>5227755</v>
          </cell>
          <cell r="F63">
            <v>6767246</v>
          </cell>
        </row>
        <row r="64">
          <cell r="B64" t="str">
            <v xml:space="preserve">Italia </v>
          </cell>
          <cell r="C64">
            <v>87524985</v>
          </cell>
          <cell r="D64">
            <v>96198172</v>
          </cell>
          <cell r="E64">
            <v>5887178</v>
          </cell>
          <cell r="F64">
            <v>9722908</v>
          </cell>
        </row>
        <row r="65">
          <cell r="B65" t="str">
            <v xml:space="preserve">Lituania </v>
          </cell>
          <cell r="C65">
            <v>592390</v>
          </cell>
          <cell r="D65">
            <v>6255761</v>
          </cell>
          <cell r="E65">
            <v>16356</v>
          </cell>
          <cell r="F65">
            <v>0</v>
          </cell>
        </row>
        <row r="66">
          <cell r="B66" t="str">
            <v xml:space="preserve">Países Bajos </v>
          </cell>
          <cell r="C66">
            <v>23001085</v>
          </cell>
          <cell r="D66">
            <v>22768490</v>
          </cell>
          <cell r="E66">
            <v>5046465</v>
          </cell>
          <cell r="F66">
            <v>3059140</v>
          </cell>
        </row>
        <row r="67">
          <cell r="B67" t="str">
            <v xml:space="preserve">Reino Unido </v>
          </cell>
          <cell r="C67">
            <v>28345714</v>
          </cell>
          <cell r="D67">
            <v>35419301</v>
          </cell>
          <cell r="E67">
            <v>6103137</v>
          </cell>
          <cell r="F67">
            <v>4629127</v>
          </cell>
        </row>
        <row r="68">
          <cell r="B68" t="str">
            <v xml:space="preserve">Suecia </v>
          </cell>
          <cell r="C68">
            <v>15880703</v>
          </cell>
          <cell r="D68">
            <v>17503461</v>
          </cell>
          <cell r="E68">
            <v>1716372</v>
          </cell>
          <cell r="F68">
            <v>1468082</v>
          </cell>
        </row>
        <row r="69">
          <cell r="B69" t="str">
            <v xml:space="preserve">Resto </v>
          </cell>
          <cell r="C69">
            <v>16351703</v>
          </cell>
          <cell r="D69">
            <v>24070013</v>
          </cell>
          <cell r="E69">
            <v>1833209</v>
          </cell>
          <cell r="F69">
            <v>3555510</v>
          </cell>
        </row>
        <row r="83">
          <cell r="B83" t="str">
            <v>Corea del Sur</v>
          </cell>
          <cell r="C83">
            <v>279009714</v>
          </cell>
          <cell r="D83">
            <v>364379563</v>
          </cell>
          <cell r="E83">
            <v>36097467</v>
          </cell>
          <cell r="F83">
            <v>41825652</v>
          </cell>
        </row>
        <row r="84">
          <cell r="B84" t="str">
            <v xml:space="preserve">China </v>
          </cell>
          <cell r="C84">
            <v>235918270</v>
          </cell>
          <cell r="D84">
            <v>362229473</v>
          </cell>
          <cell r="E84">
            <v>30249309</v>
          </cell>
          <cell r="F84">
            <v>45726065</v>
          </cell>
        </row>
        <row r="85">
          <cell r="B85" t="str">
            <v xml:space="preserve">Japón </v>
          </cell>
          <cell r="C85">
            <v>230740340</v>
          </cell>
          <cell r="D85">
            <v>339195872</v>
          </cell>
          <cell r="E85">
            <v>27970016</v>
          </cell>
          <cell r="F85">
            <v>46638088</v>
          </cell>
        </row>
      </sheetData>
    </sheetDataSet>
  </externalBook>
</externalLink>
</file>

<file path=xl/externalLinks/externalLink15.xml><?xml version="1.0" encoding="utf-8"?>
<externalLink xmlns="http://schemas.openxmlformats.org/spreadsheetml/2006/main">
  <externalBook xmlns:r="http://schemas.openxmlformats.org/officeDocument/2006/relationships" r:id="rId1">
    <sheetNames>
      <sheetName val="resumen_pais_alta_tek"/>
    </sheetNames>
    <sheetDataSet>
      <sheetData sheetId="0">
        <row r="7">
          <cell r="B7" t="str">
            <v>Bolivia</v>
          </cell>
          <cell r="C7">
            <v>210694</v>
          </cell>
          <cell r="D7">
            <v>27807</v>
          </cell>
          <cell r="E7">
            <v>1238</v>
          </cell>
          <cell r="F7">
            <v>0</v>
          </cell>
        </row>
        <row r="8">
          <cell r="B8" t="str">
            <v>Ecuador</v>
          </cell>
          <cell r="C8">
            <v>36540243</v>
          </cell>
          <cell r="D8">
            <v>41038095</v>
          </cell>
          <cell r="E8">
            <v>1192176</v>
          </cell>
          <cell r="F8">
            <v>2459241</v>
          </cell>
        </row>
        <row r="9">
          <cell r="B9" t="str">
            <v xml:space="preserve">Perú </v>
          </cell>
          <cell r="C9">
            <v>3871385</v>
          </cell>
          <cell r="D9">
            <v>5372620</v>
          </cell>
          <cell r="E9">
            <v>182554</v>
          </cell>
          <cell r="F9">
            <v>440606</v>
          </cell>
        </row>
        <row r="23">
          <cell r="B23" t="str">
            <v>Argentina</v>
          </cell>
          <cell r="C23">
            <v>32037137</v>
          </cell>
          <cell r="D23">
            <v>35224956</v>
          </cell>
          <cell r="E23">
            <v>2733255</v>
          </cell>
          <cell r="F23">
            <v>2635006</v>
          </cell>
        </row>
        <row r="24">
          <cell r="B24" t="str">
            <v xml:space="preserve">Brasil </v>
          </cell>
          <cell r="C24">
            <v>305546893</v>
          </cell>
          <cell r="D24">
            <v>209445459</v>
          </cell>
          <cell r="E24">
            <v>13704758</v>
          </cell>
          <cell r="F24">
            <v>22066535</v>
          </cell>
        </row>
        <row r="25">
          <cell r="B25" t="str">
            <v xml:space="preserve">Cuba </v>
          </cell>
          <cell r="C25">
            <v>0</v>
          </cell>
          <cell r="D25">
            <v>35749</v>
          </cell>
          <cell r="E25">
            <v>0</v>
          </cell>
          <cell r="F25">
            <v>2509</v>
          </cell>
        </row>
        <row r="26">
          <cell r="B26" t="str">
            <v xml:space="preserve">Chile </v>
          </cell>
          <cell r="C26">
            <v>112878449</v>
          </cell>
          <cell r="D26">
            <v>135737735</v>
          </cell>
          <cell r="E26">
            <v>659870</v>
          </cell>
          <cell r="F26">
            <v>488940</v>
          </cell>
        </row>
        <row r="27">
          <cell r="B27" t="str">
            <v xml:space="preserve">México </v>
          </cell>
          <cell r="C27">
            <v>369130351</v>
          </cell>
          <cell r="D27">
            <v>584734167</v>
          </cell>
          <cell r="E27">
            <v>88194904</v>
          </cell>
          <cell r="F27">
            <v>63178471</v>
          </cell>
        </row>
        <row r="28">
          <cell r="B28" t="str">
            <v xml:space="preserve">Paraguay </v>
          </cell>
          <cell r="C28">
            <v>525084</v>
          </cell>
          <cell r="D28">
            <v>1546170</v>
          </cell>
          <cell r="E28">
            <v>73212</v>
          </cell>
          <cell r="F28">
            <v>106244</v>
          </cell>
        </row>
        <row r="29">
          <cell r="B29" t="str">
            <v xml:space="preserve">Uruguay </v>
          </cell>
          <cell r="C29">
            <v>31338413</v>
          </cell>
          <cell r="D29">
            <v>34273746</v>
          </cell>
          <cell r="E29">
            <v>3198197</v>
          </cell>
          <cell r="F29">
            <v>4204552</v>
          </cell>
        </row>
        <row r="30">
          <cell r="B30" t="str">
            <v>Venezuela</v>
          </cell>
          <cell r="C30">
            <v>67474984</v>
          </cell>
          <cell r="D30">
            <v>5250143</v>
          </cell>
          <cell r="E30">
            <v>400037</v>
          </cell>
          <cell r="F30">
            <v>621230</v>
          </cell>
        </row>
        <row r="44">
          <cell r="B44" t="str">
            <v xml:space="preserve">Canadá </v>
          </cell>
          <cell r="C44">
            <v>17222393</v>
          </cell>
          <cell r="D44">
            <v>19534656</v>
          </cell>
          <cell r="E44">
            <v>1723912</v>
          </cell>
          <cell r="F44">
            <v>1701006</v>
          </cell>
        </row>
        <row r="45">
          <cell r="B45" t="str">
            <v>Estados Unidos</v>
          </cell>
          <cell r="C45">
            <v>1544824034</v>
          </cell>
          <cell r="D45">
            <v>1700256649</v>
          </cell>
          <cell r="E45">
            <v>158473844</v>
          </cell>
          <cell r="F45">
            <v>142139430</v>
          </cell>
        </row>
        <row r="59">
          <cell r="B59" t="str">
            <v xml:space="preserve">Alemania </v>
          </cell>
          <cell r="C59">
            <v>200008912</v>
          </cell>
          <cell r="D59">
            <v>273921120</v>
          </cell>
          <cell r="E59">
            <v>63530846</v>
          </cell>
          <cell r="F59">
            <v>16067707</v>
          </cell>
        </row>
        <row r="60">
          <cell r="B60" t="str">
            <v xml:space="preserve">Bélgica </v>
          </cell>
          <cell r="C60">
            <v>108215783</v>
          </cell>
          <cell r="D60">
            <v>142526774</v>
          </cell>
          <cell r="E60">
            <v>11808511</v>
          </cell>
          <cell r="F60">
            <v>14168476</v>
          </cell>
        </row>
        <row r="61">
          <cell r="B61" t="str">
            <v xml:space="preserve">Dinamarca </v>
          </cell>
          <cell r="C61">
            <v>12192684</v>
          </cell>
          <cell r="D61">
            <v>18731145</v>
          </cell>
          <cell r="E61">
            <v>828919</v>
          </cell>
          <cell r="F61">
            <v>1852543</v>
          </cell>
        </row>
        <row r="62">
          <cell r="B62" t="str">
            <v xml:space="preserve">España </v>
          </cell>
          <cell r="C62">
            <v>53056781</v>
          </cell>
          <cell r="D62">
            <v>30450796</v>
          </cell>
          <cell r="E62">
            <v>2641987</v>
          </cell>
          <cell r="F62">
            <v>2485351</v>
          </cell>
        </row>
        <row r="63">
          <cell r="B63" t="str">
            <v xml:space="preserve">Finlandia </v>
          </cell>
          <cell r="C63">
            <v>27317936</v>
          </cell>
          <cell r="D63">
            <v>30471753</v>
          </cell>
          <cell r="E63">
            <v>1151455</v>
          </cell>
          <cell r="F63">
            <v>1991456</v>
          </cell>
        </row>
        <row r="64">
          <cell r="B64" t="str">
            <v xml:space="preserve">Francia </v>
          </cell>
          <cell r="C64">
            <v>910136077</v>
          </cell>
          <cell r="D64">
            <v>437885193</v>
          </cell>
          <cell r="E64">
            <v>65449120</v>
          </cell>
          <cell r="F64">
            <v>9060399</v>
          </cell>
        </row>
        <row r="65">
          <cell r="B65" t="str">
            <v xml:space="preserve">Italia </v>
          </cell>
          <cell r="C65">
            <v>30370169</v>
          </cell>
          <cell r="D65">
            <v>54190722</v>
          </cell>
          <cell r="E65">
            <v>3384499</v>
          </cell>
          <cell r="F65">
            <v>5603722</v>
          </cell>
        </row>
        <row r="66">
          <cell r="B66" t="str">
            <v xml:space="preserve">Países Bajos </v>
          </cell>
          <cell r="C66">
            <v>129842340</v>
          </cell>
          <cell r="D66">
            <v>121309019</v>
          </cell>
          <cell r="E66">
            <v>13564008</v>
          </cell>
          <cell r="F66">
            <v>11300230</v>
          </cell>
        </row>
        <row r="67">
          <cell r="B67" t="str">
            <v xml:space="preserve">Reino Unido </v>
          </cell>
          <cell r="C67">
            <v>156653579</v>
          </cell>
          <cell r="D67">
            <v>134989868</v>
          </cell>
          <cell r="E67">
            <v>9614229</v>
          </cell>
          <cell r="F67">
            <v>10343531</v>
          </cell>
        </row>
        <row r="68">
          <cell r="B68" t="str">
            <v xml:space="preserve">Suecia </v>
          </cell>
          <cell r="C68">
            <v>19910533</v>
          </cell>
          <cell r="D68">
            <v>23964733</v>
          </cell>
          <cell r="E68">
            <v>1539487</v>
          </cell>
          <cell r="F68">
            <v>2491551</v>
          </cell>
        </row>
        <row r="69">
          <cell r="B69" t="str">
            <v xml:space="preserve">Resto </v>
          </cell>
          <cell r="C69">
            <v>85022618</v>
          </cell>
          <cell r="D69">
            <v>29758174</v>
          </cell>
          <cell r="E69">
            <v>3803351</v>
          </cell>
          <cell r="F69">
            <v>2691323</v>
          </cell>
        </row>
        <row r="83">
          <cell r="B83" t="str">
            <v>Corea del Sur</v>
          </cell>
          <cell r="C83">
            <v>31978119</v>
          </cell>
          <cell r="D83">
            <v>122476599</v>
          </cell>
          <cell r="E83">
            <v>2866041</v>
          </cell>
          <cell r="F83">
            <v>2265748</v>
          </cell>
        </row>
        <row r="84">
          <cell r="B84" t="str">
            <v xml:space="preserve">China </v>
          </cell>
          <cell r="C84">
            <v>289184882</v>
          </cell>
          <cell r="D84">
            <v>510119496</v>
          </cell>
          <cell r="E84">
            <v>37202175</v>
          </cell>
          <cell r="F84">
            <v>66090330</v>
          </cell>
        </row>
        <row r="85">
          <cell r="B85" t="str">
            <v xml:space="preserve">Japón </v>
          </cell>
          <cell r="C85">
            <v>36833303</v>
          </cell>
          <cell r="D85">
            <v>30682045</v>
          </cell>
          <cell r="E85">
            <v>2588499</v>
          </cell>
          <cell r="F85">
            <v>2955194</v>
          </cell>
        </row>
      </sheetData>
    </sheetDataSet>
  </externalBook>
</externalLink>
</file>

<file path=xl/externalLinks/externalLink16.xml><?xml version="1.0" encoding="utf-8"?>
<externalLink xmlns="http://schemas.openxmlformats.org/spreadsheetml/2006/main">
  <externalBook xmlns:r="http://schemas.openxmlformats.org/officeDocument/2006/relationships" r:id="rId1">
    <sheetNames>
      <sheetName val="Historico"/>
    </sheetNames>
    <sheetDataSet>
      <sheetData sheetId="0">
        <row r="7">
          <cell r="B7">
            <v>671009923</v>
          </cell>
          <cell r="C7">
            <v>872229536</v>
          </cell>
          <cell r="D7">
            <v>991004364</v>
          </cell>
          <cell r="E7">
            <v>1365154295</v>
          </cell>
          <cell r="F7">
            <v>1175533729</v>
          </cell>
        </row>
        <row r="8">
          <cell r="B8">
            <v>667240381</v>
          </cell>
          <cell r="C8">
            <v>976402987</v>
          </cell>
          <cell r="D8">
            <v>1092396122</v>
          </cell>
          <cell r="E8">
            <v>1087848133</v>
          </cell>
          <cell r="F8">
            <v>1168950225</v>
          </cell>
        </row>
        <row r="9">
          <cell r="B9">
            <v>853757599</v>
          </cell>
          <cell r="C9">
            <v>1024479975</v>
          </cell>
          <cell r="D9">
            <v>1042028836</v>
          </cell>
          <cell r="E9">
            <v>1024142943</v>
          </cell>
          <cell r="F9">
            <v>1516204131</v>
          </cell>
        </row>
        <row r="10">
          <cell r="B10">
            <v>812671376</v>
          </cell>
          <cell r="C10">
            <v>871516448</v>
          </cell>
          <cell r="D10">
            <v>1243650186</v>
          </cell>
          <cell r="E10">
            <v>1164941495</v>
          </cell>
          <cell r="F10">
            <v>1325559384</v>
          </cell>
        </row>
        <row r="11">
          <cell r="B11">
            <v>923680342</v>
          </cell>
          <cell r="C11">
            <v>1035234734</v>
          </cell>
          <cell r="D11">
            <v>1167285476</v>
          </cell>
          <cell r="E11">
            <v>981429242</v>
          </cell>
          <cell r="F11">
            <v>1399509950</v>
          </cell>
        </row>
        <row r="12">
          <cell r="B12">
            <v>895818221</v>
          </cell>
          <cell r="C12">
            <v>958249858</v>
          </cell>
          <cell r="D12">
            <v>1185917839</v>
          </cell>
          <cell r="E12">
            <v>998382557</v>
          </cell>
          <cell r="F12">
            <v>1361948779</v>
          </cell>
        </row>
        <row r="13">
          <cell r="B13">
            <v>869106689</v>
          </cell>
          <cell r="C13">
            <v>983327343</v>
          </cell>
          <cell r="D13">
            <v>1302702124</v>
          </cell>
          <cell r="E13">
            <v>1374549686</v>
          </cell>
          <cell r="F13">
            <v>1523659805</v>
          </cell>
        </row>
        <row r="14">
          <cell r="B14">
            <v>897904260</v>
          </cell>
          <cell r="C14">
            <v>1080361685</v>
          </cell>
          <cell r="D14">
            <v>1129622645</v>
          </cell>
          <cell r="E14">
            <v>1101823615</v>
          </cell>
          <cell r="F14">
            <v>1556157787</v>
          </cell>
        </row>
        <row r="15">
          <cell r="B15">
            <v>849776802</v>
          </cell>
          <cell r="C15">
            <v>1031747233</v>
          </cell>
          <cell r="D15">
            <v>1228642346</v>
          </cell>
          <cell r="E15">
            <v>1166823037</v>
          </cell>
          <cell r="F15">
            <v>1794200102</v>
          </cell>
        </row>
        <row r="16">
          <cell r="B16">
            <v>877772369</v>
          </cell>
          <cell r="C16">
            <v>1183664924</v>
          </cell>
          <cell r="D16">
            <v>1350050242</v>
          </cell>
          <cell r="E16">
            <v>1265998249</v>
          </cell>
          <cell r="F16">
            <v>1619319872</v>
          </cell>
        </row>
        <row r="17">
          <cell r="B17">
            <v>956491077</v>
          </cell>
          <cell r="C17">
            <v>1214735728</v>
          </cell>
          <cell r="D17">
            <v>1414186552</v>
          </cell>
          <cell r="E17">
            <v>1112431555</v>
          </cell>
        </row>
        <row r="18">
          <cell r="B18">
            <v>950879883</v>
          </cell>
          <cell r="C18">
            <v>1108972560</v>
          </cell>
          <cell r="D18">
            <v>1260684656</v>
          </cell>
          <cell r="E18">
            <v>1328639623</v>
          </cell>
        </row>
        <row r="32">
          <cell r="B32">
            <v>48227210</v>
          </cell>
          <cell r="C32">
            <v>39320000</v>
          </cell>
          <cell r="D32">
            <v>41336759</v>
          </cell>
          <cell r="E32">
            <v>38668282</v>
          </cell>
          <cell r="F32">
            <v>43958783</v>
          </cell>
        </row>
        <row r="33">
          <cell r="B33">
            <v>14353845</v>
          </cell>
          <cell r="C33">
            <v>35166769</v>
          </cell>
          <cell r="D33">
            <v>40057321</v>
          </cell>
          <cell r="E33">
            <v>28670425</v>
          </cell>
          <cell r="F33">
            <v>47190815</v>
          </cell>
        </row>
        <row r="34">
          <cell r="B34">
            <v>51424910</v>
          </cell>
          <cell r="C34">
            <v>29004576</v>
          </cell>
          <cell r="D34">
            <v>26782728</v>
          </cell>
          <cell r="E34">
            <v>46714812</v>
          </cell>
          <cell r="F34">
            <v>59482695</v>
          </cell>
        </row>
        <row r="35">
          <cell r="B35">
            <v>25833166</v>
          </cell>
          <cell r="C35">
            <v>30844959</v>
          </cell>
          <cell r="D35">
            <v>35672542</v>
          </cell>
          <cell r="E35">
            <v>37528329</v>
          </cell>
          <cell r="F35">
            <v>67349545</v>
          </cell>
        </row>
        <row r="36">
          <cell r="B36">
            <v>44312790</v>
          </cell>
          <cell r="C36">
            <v>29636235</v>
          </cell>
          <cell r="D36">
            <v>36490602</v>
          </cell>
          <cell r="E36">
            <v>35578635</v>
          </cell>
          <cell r="F36">
            <v>44573290</v>
          </cell>
        </row>
        <row r="37">
          <cell r="B37">
            <v>31141197</v>
          </cell>
          <cell r="C37">
            <v>23305485</v>
          </cell>
          <cell r="D37">
            <v>42842741</v>
          </cell>
          <cell r="E37">
            <v>43399468</v>
          </cell>
          <cell r="F37">
            <v>52674779</v>
          </cell>
        </row>
        <row r="38">
          <cell r="B38">
            <v>55884694</v>
          </cell>
          <cell r="C38">
            <v>28465610</v>
          </cell>
          <cell r="D38">
            <v>44067670</v>
          </cell>
          <cell r="E38">
            <v>50850553</v>
          </cell>
          <cell r="F38">
            <v>53804777</v>
          </cell>
        </row>
        <row r="39">
          <cell r="B39">
            <v>62740422</v>
          </cell>
          <cell r="C39">
            <v>25768761</v>
          </cell>
          <cell r="D39">
            <v>54979469</v>
          </cell>
          <cell r="E39">
            <v>40015101</v>
          </cell>
          <cell r="F39">
            <v>52476966</v>
          </cell>
        </row>
        <row r="40">
          <cell r="B40">
            <v>19997391</v>
          </cell>
          <cell r="C40">
            <v>24355043</v>
          </cell>
          <cell r="D40">
            <v>36165873</v>
          </cell>
          <cell r="E40">
            <v>34030462</v>
          </cell>
          <cell r="F40">
            <v>59125891</v>
          </cell>
        </row>
        <row r="41">
          <cell r="B41">
            <v>18898095</v>
          </cell>
          <cell r="C41">
            <v>40530788</v>
          </cell>
          <cell r="D41">
            <v>57182764</v>
          </cell>
          <cell r="E41">
            <v>44752462</v>
          </cell>
          <cell r="F41">
            <v>41996589</v>
          </cell>
        </row>
        <row r="42">
          <cell r="B42">
            <v>60230030</v>
          </cell>
          <cell r="C42">
            <v>43074627</v>
          </cell>
          <cell r="D42">
            <v>73106142</v>
          </cell>
          <cell r="E42">
            <v>40384564</v>
          </cell>
        </row>
        <row r="43">
          <cell r="B43">
            <v>26470619</v>
          </cell>
          <cell r="C43">
            <v>25632357</v>
          </cell>
          <cell r="D43">
            <v>39080975</v>
          </cell>
          <cell r="E43">
            <v>51826391</v>
          </cell>
        </row>
        <row r="57">
          <cell r="B57">
            <v>618774446</v>
          </cell>
          <cell r="C57">
            <v>826621781</v>
          </cell>
          <cell r="D57">
            <v>942180598</v>
          </cell>
          <cell r="E57">
            <v>1317747403</v>
          </cell>
          <cell r="F57">
            <v>1124191757</v>
          </cell>
        </row>
        <row r="58">
          <cell r="B58">
            <v>649316200</v>
          </cell>
          <cell r="C58">
            <v>936247418</v>
          </cell>
          <cell r="D58">
            <v>1045468404</v>
          </cell>
          <cell r="E58">
            <v>1052961249</v>
          </cell>
          <cell r="F58">
            <v>1115019081</v>
          </cell>
        </row>
        <row r="59">
          <cell r="B59">
            <v>798732322</v>
          </cell>
          <cell r="C59">
            <v>990819268</v>
          </cell>
          <cell r="D59">
            <v>1009817574</v>
          </cell>
          <cell r="E59">
            <v>971718358</v>
          </cell>
          <cell r="F59">
            <v>1445815370</v>
          </cell>
        </row>
        <row r="60">
          <cell r="B60">
            <v>783593401</v>
          </cell>
          <cell r="C60">
            <v>836174717</v>
          </cell>
          <cell r="D60">
            <v>1200638087</v>
          </cell>
          <cell r="E60">
            <v>1122003913</v>
          </cell>
          <cell r="F60">
            <v>1246520870</v>
          </cell>
        </row>
        <row r="61">
          <cell r="B61">
            <v>874821123</v>
          </cell>
          <cell r="C61">
            <v>1001227849</v>
          </cell>
          <cell r="D61">
            <v>1125758704</v>
          </cell>
          <cell r="E61">
            <v>942356146</v>
          </cell>
          <cell r="F61">
            <v>1345434754</v>
          </cell>
        </row>
        <row r="62">
          <cell r="B62">
            <v>861111577</v>
          </cell>
          <cell r="C62">
            <v>930973434</v>
          </cell>
          <cell r="D62">
            <v>1136810397</v>
          </cell>
          <cell r="E62">
            <v>948937210</v>
          </cell>
          <cell r="F62">
            <v>1301451678</v>
          </cell>
        </row>
        <row r="63">
          <cell r="B63">
            <v>809712761</v>
          </cell>
          <cell r="C63">
            <v>949486277</v>
          </cell>
          <cell r="D63">
            <v>1250215002</v>
          </cell>
          <cell r="E63">
            <v>1316649748</v>
          </cell>
          <cell r="F63">
            <v>1461994894</v>
          </cell>
        </row>
        <row r="64">
          <cell r="B64">
            <v>829545498</v>
          </cell>
          <cell r="C64">
            <v>1047989386</v>
          </cell>
          <cell r="D64">
            <v>1065164196</v>
          </cell>
          <cell r="E64">
            <v>1055355927</v>
          </cell>
          <cell r="F64">
            <v>1494208519</v>
          </cell>
        </row>
        <row r="65">
          <cell r="B65">
            <v>824773901</v>
          </cell>
          <cell r="C65">
            <v>999398679</v>
          </cell>
          <cell r="D65">
            <v>1183118835</v>
          </cell>
          <cell r="E65">
            <v>1126720063</v>
          </cell>
          <cell r="F65">
            <v>1727140667</v>
          </cell>
        </row>
        <row r="66">
          <cell r="B66">
            <v>854000548</v>
          </cell>
          <cell r="C66">
            <v>1135297827</v>
          </cell>
          <cell r="D66">
            <v>1283337760</v>
          </cell>
          <cell r="E66">
            <v>1215402500</v>
          </cell>
          <cell r="F66">
            <v>1569930573</v>
          </cell>
        </row>
        <row r="67">
          <cell r="B67">
            <v>890307918</v>
          </cell>
          <cell r="C67">
            <v>1165529213</v>
          </cell>
          <cell r="D67">
            <v>1334886175</v>
          </cell>
          <cell r="E67">
            <v>1064666753</v>
          </cell>
        </row>
        <row r="68">
          <cell r="B68">
            <v>915865206</v>
          </cell>
          <cell r="C68">
            <v>1077153903</v>
          </cell>
          <cell r="D68">
            <v>1215069955</v>
          </cell>
          <cell r="E68">
            <v>1268584965</v>
          </cell>
        </row>
        <row r="82">
          <cell r="B82">
            <v>79761513</v>
          </cell>
          <cell r="C82">
            <v>101682573</v>
          </cell>
          <cell r="D82">
            <v>99665752</v>
          </cell>
          <cell r="E82">
            <v>106041322</v>
          </cell>
          <cell r="F82">
            <v>102461524</v>
          </cell>
        </row>
        <row r="83">
          <cell r="B83">
            <v>75545456</v>
          </cell>
          <cell r="C83">
            <v>76350601</v>
          </cell>
          <cell r="D83">
            <v>95701430</v>
          </cell>
          <cell r="E83">
            <v>85321374</v>
          </cell>
          <cell r="F83">
            <v>98130954</v>
          </cell>
        </row>
        <row r="84">
          <cell r="B84">
            <v>69337988</v>
          </cell>
          <cell r="C84">
            <v>94874535</v>
          </cell>
          <cell r="D84">
            <v>99065320</v>
          </cell>
          <cell r="E84">
            <v>101777687</v>
          </cell>
          <cell r="F84">
            <v>137346865</v>
          </cell>
        </row>
        <row r="85">
          <cell r="B85">
            <v>105313876</v>
          </cell>
          <cell r="C85">
            <v>87989884</v>
          </cell>
          <cell r="D85">
            <v>112880763</v>
          </cell>
          <cell r="E85">
            <v>91814466</v>
          </cell>
          <cell r="F85">
            <v>135422771</v>
          </cell>
        </row>
        <row r="86">
          <cell r="B86">
            <v>68936421</v>
          </cell>
          <cell r="C86">
            <v>99835321</v>
          </cell>
          <cell r="D86">
            <v>110047045</v>
          </cell>
          <cell r="E86">
            <v>94888999</v>
          </cell>
          <cell r="F86">
            <v>143319278</v>
          </cell>
        </row>
        <row r="87">
          <cell r="B87">
            <v>95791689</v>
          </cell>
          <cell r="C87">
            <v>96517592</v>
          </cell>
          <cell r="D87">
            <v>108975738</v>
          </cell>
          <cell r="E87">
            <v>95849572</v>
          </cell>
          <cell r="F87">
            <v>143883299</v>
          </cell>
        </row>
        <row r="88">
          <cell r="B88">
            <v>71701869</v>
          </cell>
          <cell r="C88">
            <v>92787089</v>
          </cell>
          <cell r="D88">
            <v>127652149</v>
          </cell>
          <cell r="E88">
            <v>106620969</v>
          </cell>
          <cell r="F88">
            <v>150021198</v>
          </cell>
        </row>
        <row r="89">
          <cell r="B89">
            <v>82980458</v>
          </cell>
          <cell r="C89">
            <v>91229917</v>
          </cell>
          <cell r="D89">
            <v>113311092</v>
          </cell>
          <cell r="E89">
            <v>107776649</v>
          </cell>
          <cell r="F89">
            <v>166188832</v>
          </cell>
        </row>
        <row r="90">
          <cell r="B90">
            <v>92458472</v>
          </cell>
          <cell r="C90">
            <v>94827505</v>
          </cell>
          <cell r="D90">
            <v>108538030</v>
          </cell>
          <cell r="E90">
            <v>106417785</v>
          </cell>
          <cell r="F90">
            <v>188452735</v>
          </cell>
        </row>
        <row r="91">
          <cell r="B91">
            <v>88930344</v>
          </cell>
          <cell r="C91">
            <v>103274103</v>
          </cell>
          <cell r="D91">
            <v>126682428</v>
          </cell>
          <cell r="E91">
            <v>113913602</v>
          </cell>
          <cell r="F91">
            <v>232461015</v>
          </cell>
        </row>
        <row r="92">
          <cell r="B92">
            <v>97338746</v>
          </cell>
          <cell r="C92">
            <v>99293338</v>
          </cell>
          <cell r="D92">
            <v>106465921</v>
          </cell>
          <cell r="E92">
            <v>117345350</v>
          </cell>
        </row>
        <row r="93">
          <cell r="B93">
            <v>98379112</v>
          </cell>
          <cell r="C93">
            <v>83608660</v>
          </cell>
          <cell r="D93">
            <v>112214927</v>
          </cell>
          <cell r="E93">
            <v>121744673</v>
          </cell>
        </row>
        <row r="107">
          <cell r="B107">
            <v>73130005</v>
          </cell>
          <cell r="C107">
            <v>101404296</v>
          </cell>
          <cell r="D107">
            <v>145647836</v>
          </cell>
          <cell r="E107">
            <v>185395669</v>
          </cell>
          <cell r="F107">
            <v>128124262</v>
          </cell>
        </row>
        <row r="108">
          <cell r="B108">
            <v>72216193</v>
          </cell>
          <cell r="C108">
            <v>98224159</v>
          </cell>
          <cell r="D108">
            <v>124608467</v>
          </cell>
          <cell r="E108">
            <v>127712198</v>
          </cell>
          <cell r="F108">
            <v>158815571</v>
          </cell>
        </row>
        <row r="109">
          <cell r="B109">
            <v>83472690</v>
          </cell>
          <cell r="C109">
            <v>110373496</v>
          </cell>
          <cell r="D109">
            <v>119281124</v>
          </cell>
          <cell r="E109">
            <v>117754178</v>
          </cell>
          <cell r="F109">
            <v>189945907</v>
          </cell>
        </row>
        <row r="110">
          <cell r="B110">
            <v>79674304</v>
          </cell>
          <cell r="C110">
            <v>108527657</v>
          </cell>
          <cell r="D110">
            <v>153417817</v>
          </cell>
          <cell r="E110">
            <v>125964979</v>
          </cell>
          <cell r="F110">
            <v>160877749</v>
          </cell>
        </row>
        <row r="111">
          <cell r="B111">
            <v>93555998</v>
          </cell>
          <cell r="C111">
            <v>123460783</v>
          </cell>
          <cell r="D111">
            <v>145395260</v>
          </cell>
          <cell r="E111">
            <v>109471045</v>
          </cell>
          <cell r="F111">
            <v>158416368</v>
          </cell>
        </row>
        <row r="112">
          <cell r="B112">
            <v>94364074</v>
          </cell>
          <cell r="C112">
            <v>121987472</v>
          </cell>
          <cell r="D112">
            <v>133375661</v>
          </cell>
          <cell r="E112">
            <v>122924665</v>
          </cell>
          <cell r="F112">
            <v>196421229</v>
          </cell>
        </row>
        <row r="113">
          <cell r="B113">
            <v>82397589</v>
          </cell>
          <cell r="C113">
            <v>134384868</v>
          </cell>
          <cell r="D113">
            <v>169164751</v>
          </cell>
          <cell r="E113">
            <v>142199203</v>
          </cell>
          <cell r="F113">
            <v>224740332</v>
          </cell>
        </row>
        <row r="114">
          <cell r="B114">
            <v>107199282</v>
          </cell>
          <cell r="C114">
            <v>156487016</v>
          </cell>
          <cell r="D114">
            <v>167158962</v>
          </cell>
          <cell r="E114">
            <v>136700203</v>
          </cell>
          <cell r="F114">
            <v>228667538</v>
          </cell>
        </row>
        <row r="115">
          <cell r="B115">
            <v>107304660</v>
          </cell>
          <cell r="C115">
            <v>140890304</v>
          </cell>
          <cell r="D115">
            <v>171788901</v>
          </cell>
          <cell r="E115">
            <v>153863444</v>
          </cell>
          <cell r="F115">
            <v>260890746</v>
          </cell>
        </row>
        <row r="116">
          <cell r="B116">
            <v>119109435</v>
          </cell>
          <cell r="C116">
            <v>155780857</v>
          </cell>
          <cell r="D116">
            <v>193556869</v>
          </cell>
          <cell r="E116">
            <v>157769708</v>
          </cell>
          <cell r="F116">
            <v>259159730</v>
          </cell>
        </row>
        <row r="117">
          <cell r="B117">
            <v>129621695</v>
          </cell>
          <cell r="C117">
            <v>170365208</v>
          </cell>
          <cell r="D117">
            <v>197899623</v>
          </cell>
          <cell r="E117">
            <v>144802286</v>
          </cell>
        </row>
        <row r="118">
          <cell r="B118">
            <v>107463448</v>
          </cell>
          <cell r="C118">
            <v>137491218</v>
          </cell>
          <cell r="D118">
            <v>166167325</v>
          </cell>
          <cell r="E118">
            <v>175981752</v>
          </cell>
        </row>
        <row r="132">
          <cell r="B132">
            <v>219868469</v>
          </cell>
          <cell r="C132">
            <v>307599060</v>
          </cell>
          <cell r="D132">
            <v>307987007</v>
          </cell>
          <cell r="E132">
            <v>385681219</v>
          </cell>
          <cell r="F132">
            <v>332777555</v>
          </cell>
        </row>
        <row r="133">
          <cell r="B133">
            <v>220035617</v>
          </cell>
          <cell r="C133">
            <v>325995505</v>
          </cell>
          <cell r="D133">
            <v>330330783</v>
          </cell>
          <cell r="E133">
            <v>319586945</v>
          </cell>
          <cell r="F133">
            <v>352404042</v>
          </cell>
        </row>
        <row r="134">
          <cell r="B134">
            <v>274678087</v>
          </cell>
          <cell r="C134">
            <v>346518847</v>
          </cell>
          <cell r="D134">
            <v>323041798</v>
          </cell>
          <cell r="E134">
            <v>313553589</v>
          </cell>
          <cell r="F134">
            <v>435926877</v>
          </cell>
        </row>
        <row r="135">
          <cell r="B135">
            <v>245867677</v>
          </cell>
          <cell r="C135">
            <v>324442706</v>
          </cell>
          <cell r="D135">
            <v>416049994</v>
          </cell>
          <cell r="E135">
            <v>304515036</v>
          </cell>
          <cell r="F135">
            <v>415839396</v>
          </cell>
        </row>
        <row r="136">
          <cell r="B136">
            <v>286629022</v>
          </cell>
          <cell r="C136">
            <v>379477561</v>
          </cell>
          <cell r="D136">
            <v>390293453</v>
          </cell>
          <cell r="E136">
            <v>272696479</v>
          </cell>
          <cell r="F136">
            <v>412747434</v>
          </cell>
        </row>
        <row r="137">
          <cell r="B137">
            <v>294503866</v>
          </cell>
          <cell r="C137">
            <v>355226471</v>
          </cell>
          <cell r="D137">
            <v>386486374</v>
          </cell>
          <cell r="E137">
            <v>279702248</v>
          </cell>
          <cell r="F137">
            <v>483927327</v>
          </cell>
        </row>
        <row r="138">
          <cell r="B138">
            <v>294942800</v>
          </cell>
          <cell r="C138">
            <v>347715509</v>
          </cell>
          <cell r="D138">
            <v>442181410</v>
          </cell>
          <cell r="E138">
            <v>359357214</v>
          </cell>
          <cell r="F138">
            <v>462481727</v>
          </cell>
        </row>
        <row r="139">
          <cell r="B139">
            <v>308958210</v>
          </cell>
          <cell r="C139">
            <v>387500207</v>
          </cell>
          <cell r="D139">
            <v>374717530</v>
          </cell>
          <cell r="E139">
            <v>293921181</v>
          </cell>
          <cell r="F139">
            <v>469910598</v>
          </cell>
        </row>
        <row r="140">
          <cell r="B140">
            <v>316964643</v>
          </cell>
          <cell r="C140">
            <v>351284328</v>
          </cell>
          <cell r="D140">
            <v>355212004</v>
          </cell>
          <cell r="E140">
            <v>337850086</v>
          </cell>
          <cell r="F140">
            <v>513445965</v>
          </cell>
        </row>
        <row r="141">
          <cell r="B141">
            <v>332484514</v>
          </cell>
          <cell r="C141">
            <v>385222872</v>
          </cell>
          <cell r="D141">
            <v>440984618</v>
          </cell>
          <cell r="E141">
            <v>381155459</v>
          </cell>
          <cell r="F141">
            <v>620937364</v>
          </cell>
        </row>
        <row r="142">
          <cell r="B142">
            <v>337145123</v>
          </cell>
          <cell r="C142">
            <v>362243169</v>
          </cell>
          <cell r="D142">
            <v>407744191</v>
          </cell>
          <cell r="E142">
            <v>341720873</v>
          </cell>
        </row>
        <row r="143">
          <cell r="B143">
            <v>309465263</v>
          </cell>
          <cell r="C143">
            <v>352932535</v>
          </cell>
          <cell r="D143">
            <v>372721754</v>
          </cell>
          <cell r="E143">
            <v>393343590</v>
          </cell>
        </row>
        <row r="157">
          <cell r="B157">
            <v>246014458</v>
          </cell>
          <cell r="C157">
            <v>315935852</v>
          </cell>
          <cell r="D157">
            <v>388880003</v>
          </cell>
          <cell r="E157">
            <v>640629193</v>
          </cell>
          <cell r="F157">
            <v>560828415</v>
          </cell>
        </row>
        <row r="158">
          <cell r="B158">
            <v>281518934</v>
          </cell>
          <cell r="C158">
            <v>435677152</v>
          </cell>
          <cell r="D158">
            <v>494827724</v>
          </cell>
          <cell r="E158">
            <v>520340732</v>
          </cell>
          <cell r="F158">
            <v>505668514</v>
          </cell>
        </row>
        <row r="159">
          <cell r="B159">
            <v>371243557</v>
          </cell>
          <cell r="C159">
            <v>439052390</v>
          </cell>
          <cell r="D159">
            <v>468429331</v>
          </cell>
          <cell r="E159">
            <v>438632904</v>
          </cell>
          <cell r="F159">
            <v>682595721</v>
          </cell>
        </row>
        <row r="160">
          <cell r="B160">
            <v>352737544</v>
          </cell>
          <cell r="C160">
            <v>315214469</v>
          </cell>
          <cell r="D160">
            <v>518289513</v>
          </cell>
          <cell r="E160">
            <v>599709432</v>
          </cell>
          <cell r="F160">
            <v>534380954</v>
          </cell>
        </row>
        <row r="161">
          <cell r="B161">
            <v>425699681</v>
          </cell>
          <cell r="C161">
            <v>398454184</v>
          </cell>
          <cell r="D161">
            <v>480022947</v>
          </cell>
          <cell r="E161">
            <v>465299623</v>
          </cell>
          <cell r="F161">
            <v>630951675</v>
          </cell>
        </row>
        <row r="162">
          <cell r="B162">
            <v>376451948</v>
          </cell>
          <cell r="C162">
            <v>357241899</v>
          </cell>
          <cell r="D162">
            <v>507972624</v>
          </cell>
          <cell r="E162">
            <v>450460725</v>
          </cell>
          <cell r="F162">
            <v>477219823</v>
          </cell>
        </row>
        <row r="163">
          <cell r="B163">
            <v>360670503</v>
          </cell>
          <cell r="C163">
            <v>374598811</v>
          </cell>
          <cell r="D163">
            <v>511216693</v>
          </cell>
          <cell r="E163">
            <v>708472362</v>
          </cell>
          <cell r="F163">
            <v>624751637</v>
          </cell>
        </row>
        <row r="164">
          <cell r="B164">
            <v>330407548</v>
          </cell>
          <cell r="C164">
            <v>412772245</v>
          </cell>
          <cell r="D164">
            <v>409976613</v>
          </cell>
          <cell r="E164">
            <v>516957894</v>
          </cell>
          <cell r="F164">
            <v>629441552</v>
          </cell>
        </row>
        <row r="165">
          <cell r="B165">
            <v>308046127</v>
          </cell>
          <cell r="C165">
            <v>412396541</v>
          </cell>
          <cell r="D165">
            <v>547579900</v>
          </cell>
          <cell r="E165">
            <v>528588748</v>
          </cell>
          <cell r="F165">
            <v>764351220</v>
          </cell>
        </row>
        <row r="166">
          <cell r="B166">
            <v>313476255</v>
          </cell>
          <cell r="C166">
            <v>491019995</v>
          </cell>
          <cell r="D166">
            <v>522113845</v>
          </cell>
          <cell r="E166">
            <v>562563731</v>
          </cell>
          <cell r="F166">
            <v>457372463</v>
          </cell>
        </row>
        <row r="167">
          <cell r="B167">
            <v>326202354</v>
          </cell>
          <cell r="C167">
            <v>533627497</v>
          </cell>
          <cell r="D167">
            <v>622776439</v>
          </cell>
          <cell r="E167">
            <v>460798245</v>
          </cell>
        </row>
        <row r="168">
          <cell r="B168">
            <v>400557383</v>
          </cell>
          <cell r="C168">
            <v>503121490</v>
          </cell>
          <cell r="D168">
            <v>563965949</v>
          </cell>
          <cell r="E168">
            <v>577514950</v>
          </cell>
        </row>
      </sheetData>
    </sheetDataSet>
  </externalBook>
</externalLink>
</file>

<file path=xl/externalLinks/externalLink17.xml><?xml version="1.0" encoding="utf-8"?>
<externalLink xmlns="http://schemas.openxmlformats.org/spreadsheetml/2006/main">
  <externalBook xmlns:r="http://schemas.openxmlformats.org/officeDocument/2006/relationships" r:id="rId1">
    <sheetNames>
      <sheetName val="Total"/>
      <sheetName val="Primarios"/>
      <sheetName val="Manufacturas"/>
      <sheetName val="Rec_naturales"/>
      <sheetName val="Baja_tek"/>
      <sheetName val="Media_tek"/>
      <sheetName val="Alta_tek"/>
      <sheetName val="Pais1"/>
      <sheetName val="Pais2"/>
      <sheetName val="Pais3"/>
      <sheetName val="Pais4"/>
      <sheetName val="Pais5"/>
    </sheetNames>
    <sheetDataSet>
      <sheetData sheetId="0">
        <row r="10">
          <cell r="E10">
            <v>38961</v>
          </cell>
        </row>
        <row r="11">
          <cell r="E11">
            <v>38991</v>
          </cell>
        </row>
        <row r="12">
          <cell r="E12">
            <v>39022</v>
          </cell>
        </row>
        <row r="13">
          <cell r="E13">
            <v>39052</v>
          </cell>
          <cell r="F13">
            <v>852.17574345916637</v>
          </cell>
        </row>
        <row r="14">
          <cell r="E14">
            <v>39083</v>
          </cell>
          <cell r="F14">
            <v>868.94404450833247</v>
          </cell>
        </row>
        <row r="15">
          <cell r="E15">
            <v>39114</v>
          </cell>
          <cell r="F15">
            <v>894.70759506166723</v>
          </cell>
        </row>
        <row r="16">
          <cell r="E16">
            <v>39142</v>
          </cell>
          <cell r="F16">
            <v>908.93445967750006</v>
          </cell>
        </row>
        <row r="17">
          <cell r="E17">
            <v>39173</v>
          </cell>
          <cell r="F17">
            <v>913.83821571749968</v>
          </cell>
        </row>
        <row r="18">
          <cell r="E18">
            <v>39203</v>
          </cell>
          <cell r="F18">
            <v>923.13441499749979</v>
          </cell>
        </row>
        <row r="19">
          <cell r="E19">
            <v>39234</v>
          </cell>
          <cell r="F19">
            <v>928.33705142916608</v>
          </cell>
        </row>
        <row r="20">
          <cell r="E20">
            <v>39264</v>
          </cell>
          <cell r="F20">
            <v>937.85543926583284</v>
          </cell>
        </row>
        <row r="21">
          <cell r="E21">
            <v>39295</v>
          </cell>
          <cell r="F21">
            <v>953.06022468333322</v>
          </cell>
        </row>
        <row r="22">
          <cell r="E22">
            <v>39326</v>
          </cell>
          <cell r="F22">
            <v>968.22442730999956</v>
          </cell>
        </row>
        <row r="23">
          <cell r="E23">
            <v>39356</v>
          </cell>
          <cell r="F23">
            <v>993.71547356916756</v>
          </cell>
        </row>
        <row r="24">
          <cell r="E24">
            <v>39387</v>
          </cell>
          <cell r="F24">
            <v>1015.2358611424999</v>
          </cell>
        </row>
        <row r="25">
          <cell r="E25">
            <v>39417</v>
          </cell>
          <cell r="F25">
            <v>1028.410250830834</v>
          </cell>
        </row>
        <row r="26">
          <cell r="E26">
            <v>39448</v>
          </cell>
          <cell r="F26">
            <v>1038.3081531308349</v>
          </cell>
        </row>
        <row r="27">
          <cell r="E27">
            <v>39479</v>
          </cell>
          <cell r="F27">
            <v>1047.9742476800002</v>
          </cell>
        </row>
        <row r="28">
          <cell r="E28">
            <v>39508</v>
          </cell>
          <cell r="F28">
            <v>1049.4366528008338</v>
          </cell>
        </row>
        <row r="29">
          <cell r="E29">
            <v>39539</v>
          </cell>
          <cell r="F29">
            <v>1080.4477975649991</v>
          </cell>
        </row>
        <row r="30">
          <cell r="E30">
            <v>39569</v>
          </cell>
          <cell r="F30">
            <v>1091.4520261358309</v>
          </cell>
        </row>
        <row r="31">
          <cell r="E31">
            <v>39600</v>
          </cell>
          <cell r="F31">
            <v>1110.4243578849976</v>
          </cell>
        </row>
        <row r="32">
          <cell r="E32">
            <v>39630</v>
          </cell>
          <cell r="F32">
            <v>1137.0389230291626</v>
          </cell>
        </row>
        <row r="33">
          <cell r="E33">
            <v>39661</v>
          </cell>
          <cell r="F33">
            <v>1141.1440030349963</v>
          </cell>
        </row>
        <row r="34">
          <cell r="E34">
            <v>39692</v>
          </cell>
          <cell r="F34">
            <v>1157.5519290824959</v>
          </cell>
        </row>
        <row r="35">
          <cell r="E35">
            <v>39722</v>
          </cell>
          <cell r="F35">
            <v>1171.4173721791619</v>
          </cell>
        </row>
        <row r="36">
          <cell r="E36">
            <v>39753</v>
          </cell>
          <cell r="F36">
            <v>1188.0382741933292</v>
          </cell>
        </row>
        <row r="37">
          <cell r="E37">
            <v>39783</v>
          </cell>
          <cell r="F37">
            <v>1200.680948882494</v>
          </cell>
        </row>
        <row r="38">
          <cell r="E38">
            <v>39814</v>
          </cell>
          <cell r="F38">
            <v>1231.860109816661</v>
          </cell>
        </row>
        <row r="39">
          <cell r="E39">
            <v>39845</v>
          </cell>
          <cell r="F39">
            <v>1231.4811107208282</v>
          </cell>
        </row>
        <row r="40">
          <cell r="E40">
            <v>39873</v>
          </cell>
          <cell r="F40">
            <v>1229.9906196008287</v>
          </cell>
        </row>
        <row r="41">
          <cell r="E41">
            <v>39904</v>
          </cell>
          <cell r="F41">
            <v>1223.4315620333316</v>
          </cell>
        </row>
        <row r="42">
          <cell r="E42">
            <v>39934</v>
          </cell>
          <cell r="F42">
            <v>1207.9435425225008</v>
          </cell>
        </row>
        <row r="43">
          <cell r="E43">
            <v>39965</v>
          </cell>
          <cell r="F43">
            <v>1192.3156023775016</v>
          </cell>
        </row>
        <row r="44">
          <cell r="E44">
            <v>39995</v>
          </cell>
          <cell r="F44">
            <v>1198.3028991725041</v>
          </cell>
        </row>
        <row r="45">
          <cell r="E45">
            <v>40026</v>
          </cell>
          <cell r="F45">
            <v>1195.9863133375036</v>
          </cell>
        </row>
        <row r="46">
          <cell r="E46">
            <v>40057</v>
          </cell>
          <cell r="F46">
            <v>1190.834704262503</v>
          </cell>
        </row>
        <row r="47">
          <cell r="E47">
            <v>40087</v>
          </cell>
          <cell r="F47">
            <v>1183.8303715883355</v>
          </cell>
        </row>
        <row r="48">
          <cell r="E48">
            <v>40118</v>
          </cell>
          <cell r="F48">
            <v>1158.6841218266691</v>
          </cell>
        </row>
        <row r="49">
          <cell r="E49">
            <v>40148</v>
          </cell>
          <cell r="F49">
            <v>1164.3470357383371</v>
          </cell>
        </row>
        <row r="50">
          <cell r="E50">
            <v>40179</v>
          </cell>
          <cell r="F50">
            <v>1148.54532196167</v>
          </cell>
        </row>
        <row r="51">
          <cell r="E51">
            <v>40210</v>
          </cell>
          <cell r="F51">
            <v>1155.3038296425045</v>
          </cell>
        </row>
        <row r="52">
          <cell r="E52">
            <v>40238</v>
          </cell>
          <cell r="F52">
            <v>1196.3089286683366</v>
          </cell>
        </row>
        <row r="53">
          <cell r="E53">
            <v>40269</v>
          </cell>
          <cell r="F53">
            <v>1209.693752784166</v>
          </cell>
        </row>
        <row r="54">
          <cell r="E54">
            <v>40299</v>
          </cell>
          <cell r="F54">
            <v>1244.5338117974984</v>
          </cell>
        </row>
        <row r="55">
          <cell r="E55">
            <v>40330</v>
          </cell>
          <cell r="F55">
            <v>1274.8309969716638</v>
          </cell>
        </row>
        <row r="56">
          <cell r="E56">
            <v>40360</v>
          </cell>
          <cell r="F56">
            <v>1287.2568402033301</v>
          </cell>
        </row>
        <row r="57">
          <cell r="E57">
            <v>40391</v>
          </cell>
          <cell r="F57">
            <v>1325.1180212066645</v>
          </cell>
        </row>
        <row r="58">
          <cell r="E58">
            <v>40422</v>
          </cell>
          <cell r="F58">
            <v>1377.3994433024975</v>
          </cell>
        </row>
        <row r="59">
          <cell r="E59">
            <v>40452</v>
          </cell>
          <cell r="F59">
            <v>1406.8429118358329</v>
          </cell>
        </row>
      </sheetData>
      <sheetData sheetId="1">
        <row r="10">
          <cell r="E10">
            <v>38961</v>
          </cell>
        </row>
        <row r="11">
          <cell r="E11">
            <v>38991</v>
          </cell>
        </row>
        <row r="12">
          <cell r="E12">
            <v>39022</v>
          </cell>
        </row>
        <row r="13">
          <cell r="E13">
            <v>39052</v>
          </cell>
          <cell r="F13">
            <v>38.29286400083334</v>
          </cell>
        </row>
        <row r="14">
          <cell r="E14">
            <v>39083</v>
          </cell>
          <cell r="F14">
            <v>37.550596465000012</v>
          </cell>
        </row>
        <row r="15">
          <cell r="E15">
            <v>39114</v>
          </cell>
          <cell r="F15">
            <v>39.285006805833348</v>
          </cell>
        </row>
        <row r="16">
          <cell r="E16">
            <v>39142</v>
          </cell>
          <cell r="F16">
            <v>37.416645598333346</v>
          </cell>
        </row>
        <row r="17">
          <cell r="E17">
            <v>39173</v>
          </cell>
          <cell r="F17">
            <v>37.83429504416668</v>
          </cell>
        </row>
        <row r="18">
          <cell r="E18">
            <v>39203</v>
          </cell>
          <cell r="F18">
            <v>36.611248796666665</v>
          </cell>
        </row>
        <row r="19">
          <cell r="E19">
            <v>39234</v>
          </cell>
          <cell r="F19">
            <v>35.958272819166666</v>
          </cell>
        </row>
        <row r="20">
          <cell r="E20">
            <v>39264</v>
          </cell>
          <cell r="F20">
            <v>33.673349160833332</v>
          </cell>
        </row>
        <row r="21">
          <cell r="E21">
            <v>39295</v>
          </cell>
          <cell r="F21">
            <v>30.592377437499994</v>
          </cell>
        </row>
        <row r="22">
          <cell r="E22">
            <v>39326</v>
          </cell>
          <cell r="F22">
            <v>30.95551508416666</v>
          </cell>
        </row>
        <row r="23">
          <cell r="E23">
            <v>39356</v>
          </cell>
          <cell r="F23">
            <v>32.758239560833317</v>
          </cell>
        </row>
        <row r="24">
          <cell r="E24">
            <v>39387</v>
          </cell>
          <cell r="F24">
            <v>31.328622681666655</v>
          </cell>
        </row>
        <row r="25">
          <cell r="E25">
            <v>39417</v>
          </cell>
          <cell r="F25">
            <v>31.258767539999983</v>
          </cell>
        </row>
        <row r="26">
          <cell r="E26">
            <v>39448</v>
          </cell>
          <cell r="F26">
            <v>31.426830765833319</v>
          </cell>
        </row>
        <row r="27">
          <cell r="E27">
            <v>39479</v>
          </cell>
          <cell r="F27">
            <v>31.834376709999987</v>
          </cell>
        </row>
        <row r="28">
          <cell r="E28">
            <v>39508</v>
          </cell>
          <cell r="F28">
            <v>31.649222727499993</v>
          </cell>
        </row>
        <row r="29">
          <cell r="E29">
            <v>39539</v>
          </cell>
          <cell r="F29">
            <v>32.051521303333324</v>
          </cell>
        </row>
        <row r="30">
          <cell r="E30">
            <v>39569</v>
          </cell>
          <cell r="F30">
            <v>32.622718589166666</v>
          </cell>
        </row>
        <row r="31">
          <cell r="E31">
            <v>39600</v>
          </cell>
          <cell r="F31">
            <v>34.250823239166657</v>
          </cell>
        </row>
        <row r="32">
          <cell r="E32">
            <v>39630</v>
          </cell>
          <cell r="F32">
            <v>35.550994947500001</v>
          </cell>
        </row>
        <row r="33">
          <cell r="E33">
            <v>39661</v>
          </cell>
          <cell r="F33">
            <v>37.985220570833341</v>
          </cell>
        </row>
        <row r="34">
          <cell r="E34">
            <v>39692</v>
          </cell>
          <cell r="F34">
            <v>38.969456431666678</v>
          </cell>
        </row>
        <row r="35">
          <cell r="E35">
            <v>39722</v>
          </cell>
          <cell r="F35">
            <v>40.357121055833353</v>
          </cell>
        </row>
        <row r="36">
          <cell r="E36">
            <v>39753</v>
          </cell>
          <cell r="F36">
            <v>42.85974733333336</v>
          </cell>
        </row>
        <row r="37">
          <cell r="E37">
            <v>39783</v>
          </cell>
          <cell r="F37">
            <v>43.980465499166691</v>
          </cell>
        </row>
        <row r="38">
          <cell r="E38">
            <v>39814</v>
          </cell>
          <cell r="F38">
            <v>43.758092452500023</v>
          </cell>
        </row>
        <row r="39">
          <cell r="E39">
            <v>39845</v>
          </cell>
          <cell r="F39">
            <v>42.809184508333367</v>
          </cell>
        </row>
        <row r="40">
          <cell r="E40">
            <v>39873</v>
          </cell>
          <cell r="F40">
            <v>44.470191533333356</v>
          </cell>
        </row>
        <row r="41">
          <cell r="E41">
            <v>39904</v>
          </cell>
          <cell r="F41">
            <v>44.624840490833357</v>
          </cell>
        </row>
        <row r="42">
          <cell r="E42">
            <v>39934</v>
          </cell>
          <cell r="F42">
            <v>44.548843210000008</v>
          </cell>
        </row>
        <row r="43">
          <cell r="E43">
            <v>39965</v>
          </cell>
          <cell r="F43">
            <v>44.595237090000019</v>
          </cell>
        </row>
        <row r="44">
          <cell r="E44">
            <v>39995</v>
          </cell>
          <cell r="F44">
            <v>45.160477275000012</v>
          </cell>
        </row>
        <row r="45">
          <cell r="E45">
            <v>40026</v>
          </cell>
          <cell r="F45">
            <v>43.913446645000015</v>
          </cell>
        </row>
        <row r="46">
          <cell r="E46">
            <v>40057</v>
          </cell>
          <cell r="F46">
            <v>43.735495691666671</v>
          </cell>
        </row>
        <row r="47">
          <cell r="E47">
            <v>40087</v>
          </cell>
          <cell r="F47">
            <v>42.69963723916667</v>
          </cell>
        </row>
        <row r="48">
          <cell r="E48">
            <v>40118</v>
          </cell>
          <cell r="F48">
            <v>39.972839045833318</v>
          </cell>
        </row>
        <row r="49">
          <cell r="E49">
            <v>40148</v>
          </cell>
          <cell r="F49">
            <v>41.034956977499981</v>
          </cell>
        </row>
        <row r="50">
          <cell r="E50">
            <v>40179</v>
          </cell>
          <cell r="F50">
            <v>41.475832010833315</v>
          </cell>
        </row>
        <row r="51">
          <cell r="E51">
            <v>40210</v>
          </cell>
          <cell r="F51">
            <v>43.019197867499976</v>
          </cell>
        </row>
        <row r="52">
          <cell r="E52">
            <v>40238</v>
          </cell>
          <cell r="F52">
            <v>44.083188124999985</v>
          </cell>
        </row>
        <row r="53">
          <cell r="E53">
            <v>40269</v>
          </cell>
          <cell r="F53">
            <v>46.568289399999976</v>
          </cell>
        </row>
        <row r="54">
          <cell r="E54">
            <v>40299</v>
          </cell>
          <cell r="F54">
            <v>47.317843987499991</v>
          </cell>
        </row>
        <row r="55">
          <cell r="E55">
            <v>40330</v>
          </cell>
          <cell r="F55">
            <v>48.090786568333307</v>
          </cell>
        </row>
        <row r="56">
          <cell r="E56">
            <v>40360</v>
          </cell>
          <cell r="F56">
            <v>48.336971965833328</v>
          </cell>
        </row>
        <row r="57">
          <cell r="E57">
            <v>40391</v>
          </cell>
          <cell r="F57">
            <v>49.375460669999995</v>
          </cell>
        </row>
        <row r="58">
          <cell r="E58">
            <v>40422</v>
          </cell>
          <cell r="F58">
            <v>51.466746474999987</v>
          </cell>
        </row>
        <row r="59">
          <cell r="E59">
            <v>40452</v>
          </cell>
          <cell r="F59">
            <v>51.237090330000001</v>
          </cell>
        </row>
      </sheetData>
      <sheetData sheetId="2">
        <row r="10">
          <cell r="E10">
            <v>38961</v>
          </cell>
        </row>
        <row r="11">
          <cell r="E11">
            <v>38991</v>
          </cell>
        </row>
        <row r="12">
          <cell r="E12">
            <v>39022</v>
          </cell>
        </row>
        <row r="13">
          <cell r="E13">
            <v>39052</v>
          </cell>
          <cell r="F13">
            <v>809.21290846916725</v>
          </cell>
        </row>
        <row r="14">
          <cell r="E14">
            <v>39083</v>
          </cell>
          <cell r="F14">
            <v>826.53351977250031</v>
          </cell>
        </row>
        <row r="15">
          <cell r="E15">
            <v>39114</v>
          </cell>
          <cell r="F15">
            <v>850.44445452750199</v>
          </cell>
        </row>
        <row r="16">
          <cell r="E16">
            <v>39142</v>
          </cell>
          <cell r="F16">
            <v>866.45170005000182</v>
          </cell>
        </row>
        <row r="17">
          <cell r="E17">
            <v>39173</v>
          </cell>
          <cell r="F17">
            <v>870.8334763558347</v>
          </cell>
        </row>
        <row r="18">
          <cell r="E18">
            <v>39203</v>
          </cell>
          <cell r="F18">
            <v>881.36737024500155</v>
          </cell>
        </row>
        <row r="19">
          <cell r="E19">
            <v>39234</v>
          </cell>
          <cell r="F19">
            <v>887.18919162750126</v>
          </cell>
        </row>
        <row r="20">
          <cell r="E20">
            <v>39264</v>
          </cell>
          <cell r="F20">
            <v>898.83698465250052</v>
          </cell>
        </row>
        <row r="21">
          <cell r="E21">
            <v>39295</v>
          </cell>
          <cell r="F21">
            <v>917.04064192916701</v>
          </cell>
        </row>
        <row r="22">
          <cell r="E22">
            <v>39326</v>
          </cell>
          <cell r="F22">
            <v>931.59270670249998</v>
          </cell>
        </row>
        <row r="23">
          <cell r="E23">
            <v>39356</v>
          </cell>
          <cell r="F23">
            <v>955.03414664333479</v>
          </cell>
        </row>
        <row r="24">
          <cell r="E24">
            <v>39387</v>
          </cell>
          <cell r="F24">
            <v>977.96925455416806</v>
          </cell>
        </row>
        <row r="25">
          <cell r="E25">
            <v>39417</v>
          </cell>
          <cell r="F25">
            <v>991.4099792875013</v>
          </cell>
        </row>
        <row r="26">
          <cell r="E26">
            <v>39448</v>
          </cell>
          <cell r="F26">
            <v>1001.0398806383346</v>
          </cell>
        </row>
        <row r="27">
          <cell r="E27">
            <v>39479</v>
          </cell>
          <cell r="F27">
            <v>1010.1416295341674</v>
          </cell>
        </row>
        <row r="28">
          <cell r="E28">
            <v>39508</v>
          </cell>
          <cell r="F28">
            <v>1011.7248216833344</v>
          </cell>
        </row>
        <row r="29">
          <cell r="E29">
            <v>39539</v>
          </cell>
          <cell r="F29">
            <v>1042.0967691608332</v>
          </cell>
        </row>
        <row r="30">
          <cell r="E30">
            <v>39569</v>
          </cell>
          <cell r="F30">
            <v>1052.4743403758325</v>
          </cell>
        </row>
        <row r="31">
          <cell r="E31">
            <v>39600</v>
          </cell>
          <cell r="F31">
            <v>1069.6274206691651</v>
          </cell>
        </row>
        <row r="32">
          <cell r="E32">
            <v>39630</v>
          </cell>
          <cell r="F32">
            <v>1094.688147731664</v>
          </cell>
        </row>
        <row r="33">
          <cell r="E33">
            <v>39661</v>
          </cell>
          <cell r="F33">
            <v>1096.119381959164</v>
          </cell>
        </row>
        <row r="34">
          <cell r="E34">
            <v>39692</v>
          </cell>
          <cell r="F34">
            <v>1111.4293949624971</v>
          </cell>
        </row>
        <row r="35">
          <cell r="E35">
            <v>39722</v>
          </cell>
          <cell r="F35">
            <v>1123.7660560299967</v>
          </cell>
        </row>
        <row r="36">
          <cell r="E36">
            <v>39753</v>
          </cell>
          <cell r="F36">
            <v>1137.8791362116626</v>
          </cell>
        </row>
        <row r="37">
          <cell r="E37">
            <v>39783</v>
          </cell>
          <cell r="F37">
            <v>1149.3721405191629</v>
          </cell>
        </row>
        <row r="38">
          <cell r="E38">
            <v>39814</v>
          </cell>
          <cell r="F38">
            <v>1180.6693743441631</v>
          </cell>
        </row>
        <row r="39">
          <cell r="E39">
            <v>39845</v>
          </cell>
          <cell r="F39">
            <v>1181.2937780324964</v>
          </cell>
        </row>
        <row r="40">
          <cell r="E40">
            <v>39873</v>
          </cell>
          <cell r="F40">
            <v>1178.1188433616635</v>
          </cell>
        </row>
        <row r="41">
          <cell r="E41">
            <v>39904</v>
          </cell>
          <cell r="F41">
            <v>1171.5659955741651</v>
          </cell>
        </row>
        <row r="42">
          <cell r="E42">
            <v>39934</v>
          </cell>
          <cell r="F42">
            <v>1156.2824491008334</v>
          </cell>
        </row>
        <row r="43">
          <cell r="E43">
            <v>39965</v>
          </cell>
          <cell r="F43">
            <v>1140.6263501575013</v>
          </cell>
        </row>
        <row r="44">
          <cell r="E44">
            <v>39995</v>
          </cell>
          <cell r="F44">
            <v>1146.1625790308369</v>
          </cell>
        </row>
        <row r="45">
          <cell r="E45">
            <v>40026</v>
          </cell>
          <cell r="F45">
            <v>1145.3452232258369</v>
          </cell>
        </row>
        <row r="46">
          <cell r="E46">
            <v>40057</v>
          </cell>
          <cell r="F46">
            <v>1140.6453255608374</v>
          </cell>
        </row>
        <row r="47">
          <cell r="E47">
            <v>40087</v>
          </cell>
          <cell r="F47">
            <v>1134.984053864169</v>
          </cell>
        </row>
        <row r="48">
          <cell r="E48">
            <v>40118</v>
          </cell>
          <cell r="F48">
            <v>1112.4657687233355</v>
          </cell>
        </row>
        <row r="49">
          <cell r="E49">
            <v>40148</v>
          </cell>
          <cell r="F49">
            <v>1116.9253529583359</v>
          </cell>
        </row>
        <row r="50">
          <cell r="E50">
            <v>40179</v>
          </cell>
          <cell r="F50">
            <v>1100.7957157200033</v>
          </cell>
        </row>
        <row r="51">
          <cell r="E51">
            <v>40210</v>
          </cell>
          <cell r="F51">
            <v>1105.9672017333367</v>
          </cell>
        </row>
        <row r="52">
          <cell r="E52">
            <v>40238</v>
          </cell>
          <cell r="F52">
            <v>1145.4752860875033</v>
          </cell>
        </row>
        <row r="53">
          <cell r="E53">
            <v>40269</v>
          </cell>
          <cell r="F53">
            <v>1155.8516991808347</v>
          </cell>
        </row>
        <row r="54">
          <cell r="E54">
            <v>40299</v>
          </cell>
          <cell r="F54">
            <v>1189.441583169167</v>
          </cell>
        </row>
        <row r="55">
          <cell r="E55">
            <v>40330</v>
          </cell>
          <cell r="F55">
            <v>1218.8177888416658</v>
          </cell>
        </row>
        <row r="56">
          <cell r="E56">
            <v>40360</v>
          </cell>
          <cell r="F56">
            <v>1230.9298843241652</v>
          </cell>
        </row>
        <row r="57">
          <cell r="E57">
            <v>40391</v>
          </cell>
          <cell r="F57">
            <v>1267.5009337199988</v>
          </cell>
        </row>
        <row r="58">
          <cell r="E58">
            <v>40422</v>
          </cell>
          <cell r="F58">
            <v>1317.5359840841641</v>
          </cell>
        </row>
        <row r="59">
          <cell r="E59">
            <v>40452</v>
          </cell>
          <cell r="F59">
            <v>1347.0799901966666</v>
          </cell>
        </row>
      </sheetData>
      <sheetData sheetId="3">
        <row r="10">
          <cell r="E10">
            <v>38961</v>
          </cell>
        </row>
        <row r="11">
          <cell r="E11">
            <v>38991</v>
          </cell>
        </row>
        <row r="12">
          <cell r="E12">
            <v>39022</v>
          </cell>
        </row>
        <row r="13">
          <cell r="E13">
            <v>39052</v>
          </cell>
          <cell r="F13">
            <v>85.539661980833344</v>
          </cell>
        </row>
        <row r="14">
          <cell r="E14">
            <v>39083</v>
          </cell>
          <cell r="F14">
            <v>87.366416971666638</v>
          </cell>
        </row>
        <row r="15">
          <cell r="E15">
            <v>39114</v>
          </cell>
          <cell r="F15">
            <v>87.433512418333336</v>
          </cell>
        </row>
        <row r="16">
          <cell r="E16">
            <v>39142</v>
          </cell>
          <cell r="F16">
            <v>89.561557974166661</v>
          </cell>
        </row>
        <row r="17">
          <cell r="E17">
            <v>39173</v>
          </cell>
          <cell r="F17">
            <v>88.117892005833369</v>
          </cell>
        </row>
        <row r="18">
          <cell r="E18">
            <v>39203</v>
          </cell>
          <cell r="F18">
            <v>90.692800397500022</v>
          </cell>
        </row>
        <row r="19">
          <cell r="E19">
            <v>39234</v>
          </cell>
          <cell r="F19">
            <v>90.753292297500025</v>
          </cell>
        </row>
        <row r="20">
          <cell r="E20">
            <v>39264</v>
          </cell>
          <cell r="F20">
            <v>92.510393944166722</v>
          </cell>
        </row>
        <row r="21">
          <cell r="E21">
            <v>39295</v>
          </cell>
          <cell r="F21">
            <v>93.197848851666734</v>
          </cell>
        </row>
        <row r="22">
          <cell r="E22">
            <v>39326</v>
          </cell>
          <cell r="F22">
            <v>93.395268290000033</v>
          </cell>
        </row>
        <row r="23">
          <cell r="E23">
            <v>39356</v>
          </cell>
          <cell r="F23">
            <v>94.590581540833341</v>
          </cell>
        </row>
        <row r="24">
          <cell r="E24">
            <v>39387</v>
          </cell>
          <cell r="F24">
            <v>94.753464210833343</v>
          </cell>
        </row>
        <row r="25">
          <cell r="E25">
            <v>39417</v>
          </cell>
          <cell r="F25">
            <v>93.522593147500046</v>
          </cell>
        </row>
        <row r="26">
          <cell r="E26">
            <v>39448</v>
          </cell>
          <cell r="F26">
            <v>93.354524720000072</v>
          </cell>
        </row>
        <row r="27">
          <cell r="E27">
            <v>39479</v>
          </cell>
          <cell r="F27">
            <v>94.96709377166674</v>
          </cell>
        </row>
        <row r="28">
          <cell r="E28">
            <v>39508</v>
          </cell>
          <cell r="F28">
            <v>95.316325866666759</v>
          </cell>
        </row>
        <row r="29">
          <cell r="E29">
            <v>39539</v>
          </cell>
          <cell r="F29">
            <v>97.390565758333423</v>
          </cell>
        </row>
        <row r="30">
          <cell r="E30">
            <v>39569</v>
          </cell>
          <cell r="F30">
            <v>98.241542709166723</v>
          </cell>
        </row>
        <row r="31">
          <cell r="E31">
            <v>39600</v>
          </cell>
          <cell r="F31">
            <v>99.279721545833397</v>
          </cell>
        </row>
        <row r="32">
          <cell r="E32">
            <v>39630</v>
          </cell>
          <cell r="F32">
            <v>102.18514320583337</v>
          </cell>
        </row>
        <row r="33">
          <cell r="E33">
            <v>39661</v>
          </cell>
          <cell r="F33">
            <v>104.02524109333336</v>
          </cell>
        </row>
        <row r="34">
          <cell r="E34">
            <v>39692</v>
          </cell>
          <cell r="F34">
            <v>105.16778482750003</v>
          </cell>
        </row>
        <row r="35">
          <cell r="E35">
            <v>39722</v>
          </cell>
          <cell r="F35">
            <v>107.11847862333336</v>
          </cell>
        </row>
        <row r="36">
          <cell r="E36">
            <v>39753</v>
          </cell>
          <cell r="F36">
            <v>107.71619387500006</v>
          </cell>
        </row>
        <row r="37">
          <cell r="E37">
            <v>39783</v>
          </cell>
          <cell r="F37">
            <v>110.10004946083338</v>
          </cell>
        </row>
        <row r="38">
          <cell r="E38">
            <v>39814</v>
          </cell>
          <cell r="F38">
            <v>110.63134699000007</v>
          </cell>
        </row>
        <row r="39">
          <cell r="E39">
            <v>39845</v>
          </cell>
          <cell r="F39">
            <v>109.76634230333342</v>
          </cell>
        </row>
        <row r="40">
          <cell r="E40">
            <v>39873</v>
          </cell>
          <cell r="F40">
            <v>109.9923728683334</v>
          </cell>
        </row>
        <row r="41">
          <cell r="E41">
            <v>39904</v>
          </cell>
          <cell r="F41">
            <v>108.2368481375001</v>
          </cell>
        </row>
        <row r="42">
          <cell r="E42">
            <v>39934</v>
          </cell>
          <cell r="F42">
            <v>106.97367766666675</v>
          </cell>
        </row>
        <row r="43">
          <cell r="E43">
            <v>39965</v>
          </cell>
          <cell r="F43">
            <v>105.8798304825001</v>
          </cell>
        </row>
        <row r="44">
          <cell r="E44">
            <v>39995</v>
          </cell>
          <cell r="F44">
            <v>104.12723220916678</v>
          </cell>
        </row>
        <row r="45">
          <cell r="E45">
            <v>40026</v>
          </cell>
          <cell r="F45">
            <v>103.66602865750008</v>
          </cell>
        </row>
        <row r="46">
          <cell r="E46">
            <v>40057</v>
          </cell>
          <cell r="F46">
            <v>103.48934158250007</v>
          </cell>
        </row>
        <row r="47">
          <cell r="E47">
            <v>40087</v>
          </cell>
          <cell r="F47">
            <v>102.42527277333345</v>
          </cell>
        </row>
        <row r="48">
          <cell r="E48">
            <v>40118</v>
          </cell>
          <cell r="F48">
            <v>103.33189182916675</v>
          </cell>
        </row>
        <row r="49">
          <cell r="E49">
            <v>40148</v>
          </cell>
          <cell r="F49">
            <v>104.12603738500012</v>
          </cell>
        </row>
        <row r="50">
          <cell r="E50">
            <v>40179</v>
          </cell>
          <cell r="F50">
            <v>103.82772087750011</v>
          </cell>
        </row>
        <row r="51">
          <cell r="E51">
            <v>40210</v>
          </cell>
          <cell r="F51">
            <v>104.89518587666679</v>
          </cell>
        </row>
        <row r="52">
          <cell r="E52">
            <v>40238</v>
          </cell>
          <cell r="F52">
            <v>107.8592840583334</v>
          </cell>
        </row>
        <row r="53">
          <cell r="E53">
            <v>40269</v>
          </cell>
          <cell r="F53">
            <v>111.49330946250001</v>
          </cell>
        </row>
        <row r="54">
          <cell r="E54">
            <v>40299</v>
          </cell>
          <cell r="F54">
            <v>115.5291660075</v>
          </cell>
        </row>
        <row r="55">
          <cell r="E55">
            <v>40330</v>
          </cell>
          <cell r="F55">
            <v>119.53197662416669</v>
          </cell>
        </row>
        <row r="56">
          <cell r="E56">
            <v>40360</v>
          </cell>
          <cell r="F56">
            <v>123.14866238833332</v>
          </cell>
        </row>
        <row r="57">
          <cell r="E57">
            <v>40391</v>
          </cell>
          <cell r="F57">
            <v>128.01634433166666</v>
          </cell>
        </row>
        <row r="58">
          <cell r="E58">
            <v>40422</v>
          </cell>
          <cell r="F58">
            <v>134.85259019749984</v>
          </cell>
        </row>
        <row r="59">
          <cell r="E59">
            <v>40452</v>
          </cell>
          <cell r="F59">
            <v>144.73154127749982</v>
          </cell>
        </row>
      </sheetData>
      <sheetData sheetId="4">
        <row r="10">
          <cell r="E10">
            <v>38961</v>
          </cell>
        </row>
        <row r="11">
          <cell r="E11">
            <v>38991</v>
          </cell>
        </row>
        <row r="12">
          <cell r="E12">
            <v>39022</v>
          </cell>
        </row>
        <row r="13">
          <cell r="E13">
            <v>39052</v>
          </cell>
          <cell r="F13">
            <v>95.792447688333255</v>
          </cell>
        </row>
        <row r="14">
          <cell r="E14">
            <v>39083</v>
          </cell>
          <cell r="F14">
            <v>98.148638624166594</v>
          </cell>
        </row>
        <row r="15">
          <cell r="E15">
            <v>39114</v>
          </cell>
          <cell r="F15">
            <v>100.3159691625</v>
          </cell>
        </row>
        <row r="16">
          <cell r="E16">
            <v>39142</v>
          </cell>
          <cell r="F16">
            <v>102.5577029941666</v>
          </cell>
        </row>
        <row r="17">
          <cell r="E17">
            <v>39173</v>
          </cell>
          <cell r="F17">
            <v>104.96214907666659</v>
          </cell>
        </row>
        <row r="18">
          <cell r="E18">
            <v>39203</v>
          </cell>
          <cell r="F18">
            <v>107.4542144874999</v>
          </cell>
        </row>
        <row r="19">
          <cell r="E19">
            <v>39234</v>
          </cell>
          <cell r="F19">
            <v>109.75616435999983</v>
          </cell>
        </row>
        <row r="20">
          <cell r="E20">
            <v>39264</v>
          </cell>
          <cell r="F20">
            <v>114.08843760666649</v>
          </cell>
        </row>
        <row r="21">
          <cell r="E21">
            <v>39295</v>
          </cell>
          <cell r="F21">
            <v>118.1957488041665</v>
          </cell>
        </row>
        <row r="22">
          <cell r="E22">
            <v>39326</v>
          </cell>
          <cell r="F22">
            <v>120.99455253916652</v>
          </cell>
        </row>
        <row r="23">
          <cell r="E23">
            <v>39356</v>
          </cell>
          <cell r="F23">
            <v>124.05050438249991</v>
          </cell>
        </row>
        <row r="24">
          <cell r="E24">
            <v>39387</v>
          </cell>
          <cell r="F24">
            <v>127.44579716666657</v>
          </cell>
        </row>
        <row r="25">
          <cell r="E25">
            <v>39417</v>
          </cell>
          <cell r="F25">
            <v>129.9481113341667</v>
          </cell>
        </row>
        <row r="26">
          <cell r="E26">
            <v>39448</v>
          </cell>
          <cell r="F26">
            <v>133.63507298083343</v>
          </cell>
        </row>
        <row r="27">
          <cell r="E27">
            <v>39479</v>
          </cell>
          <cell r="F27">
            <v>135.83376531499997</v>
          </cell>
        </row>
        <row r="28">
          <cell r="E28">
            <v>39508</v>
          </cell>
          <cell r="F28">
            <v>136.57606767583337</v>
          </cell>
        </row>
        <row r="29">
          <cell r="E29">
            <v>39539</v>
          </cell>
          <cell r="F29">
            <v>140.31691433750007</v>
          </cell>
        </row>
        <row r="30">
          <cell r="E30">
            <v>39569</v>
          </cell>
          <cell r="F30">
            <v>142.14478735666671</v>
          </cell>
        </row>
        <row r="31">
          <cell r="E31">
            <v>39600</v>
          </cell>
          <cell r="F31">
            <v>143.09380311916678</v>
          </cell>
        </row>
        <row r="32">
          <cell r="E32">
            <v>39630</v>
          </cell>
          <cell r="F32">
            <v>145.99212664083348</v>
          </cell>
        </row>
        <row r="33">
          <cell r="E33">
            <v>39661</v>
          </cell>
          <cell r="F33">
            <v>146.88145542000015</v>
          </cell>
        </row>
        <row r="34">
          <cell r="E34">
            <v>39692</v>
          </cell>
          <cell r="F34">
            <v>149.45633847416676</v>
          </cell>
        </row>
        <row r="35">
          <cell r="E35">
            <v>39722</v>
          </cell>
          <cell r="F35">
            <v>152.60433942000023</v>
          </cell>
        </row>
        <row r="36">
          <cell r="E36">
            <v>39753</v>
          </cell>
          <cell r="F36">
            <v>154.89887397666683</v>
          </cell>
        </row>
        <row r="37">
          <cell r="E37">
            <v>39783</v>
          </cell>
          <cell r="F37">
            <v>157.28854953500021</v>
          </cell>
        </row>
        <row r="38">
          <cell r="E38">
            <v>39814</v>
          </cell>
          <cell r="F38">
            <v>160.60086895166691</v>
          </cell>
        </row>
        <row r="39">
          <cell r="E39">
            <v>39845</v>
          </cell>
          <cell r="F39">
            <v>160.85951315500029</v>
          </cell>
        </row>
        <row r="40">
          <cell r="E40">
            <v>39873</v>
          </cell>
          <cell r="F40">
            <v>160.73226764750024</v>
          </cell>
        </row>
        <row r="41">
          <cell r="E41">
            <v>39904</v>
          </cell>
          <cell r="F41">
            <v>158.44453116083361</v>
          </cell>
        </row>
        <row r="42">
          <cell r="E42">
            <v>39934</v>
          </cell>
          <cell r="F42">
            <v>155.45084663916688</v>
          </cell>
        </row>
        <row r="43">
          <cell r="E43">
            <v>39965</v>
          </cell>
          <cell r="F43">
            <v>154.57993027083359</v>
          </cell>
        </row>
        <row r="44">
          <cell r="E44">
            <v>39995</v>
          </cell>
          <cell r="F44">
            <v>152.33280134666697</v>
          </cell>
        </row>
        <row r="45">
          <cell r="E45">
            <v>40026</v>
          </cell>
          <cell r="F45">
            <v>149.79457146166695</v>
          </cell>
        </row>
        <row r="46">
          <cell r="E46">
            <v>40057</v>
          </cell>
          <cell r="F46">
            <v>148.30078338833354</v>
          </cell>
        </row>
        <row r="47">
          <cell r="E47">
            <v>40087</v>
          </cell>
          <cell r="F47">
            <v>145.31851997583342</v>
          </cell>
        </row>
        <row r="48">
          <cell r="E48">
            <v>40118</v>
          </cell>
          <cell r="F48">
            <v>140.89374188250014</v>
          </cell>
        </row>
        <row r="49">
          <cell r="E49">
            <v>40148</v>
          </cell>
          <cell r="F49">
            <v>141.71161079333348</v>
          </cell>
        </row>
        <row r="50">
          <cell r="E50">
            <v>40179</v>
          </cell>
          <cell r="F50">
            <v>136.93899356083347</v>
          </cell>
        </row>
        <row r="51">
          <cell r="E51">
            <v>40210</v>
          </cell>
          <cell r="F51">
            <v>139.53094131500015</v>
          </cell>
        </row>
        <row r="52">
          <cell r="E52">
            <v>40238</v>
          </cell>
          <cell r="F52">
            <v>145.54691871666688</v>
          </cell>
        </row>
        <row r="53">
          <cell r="E53">
            <v>40269</v>
          </cell>
          <cell r="F53">
            <v>148.45631624166677</v>
          </cell>
        </row>
        <row r="54">
          <cell r="E54">
            <v>40299</v>
          </cell>
          <cell r="F54">
            <v>152.53509310250021</v>
          </cell>
        </row>
        <row r="55">
          <cell r="E55">
            <v>40330</v>
          </cell>
          <cell r="F55">
            <v>158.65980679166688</v>
          </cell>
        </row>
        <row r="56">
          <cell r="E56">
            <v>40360</v>
          </cell>
          <cell r="F56">
            <v>165.53823414250019</v>
          </cell>
        </row>
        <row r="57">
          <cell r="E57">
            <v>40391</v>
          </cell>
          <cell r="F57">
            <v>173.20217871499997</v>
          </cell>
        </row>
        <row r="58">
          <cell r="E58">
            <v>40422</v>
          </cell>
          <cell r="F58">
            <v>182.12112057083337</v>
          </cell>
        </row>
        <row r="59">
          <cell r="E59">
            <v>40452</v>
          </cell>
          <cell r="F59">
            <v>190.57028911083322</v>
          </cell>
        </row>
      </sheetData>
      <sheetData sheetId="5">
        <row r="10">
          <cell r="E10">
            <v>38961</v>
          </cell>
        </row>
        <row r="11">
          <cell r="E11">
            <v>38991</v>
          </cell>
        </row>
        <row r="12">
          <cell r="E12">
            <v>39022</v>
          </cell>
        </row>
        <row r="13">
          <cell r="E13">
            <v>39052</v>
          </cell>
          <cell r="F13">
            <v>286.79527426999942</v>
          </cell>
        </row>
        <row r="14">
          <cell r="E14">
            <v>39083</v>
          </cell>
          <cell r="F14">
            <v>294.10615684999954</v>
          </cell>
        </row>
        <row r="15">
          <cell r="E15">
            <v>39114</v>
          </cell>
          <cell r="F15">
            <v>302.93614750749964</v>
          </cell>
        </row>
        <row r="16">
          <cell r="E16">
            <v>39142</v>
          </cell>
          <cell r="F16">
            <v>308.92287758166623</v>
          </cell>
        </row>
        <row r="17">
          <cell r="E17">
            <v>39173</v>
          </cell>
          <cell r="F17">
            <v>315.47079669666601</v>
          </cell>
        </row>
        <row r="18">
          <cell r="E18">
            <v>39203</v>
          </cell>
          <cell r="F18">
            <v>323.20817490833252</v>
          </cell>
        </row>
        <row r="19">
          <cell r="E19">
            <v>39234</v>
          </cell>
          <cell r="F19">
            <v>328.26839199416605</v>
          </cell>
        </row>
        <row r="20">
          <cell r="E20">
            <v>39264</v>
          </cell>
          <cell r="F20">
            <v>332.66611780833267</v>
          </cell>
        </row>
        <row r="21">
          <cell r="E21">
            <v>39295</v>
          </cell>
          <cell r="F21">
            <v>339.21128420833276</v>
          </cell>
        </row>
        <row r="22">
          <cell r="E22">
            <v>39326</v>
          </cell>
          <cell r="F22">
            <v>342.07125796999952</v>
          </cell>
        </row>
        <row r="23">
          <cell r="E23">
            <v>39356</v>
          </cell>
          <cell r="F23">
            <v>346.46612117083311</v>
          </cell>
        </row>
        <row r="24">
          <cell r="E24">
            <v>39387</v>
          </cell>
          <cell r="F24">
            <v>348.55762504249969</v>
          </cell>
        </row>
        <row r="25">
          <cell r="E25">
            <v>39417</v>
          </cell>
          <cell r="F25">
            <v>352.179897755833</v>
          </cell>
        </row>
        <row r="26">
          <cell r="E26">
            <v>39448</v>
          </cell>
          <cell r="F26">
            <v>352.21222667166631</v>
          </cell>
        </row>
        <row r="27">
          <cell r="E27">
            <v>39479</v>
          </cell>
          <cell r="F27">
            <v>352.57349981583297</v>
          </cell>
        </row>
        <row r="28">
          <cell r="E28">
            <v>39508</v>
          </cell>
          <cell r="F28">
            <v>350.617079068333</v>
          </cell>
        </row>
        <row r="29">
          <cell r="E29">
            <v>39539</v>
          </cell>
          <cell r="F29">
            <v>358.25101966666642</v>
          </cell>
        </row>
        <row r="30">
          <cell r="E30">
            <v>39569</v>
          </cell>
          <cell r="F30">
            <v>359.15234401083308</v>
          </cell>
        </row>
        <row r="31">
          <cell r="E31">
            <v>39600</v>
          </cell>
          <cell r="F31">
            <v>361.75733591916668</v>
          </cell>
        </row>
        <row r="32">
          <cell r="E32">
            <v>39630</v>
          </cell>
          <cell r="F32">
            <v>369.62949430416666</v>
          </cell>
        </row>
        <row r="33">
          <cell r="E33">
            <v>39661</v>
          </cell>
          <cell r="F33">
            <v>368.56427119916657</v>
          </cell>
        </row>
        <row r="34">
          <cell r="E34">
            <v>39692</v>
          </cell>
          <cell r="F34">
            <v>368.89157748250022</v>
          </cell>
        </row>
        <row r="35">
          <cell r="E35">
            <v>39722</v>
          </cell>
          <cell r="F35">
            <v>373.53838964666664</v>
          </cell>
        </row>
        <row r="36">
          <cell r="E36">
            <v>39753</v>
          </cell>
          <cell r="F36">
            <v>377.33014148750004</v>
          </cell>
        </row>
        <row r="37">
          <cell r="E37">
            <v>39783</v>
          </cell>
          <cell r="F37">
            <v>378.97924302583334</v>
          </cell>
        </row>
        <row r="38">
          <cell r="E38">
            <v>39814</v>
          </cell>
          <cell r="F38">
            <v>385.45376070333305</v>
          </cell>
        </row>
        <row r="39">
          <cell r="E39">
            <v>39845</v>
          </cell>
          <cell r="F39">
            <v>384.55844090666602</v>
          </cell>
        </row>
        <row r="40">
          <cell r="E40">
            <v>39873</v>
          </cell>
          <cell r="F40">
            <v>383.76775680833271</v>
          </cell>
        </row>
        <row r="41">
          <cell r="E41">
            <v>39904</v>
          </cell>
          <cell r="F41">
            <v>374.47317700999969</v>
          </cell>
        </row>
        <row r="42">
          <cell r="E42">
            <v>39934</v>
          </cell>
          <cell r="F42">
            <v>364.6734292124998</v>
          </cell>
        </row>
        <row r="43">
          <cell r="E43">
            <v>39965</v>
          </cell>
          <cell r="F43">
            <v>355.77475204749982</v>
          </cell>
        </row>
        <row r="44">
          <cell r="E44">
            <v>39995</v>
          </cell>
          <cell r="F44">
            <v>348.87273567749935</v>
          </cell>
        </row>
        <row r="45">
          <cell r="E45">
            <v>40026</v>
          </cell>
          <cell r="F45">
            <v>342.13970659833279</v>
          </cell>
        </row>
        <row r="46">
          <cell r="E46">
            <v>40057</v>
          </cell>
          <cell r="F46">
            <v>340.69288011916575</v>
          </cell>
        </row>
        <row r="47">
          <cell r="E47">
            <v>40087</v>
          </cell>
          <cell r="F47">
            <v>335.70711681666586</v>
          </cell>
        </row>
        <row r="48">
          <cell r="E48">
            <v>40118</v>
          </cell>
          <cell r="F48">
            <v>330.20517358166558</v>
          </cell>
        </row>
        <row r="49">
          <cell r="E49">
            <v>40148</v>
          </cell>
          <cell r="F49">
            <v>331.9236599391657</v>
          </cell>
        </row>
        <row r="50">
          <cell r="E50">
            <v>40179</v>
          </cell>
          <cell r="F50">
            <v>327.51502130166574</v>
          </cell>
        </row>
        <row r="51">
          <cell r="E51">
            <v>40210</v>
          </cell>
          <cell r="F51">
            <v>330.24977935916604</v>
          </cell>
        </row>
        <row r="52">
          <cell r="E52">
            <v>40238</v>
          </cell>
          <cell r="F52">
            <v>340.44755333333211</v>
          </cell>
        </row>
        <row r="53">
          <cell r="E53">
            <v>40269</v>
          </cell>
          <cell r="F53">
            <v>349.72458334166549</v>
          </cell>
        </row>
        <row r="54">
          <cell r="E54">
            <v>40299</v>
          </cell>
          <cell r="F54">
            <v>361.39549618416549</v>
          </cell>
        </row>
        <row r="55">
          <cell r="E55">
            <v>40330</v>
          </cell>
          <cell r="F55">
            <v>378.41425274833222</v>
          </cell>
        </row>
        <row r="56">
          <cell r="E56">
            <v>40360</v>
          </cell>
          <cell r="F56">
            <v>387.007962214999</v>
          </cell>
        </row>
        <row r="57">
          <cell r="E57">
            <v>40391</v>
          </cell>
          <cell r="F57">
            <v>401.67374695749874</v>
          </cell>
        </row>
        <row r="58">
          <cell r="E58">
            <v>40422</v>
          </cell>
          <cell r="F58">
            <v>416.30673690666549</v>
          </cell>
        </row>
        <row r="59">
          <cell r="E59">
            <v>40452</v>
          </cell>
          <cell r="F59">
            <v>436.28856238749887</v>
          </cell>
        </row>
      </sheetData>
      <sheetData sheetId="6">
        <row r="10">
          <cell r="E10">
            <v>38961</v>
          </cell>
        </row>
        <row r="11">
          <cell r="E11">
            <v>38991</v>
          </cell>
        </row>
        <row r="12">
          <cell r="E12">
            <v>39022</v>
          </cell>
        </row>
        <row r="13">
          <cell r="E13">
            <v>39052</v>
          </cell>
          <cell r="F13">
            <v>341.08552453000055</v>
          </cell>
        </row>
        <row r="14">
          <cell r="E14">
            <v>39083</v>
          </cell>
          <cell r="F14">
            <v>346.91230732666719</v>
          </cell>
        </row>
        <row r="15">
          <cell r="E15">
            <v>39114</v>
          </cell>
          <cell r="F15">
            <v>359.75882543916697</v>
          </cell>
        </row>
        <row r="16">
          <cell r="E16">
            <v>39142</v>
          </cell>
          <cell r="F16">
            <v>365.40956150000039</v>
          </cell>
        </row>
        <row r="17">
          <cell r="E17">
            <v>39173</v>
          </cell>
          <cell r="F17">
            <v>362.28263857666661</v>
          </cell>
        </row>
        <row r="18">
          <cell r="E18">
            <v>39203</v>
          </cell>
          <cell r="F18">
            <v>360.01218045166632</v>
          </cell>
        </row>
        <row r="19">
          <cell r="E19">
            <v>39234</v>
          </cell>
          <cell r="F19">
            <v>358.41134297583289</v>
          </cell>
        </row>
        <row r="20">
          <cell r="E20">
            <v>39264</v>
          </cell>
          <cell r="F20">
            <v>359.57203529333259</v>
          </cell>
        </row>
        <row r="21">
          <cell r="E21">
            <v>39295</v>
          </cell>
          <cell r="F21">
            <v>366.43576006499922</v>
          </cell>
        </row>
        <row r="22">
          <cell r="E22">
            <v>39326</v>
          </cell>
          <cell r="F22">
            <v>375.13162790333246</v>
          </cell>
        </row>
        <row r="23">
          <cell r="E23">
            <v>39356</v>
          </cell>
          <cell r="F23">
            <v>389.92693954916598</v>
          </cell>
        </row>
        <row r="24">
          <cell r="E24">
            <v>39387</v>
          </cell>
          <cell r="F24">
            <v>407.21236813416613</v>
          </cell>
        </row>
        <row r="25">
          <cell r="E25">
            <v>39417</v>
          </cell>
          <cell r="F25">
            <v>415.75937704999939</v>
          </cell>
        </row>
        <row r="26">
          <cell r="E26">
            <v>39448</v>
          </cell>
          <cell r="F26">
            <v>421.83805626583262</v>
          </cell>
        </row>
        <row r="27">
          <cell r="E27">
            <v>39479</v>
          </cell>
          <cell r="F27">
            <v>426.76727063166601</v>
          </cell>
        </row>
        <row r="28">
          <cell r="E28">
            <v>39508</v>
          </cell>
          <cell r="F28">
            <v>429.21534907249907</v>
          </cell>
        </row>
        <row r="29">
          <cell r="E29">
            <v>39539</v>
          </cell>
          <cell r="F29">
            <v>446.13826939833251</v>
          </cell>
        </row>
        <row r="30">
          <cell r="E30">
            <v>39569</v>
          </cell>
          <cell r="F30">
            <v>452.93566629916614</v>
          </cell>
        </row>
        <row r="31">
          <cell r="E31">
            <v>39600</v>
          </cell>
          <cell r="F31">
            <v>465.49656008499932</v>
          </cell>
        </row>
        <row r="32">
          <cell r="E32">
            <v>39630</v>
          </cell>
          <cell r="F32">
            <v>476.8813835808333</v>
          </cell>
        </row>
        <row r="33">
          <cell r="E33">
            <v>39661</v>
          </cell>
          <cell r="F33">
            <v>476.64841424666633</v>
          </cell>
        </row>
        <row r="34">
          <cell r="E34">
            <v>39692</v>
          </cell>
          <cell r="F34">
            <v>487.91369417833317</v>
          </cell>
        </row>
        <row r="35">
          <cell r="E35">
            <v>39722</v>
          </cell>
          <cell r="F35">
            <v>490.50484833999991</v>
          </cell>
        </row>
        <row r="36">
          <cell r="E36">
            <v>39753</v>
          </cell>
          <cell r="F36">
            <v>497.93392687250002</v>
          </cell>
        </row>
        <row r="37">
          <cell r="E37">
            <v>39783</v>
          </cell>
          <cell r="F37">
            <v>503.0042984975002</v>
          </cell>
        </row>
        <row r="38">
          <cell r="E38">
            <v>39814</v>
          </cell>
          <cell r="F38">
            <v>523.98339769916674</v>
          </cell>
        </row>
        <row r="39">
          <cell r="E39">
            <v>39845</v>
          </cell>
          <cell r="F39">
            <v>526.10948166750029</v>
          </cell>
        </row>
        <row r="40">
          <cell r="E40">
            <v>39873</v>
          </cell>
          <cell r="F40">
            <v>523.62644603750039</v>
          </cell>
        </row>
        <row r="41">
          <cell r="E41">
            <v>39904</v>
          </cell>
          <cell r="F41">
            <v>530.41143926583356</v>
          </cell>
        </row>
        <row r="42">
          <cell r="E42">
            <v>39934</v>
          </cell>
          <cell r="F42">
            <v>529.1844955825004</v>
          </cell>
        </row>
        <row r="43">
          <cell r="E43">
            <v>39965</v>
          </cell>
          <cell r="F43">
            <v>524.39183735666722</v>
          </cell>
        </row>
        <row r="44">
          <cell r="E44">
            <v>39995</v>
          </cell>
          <cell r="F44">
            <v>540.82980979750005</v>
          </cell>
        </row>
        <row r="45">
          <cell r="E45">
            <v>40026</v>
          </cell>
          <cell r="F45">
            <v>549.74491650833374</v>
          </cell>
        </row>
        <row r="46">
          <cell r="E46">
            <v>40057</v>
          </cell>
          <cell r="F46">
            <v>548.16232047083338</v>
          </cell>
        </row>
        <row r="47">
          <cell r="E47">
            <v>40087</v>
          </cell>
          <cell r="F47">
            <v>551.53314429833347</v>
          </cell>
        </row>
        <row r="48">
          <cell r="E48">
            <v>40118</v>
          </cell>
          <cell r="F48">
            <v>538.03496143000018</v>
          </cell>
        </row>
        <row r="49">
          <cell r="E49">
            <v>40148</v>
          </cell>
          <cell r="F49">
            <v>539.16404484083353</v>
          </cell>
        </row>
        <row r="50">
          <cell r="E50">
            <v>40179</v>
          </cell>
          <cell r="F50">
            <v>532.51397998000004</v>
          </cell>
        </row>
        <row r="51">
          <cell r="E51">
            <v>40210</v>
          </cell>
          <cell r="F51">
            <v>531.29129518249988</v>
          </cell>
        </row>
        <row r="52">
          <cell r="E52">
            <v>40238</v>
          </cell>
          <cell r="F52">
            <v>551.6215299791661</v>
          </cell>
        </row>
        <row r="53">
          <cell r="E53">
            <v>40269</v>
          </cell>
          <cell r="F53">
            <v>546.17749013499986</v>
          </cell>
        </row>
        <row r="54">
          <cell r="E54">
            <v>40299</v>
          </cell>
          <cell r="F54">
            <v>559.98182787499957</v>
          </cell>
        </row>
        <row r="55">
          <cell r="E55">
            <v>40330</v>
          </cell>
          <cell r="F55">
            <v>562.2117526774997</v>
          </cell>
        </row>
        <row r="56">
          <cell r="E56">
            <v>40360</v>
          </cell>
          <cell r="F56">
            <v>555.23502557833308</v>
          </cell>
        </row>
        <row r="57">
          <cell r="E57">
            <v>40391</v>
          </cell>
          <cell r="F57">
            <v>564.60866371583245</v>
          </cell>
        </row>
        <row r="58">
          <cell r="E58">
            <v>40422</v>
          </cell>
          <cell r="F58">
            <v>584.25553640916564</v>
          </cell>
        </row>
        <row r="59">
          <cell r="E59">
            <v>40452</v>
          </cell>
          <cell r="F59">
            <v>575.48959742083207</v>
          </cell>
        </row>
      </sheetData>
      <sheetData sheetId="7">
        <row r="10">
          <cell r="E10">
            <v>38961</v>
          </cell>
        </row>
        <row r="11">
          <cell r="E11">
            <v>38991</v>
          </cell>
        </row>
        <row r="12">
          <cell r="E12">
            <v>39022</v>
          </cell>
        </row>
        <row r="13">
          <cell r="E13">
            <v>39052</v>
          </cell>
          <cell r="F13">
            <v>249.61094381333317</v>
          </cell>
        </row>
        <row r="14">
          <cell r="E14">
            <v>39083</v>
          </cell>
          <cell r="F14">
            <v>252.5484135683333</v>
          </cell>
        </row>
        <row r="15">
          <cell r="E15">
            <v>39114</v>
          </cell>
          <cell r="F15">
            <v>260.76445049249992</v>
          </cell>
        </row>
        <row r="16">
          <cell r="E16">
            <v>39142</v>
          </cell>
          <cell r="F16">
            <v>261.19265311916655</v>
          </cell>
        </row>
        <row r="17">
          <cell r="E17">
            <v>39173</v>
          </cell>
          <cell r="F17">
            <v>264.54296258499977</v>
          </cell>
        </row>
        <row r="18">
          <cell r="E18">
            <v>39203</v>
          </cell>
          <cell r="F18">
            <v>269.51788060833292</v>
          </cell>
        </row>
        <row r="19">
          <cell r="E19">
            <v>39234</v>
          </cell>
          <cell r="F19">
            <v>272.65053787416645</v>
          </cell>
        </row>
        <row r="20">
          <cell r="E20">
            <v>39264</v>
          </cell>
          <cell r="F20">
            <v>276.72308940666687</v>
          </cell>
        </row>
        <row r="21">
          <cell r="E21">
            <v>39295</v>
          </cell>
          <cell r="F21">
            <v>281.83435830166707</v>
          </cell>
        </row>
        <row r="22">
          <cell r="E22">
            <v>39326</v>
          </cell>
          <cell r="F22">
            <v>286.62891594833366</v>
          </cell>
        </row>
        <row r="23">
          <cell r="E23">
            <v>39356</v>
          </cell>
          <cell r="F23">
            <v>295.82878842166684</v>
          </cell>
        </row>
        <row r="24">
          <cell r="E24">
            <v>39387</v>
          </cell>
          <cell r="F24">
            <v>304.46309201916682</v>
          </cell>
        </row>
        <row r="25">
          <cell r="E25">
            <v>39417</v>
          </cell>
          <cell r="F25">
            <v>312.93391981250022</v>
          </cell>
        </row>
        <row r="26">
          <cell r="E26">
            <v>39448</v>
          </cell>
          <cell r="F26">
            <v>316.61522833999999</v>
          </cell>
        </row>
        <row r="27">
          <cell r="E27">
            <v>39479</v>
          </cell>
          <cell r="F27">
            <v>315.80843955916646</v>
          </cell>
        </row>
        <row r="28">
          <cell r="E28">
            <v>39508</v>
          </cell>
          <cell r="F28">
            <v>319.57213816666638</v>
          </cell>
        </row>
        <row r="29">
          <cell r="E29">
            <v>39539</v>
          </cell>
          <cell r="F29">
            <v>330.97161332749971</v>
          </cell>
        </row>
        <row r="30">
          <cell r="E30">
            <v>39569</v>
          </cell>
          <cell r="F30">
            <v>334.24636439833324</v>
          </cell>
        </row>
        <row r="31">
          <cell r="E31">
            <v>39600</v>
          </cell>
          <cell r="F31">
            <v>340.11207670499954</v>
          </cell>
        </row>
        <row r="32">
          <cell r="E32">
            <v>39630</v>
          </cell>
          <cell r="F32">
            <v>349.69709709833279</v>
          </cell>
        </row>
        <row r="33">
          <cell r="E33">
            <v>39661</v>
          </cell>
          <cell r="F33">
            <v>349.98880695083261</v>
          </cell>
        </row>
        <row r="34">
          <cell r="E34">
            <v>39692</v>
          </cell>
          <cell r="F34">
            <v>351.98014086416634</v>
          </cell>
        </row>
        <row r="35">
          <cell r="E35">
            <v>39722</v>
          </cell>
          <cell r="F35">
            <v>351.72062270250007</v>
          </cell>
        </row>
        <row r="36">
          <cell r="E36">
            <v>39753</v>
          </cell>
          <cell r="F36">
            <v>351.15440042333336</v>
          </cell>
        </row>
        <row r="37">
          <cell r="E37">
            <v>39783</v>
          </cell>
          <cell r="F37">
            <v>354.94134151750012</v>
          </cell>
        </row>
        <row r="38">
          <cell r="E38">
            <v>39814</v>
          </cell>
          <cell r="F38">
            <v>355.72066081333338</v>
          </cell>
        </row>
        <row r="39">
          <cell r="E39">
            <v>39845</v>
          </cell>
          <cell r="F39">
            <v>355.77814447916694</v>
          </cell>
        </row>
        <row r="40">
          <cell r="E40">
            <v>39873</v>
          </cell>
          <cell r="F40">
            <v>356.7280662658336</v>
          </cell>
        </row>
        <row r="41">
          <cell r="E41">
            <v>39904</v>
          </cell>
          <cell r="F41">
            <v>352.03138725750028</v>
          </cell>
        </row>
        <row r="42">
          <cell r="E42">
            <v>39934</v>
          </cell>
          <cell r="F42">
            <v>344.78040986000002</v>
          </cell>
        </row>
        <row r="43">
          <cell r="E43">
            <v>39965</v>
          </cell>
          <cell r="F43">
            <v>339.79456982333346</v>
          </cell>
        </row>
        <row r="44">
          <cell r="E44">
            <v>39995</v>
          </cell>
          <cell r="F44">
            <v>333.38202803833326</v>
          </cell>
        </row>
        <row r="45">
          <cell r="E45">
            <v>40026</v>
          </cell>
          <cell r="F45">
            <v>327.72500387999997</v>
          </cell>
        </row>
        <row r="46">
          <cell r="E46">
            <v>40057</v>
          </cell>
          <cell r="F46">
            <v>326.96103067666633</v>
          </cell>
        </row>
        <row r="47">
          <cell r="E47">
            <v>40087</v>
          </cell>
          <cell r="F47">
            <v>324.94068036833295</v>
          </cell>
        </row>
        <row r="48">
          <cell r="E48">
            <v>40118</v>
          </cell>
          <cell r="F48">
            <v>321.48808217666596</v>
          </cell>
        </row>
        <row r="49">
          <cell r="E49">
            <v>40148</v>
          </cell>
          <cell r="F49">
            <v>320.13657507833244</v>
          </cell>
        </row>
        <row r="50">
          <cell r="E50">
            <v>40179</v>
          </cell>
          <cell r="F50">
            <v>320.10793020499949</v>
          </cell>
        </row>
        <row r="51">
          <cell r="E51">
            <v>40210</v>
          </cell>
          <cell r="F51">
            <v>321.62069941249945</v>
          </cell>
        </row>
        <row r="52">
          <cell r="E52">
            <v>40238</v>
          </cell>
          <cell r="F52">
            <v>326.49380637583243</v>
          </cell>
        </row>
        <row r="53">
          <cell r="E53">
            <v>40269</v>
          </cell>
          <cell r="F53">
            <v>329.19046802999912</v>
          </cell>
        </row>
        <row r="54">
          <cell r="E54">
            <v>40299</v>
          </cell>
          <cell r="F54">
            <v>336.21825692333255</v>
          </cell>
        </row>
        <row r="55">
          <cell r="E55">
            <v>40330</v>
          </cell>
          <cell r="F55">
            <v>339.12139489249921</v>
          </cell>
        </row>
        <row r="56">
          <cell r="E56">
            <v>40360</v>
          </cell>
          <cell r="F56">
            <v>342.2878758574991</v>
          </cell>
        </row>
        <row r="57">
          <cell r="E57">
            <v>40391</v>
          </cell>
          <cell r="F57">
            <v>359.30579001249924</v>
          </cell>
        </row>
        <row r="58">
          <cell r="E58">
            <v>40422</v>
          </cell>
          <cell r="F58">
            <v>369.05362511416621</v>
          </cell>
        </row>
        <row r="59">
          <cell r="E59">
            <v>40452</v>
          </cell>
          <cell r="F59">
            <v>376.29247970666603</v>
          </cell>
        </row>
      </sheetData>
      <sheetData sheetId="8">
        <row r="10">
          <cell r="E10">
            <v>38961</v>
          </cell>
        </row>
        <row r="11">
          <cell r="E11">
            <v>38991</v>
          </cell>
        </row>
        <row r="12">
          <cell r="E12">
            <v>39022</v>
          </cell>
        </row>
        <row r="13">
          <cell r="E13">
            <v>39052</v>
          </cell>
          <cell r="F13">
            <v>47.763829299166652</v>
          </cell>
        </row>
        <row r="14">
          <cell r="E14">
            <v>39083</v>
          </cell>
          <cell r="F14">
            <v>49.285672598333321</v>
          </cell>
        </row>
        <row r="15">
          <cell r="E15">
            <v>39114</v>
          </cell>
          <cell r="F15">
            <v>51.126592391666669</v>
          </cell>
        </row>
        <row r="16">
          <cell r="E16">
            <v>39142</v>
          </cell>
          <cell r="F16">
            <v>54.172921762499989</v>
          </cell>
        </row>
        <row r="17">
          <cell r="E17">
            <v>39173</v>
          </cell>
          <cell r="F17">
            <v>55.783080287499985</v>
          </cell>
        </row>
        <row r="18">
          <cell r="E18">
            <v>39203</v>
          </cell>
          <cell r="F18">
            <v>58.207917530833292</v>
          </cell>
        </row>
        <row r="19">
          <cell r="E19">
            <v>39234</v>
          </cell>
          <cell r="F19">
            <v>60.179931498333254</v>
          </cell>
        </row>
        <row r="20">
          <cell r="E20">
            <v>39264</v>
          </cell>
          <cell r="F20">
            <v>63.459571876666594</v>
          </cell>
        </row>
        <row r="21">
          <cell r="E21">
            <v>39295</v>
          </cell>
          <cell r="F21">
            <v>68.163046588333302</v>
          </cell>
        </row>
        <row r="22">
          <cell r="E22">
            <v>39326</v>
          </cell>
          <cell r="F22">
            <v>72.036591563333275</v>
          </cell>
        </row>
        <row r="23">
          <cell r="E23">
            <v>39356</v>
          </cell>
          <cell r="F23">
            <v>75.303550253333285</v>
          </cell>
        </row>
        <row r="24">
          <cell r="E24">
            <v>39387</v>
          </cell>
          <cell r="F24">
            <v>78.058007160833299</v>
          </cell>
        </row>
        <row r="25">
          <cell r="E25">
            <v>39417</v>
          </cell>
          <cell r="F25">
            <v>80.356023007499928</v>
          </cell>
        </row>
        <row r="26">
          <cell r="E26">
            <v>39448</v>
          </cell>
          <cell r="F26">
            <v>83.994612023333261</v>
          </cell>
        </row>
        <row r="27">
          <cell r="E27">
            <v>39479</v>
          </cell>
          <cell r="F27">
            <v>86.158757009166607</v>
          </cell>
        </row>
        <row r="28">
          <cell r="E28">
            <v>39508</v>
          </cell>
          <cell r="F28">
            <v>86.731489594999928</v>
          </cell>
        </row>
        <row r="29">
          <cell r="E29">
            <v>39539</v>
          </cell>
          <cell r="F29">
            <v>89.368003406666602</v>
          </cell>
        </row>
        <row r="30">
          <cell r="E30">
            <v>39569</v>
          </cell>
          <cell r="F30">
            <v>91.196514994166648</v>
          </cell>
        </row>
        <row r="31">
          <cell r="E31">
            <v>39600</v>
          </cell>
          <cell r="F31">
            <v>94.851429723333354</v>
          </cell>
        </row>
        <row r="32">
          <cell r="E32">
            <v>39630</v>
          </cell>
          <cell r="F32">
            <v>98.63076291166665</v>
          </cell>
        </row>
        <row r="33">
          <cell r="E33">
            <v>39661</v>
          </cell>
          <cell r="F33">
            <v>98.920612649166614</v>
          </cell>
        </row>
        <row r="34">
          <cell r="E34">
            <v>39692</v>
          </cell>
          <cell r="F34">
            <v>100.87034524499994</v>
          </cell>
        </row>
        <row r="35">
          <cell r="E35">
            <v>39722</v>
          </cell>
          <cell r="F35">
            <v>104.02688808333328</v>
          </cell>
        </row>
        <row r="36">
          <cell r="E36">
            <v>39753</v>
          </cell>
          <cell r="F36">
            <v>108.93415776749998</v>
          </cell>
        </row>
        <row r="37">
          <cell r="E37">
            <v>39783</v>
          </cell>
          <cell r="F37">
            <v>111.81329665249997</v>
          </cell>
        </row>
        <row r="38">
          <cell r="E38">
            <v>39814</v>
          </cell>
          <cell r="F38">
            <v>112.85010229916664</v>
          </cell>
        </row>
        <row r="39">
          <cell r="E39">
            <v>39845</v>
          </cell>
          <cell r="F39">
            <v>113.70508636416662</v>
          </cell>
        </row>
        <row r="40">
          <cell r="E40">
            <v>39873</v>
          </cell>
          <cell r="F40">
            <v>113.54511165416666</v>
          </cell>
        </row>
        <row r="41">
          <cell r="E41">
            <v>39904</v>
          </cell>
          <cell r="F41">
            <v>112.08798124749997</v>
          </cell>
        </row>
        <row r="42">
          <cell r="E42">
            <v>39934</v>
          </cell>
          <cell r="F42">
            <v>110.78793853249994</v>
          </cell>
        </row>
        <row r="43">
          <cell r="E43">
            <v>39965</v>
          </cell>
          <cell r="F43">
            <v>109.02052584083323</v>
          </cell>
        </row>
        <row r="44">
          <cell r="E44">
            <v>39995</v>
          </cell>
          <cell r="F44">
            <v>106.70825967083324</v>
          </cell>
        </row>
        <row r="45">
          <cell r="E45">
            <v>40026</v>
          </cell>
          <cell r="F45">
            <v>104.51094372749992</v>
          </cell>
        </row>
        <row r="46">
          <cell r="E46">
            <v>40057</v>
          </cell>
          <cell r="F46">
            <v>103.12191220499996</v>
          </cell>
        </row>
        <row r="47">
          <cell r="E47">
            <v>40087</v>
          </cell>
          <cell r="F47">
            <v>101.29199168999992</v>
          </cell>
        </row>
        <row r="48">
          <cell r="E48">
            <v>40118</v>
          </cell>
          <cell r="F48">
            <v>97.066552281666546</v>
          </cell>
        </row>
        <row r="49">
          <cell r="E49">
            <v>40148</v>
          </cell>
          <cell r="F49">
            <v>98.18299595499991</v>
          </cell>
        </row>
        <row r="50">
          <cell r="E50">
            <v>40179</v>
          </cell>
          <cell r="F50">
            <v>97.082120467499905</v>
          </cell>
        </row>
        <row r="51">
          <cell r="E51">
            <v>40210</v>
          </cell>
          <cell r="F51">
            <v>97.908852493333271</v>
          </cell>
        </row>
        <row r="52">
          <cell r="E52">
            <v>40238</v>
          </cell>
          <cell r="F52">
            <v>101.88989509666665</v>
          </cell>
        </row>
        <row r="53">
          <cell r="E53">
            <v>40269</v>
          </cell>
          <cell r="F53">
            <v>105.20356637749997</v>
          </cell>
        </row>
        <row r="54">
          <cell r="E54">
            <v>40299</v>
          </cell>
          <cell r="F54">
            <v>108.60814835000002</v>
          </cell>
        </row>
        <row r="55">
          <cell r="E55">
            <v>40330</v>
          </cell>
          <cell r="F55">
            <v>113.71424204666674</v>
          </cell>
        </row>
        <row r="56">
          <cell r="E56">
            <v>40360</v>
          </cell>
          <cell r="F56">
            <v>119.44333249833339</v>
          </cell>
        </row>
        <row r="57">
          <cell r="E57">
            <v>40391</v>
          </cell>
          <cell r="F57">
            <v>127.0342835108333</v>
          </cell>
        </row>
        <row r="58">
          <cell r="E58">
            <v>40422</v>
          </cell>
          <cell r="F58">
            <v>133.52194592333331</v>
          </cell>
        </row>
        <row r="59">
          <cell r="E59">
            <v>40452</v>
          </cell>
          <cell r="F59">
            <v>141.39329050666677</v>
          </cell>
        </row>
      </sheetData>
      <sheetData sheetId="9">
        <row r="10">
          <cell r="E10">
            <v>38961</v>
          </cell>
        </row>
        <row r="11">
          <cell r="E11">
            <v>38991</v>
          </cell>
        </row>
        <row r="12">
          <cell r="E12">
            <v>39022</v>
          </cell>
        </row>
        <row r="13">
          <cell r="E13">
            <v>39052</v>
          </cell>
          <cell r="F13">
            <v>77.485959767499978</v>
          </cell>
        </row>
        <row r="14">
          <cell r="E14">
            <v>39083</v>
          </cell>
          <cell r="F14">
            <v>79.436619508333294</v>
          </cell>
        </row>
        <row r="15">
          <cell r="E15">
            <v>39114</v>
          </cell>
          <cell r="F15">
            <v>81.959253377499948</v>
          </cell>
        </row>
        <row r="16">
          <cell r="E16">
            <v>39142</v>
          </cell>
          <cell r="F16">
            <v>83.576788038333262</v>
          </cell>
        </row>
        <row r="17">
          <cell r="E17">
            <v>39173</v>
          </cell>
          <cell r="F17">
            <v>81.89838841583331</v>
          </cell>
        </row>
        <row r="18">
          <cell r="E18">
            <v>39203</v>
          </cell>
          <cell r="F18">
            <v>80.968722761666612</v>
          </cell>
        </row>
        <row r="19">
          <cell r="E19">
            <v>39234</v>
          </cell>
          <cell r="F19">
            <v>82.94296456416663</v>
          </cell>
        </row>
        <row r="20">
          <cell r="E20">
            <v>39264</v>
          </cell>
          <cell r="F20">
            <v>83.690767430000008</v>
          </cell>
        </row>
        <row r="21">
          <cell r="E21">
            <v>39295</v>
          </cell>
          <cell r="F21">
            <v>85.281901586666663</v>
          </cell>
        </row>
        <row r="22">
          <cell r="E22">
            <v>39326</v>
          </cell>
          <cell r="F22">
            <v>87.363762274999999</v>
          </cell>
        </row>
        <row r="23">
          <cell r="E23">
            <v>39356</v>
          </cell>
          <cell r="F23">
            <v>89.38345081750002</v>
          </cell>
        </row>
        <row r="24">
          <cell r="E24">
            <v>39387</v>
          </cell>
          <cell r="F24">
            <v>91.279617054166707</v>
          </cell>
        </row>
        <row r="25">
          <cell r="E25">
            <v>39417</v>
          </cell>
          <cell r="F25">
            <v>93.435844630000062</v>
          </cell>
        </row>
        <row r="26">
          <cell r="E26">
            <v>39448</v>
          </cell>
          <cell r="F26">
            <v>94.034481665833383</v>
          </cell>
        </row>
        <row r="27">
          <cell r="E27">
            <v>39479</v>
          </cell>
          <cell r="F27">
            <v>94.768779571666741</v>
          </cell>
        </row>
        <row r="28">
          <cell r="E28">
            <v>39508</v>
          </cell>
          <cell r="F28">
            <v>94.802430794166767</v>
          </cell>
        </row>
        <row r="29">
          <cell r="E29">
            <v>39539</v>
          </cell>
          <cell r="F29">
            <v>98.367047167500104</v>
          </cell>
        </row>
        <row r="30">
          <cell r="E30">
            <v>39569</v>
          </cell>
          <cell r="F30">
            <v>98.865373124166766</v>
          </cell>
        </row>
        <row r="31">
          <cell r="E31">
            <v>39600</v>
          </cell>
          <cell r="F31">
            <v>96.913330728333392</v>
          </cell>
        </row>
        <row r="32">
          <cell r="E32">
            <v>39630</v>
          </cell>
          <cell r="F32">
            <v>97.675597549166767</v>
          </cell>
        </row>
        <row r="33">
          <cell r="E33">
            <v>39661</v>
          </cell>
          <cell r="F33">
            <v>95.745012895000102</v>
          </cell>
        </row>
        <row r="34">
          <cell r="E34">
            <v>39692</v>
          </cell>
          <cell r="F34">
            <v>93.056462040000099</v>
          </cell>
        </row>
        <row r="35">
          <cell r="E35">
            <v>39722</v>
          </cell>
          <cell r="F35">
            <v>93.845989350000082</v>
          </cell>
        </row>
        <row r="36">
          <cell r="E36">
            <v>39753</v>
          </cell>
          <cell r="F36">
            <v>92.47342742250008</v>
          </cell>
        </row>
        <row r="37">
          <cell r="E37">
            <v>39783</v>
          </cell>
          <cell r="F37">
            <v>91.892090585833387</v>
          </cell>
        </row>
        <row r="38">
          <cell r="E38">
            <v>39814</v>
          </cell>
          <cell r="F38">
            <v>92.883973913333378</v>
          </cell>
        </row>
        <row r="39">
          <cell r="E39">
            <v>39845</v>
          </cell>
          <cell r="F39">
            <v>91.579659411666725</v>
          </cell>
        </row>
        <row r="40">
          <cell r="E40">
            <v>39873</v>
          </cell>
          <cell r="F40">
            <v>89.2986131341667</v>
          </cell>
        </row>
        <row r="41">
          <cell r="E41">
            <v>39904</v>
          </cell>
          <cell r="F41">
            <v>85.435554377499997</v>
          </cell>
        </row>
        <row r="42">
          <cell r="E42">
            <v>39934</v>
          </cell>
          <cell r="F42">
            <v>79.627678025000009</v>
          </cell>
        </row>
        <row r="43">
          <cell r="E43">
            <v>39965</v>
          </cell>
          <cell r="F43">
            <v>77.68076609750004</v>
          </cell>
        </row>
        <row r="44">
          <cell r="E44">
            <v>39995</v>
          </cell>
          <cell r="F44">
            <v>74.735023850000019</v>
          </cell>
        </row>
        <row r="45">
          <cell r="E45">
            <v>40026</v>
          </cell>
          <cell r="F45">
            <v>73.477183166666677</v>
          </cell>
        </row>
        <row r="46">
          <cell r="E46">
            <v>40057</v>
          </cell>
          <cell r="F46">
            <v>72.947535848333331</v>
          </cell>
        </row>
        <row r="47">
          <cell r="E47">
            <v>40087</v>
          </cell>
          <cell r="F47">
            <v>74.236160620833346</v>
          </cell>
        </row>
        <row r="48">
          <cell r="E48">
            <v>40118</v>
          </cell>
          <cell r="F48">
            <v>72.631681218333327</v>
          </cell>
        </row>
        <row r="49">
          <cell r="E49">
            <v>40148</v>
          </cell>
          <cell r="F49">
            <v>72.392592035833403</v>
          </cell>
        </row>
        <row r="50">
          <cell r="E50">
            <v>40179</v>
          </cell>
          <cell r="F50">
            <v>70.526520132500067</v>
          </cell>
        </row>
        <row r="51">
          <cell r="E51">
            <v>40210</v>
          </cell>
          <cell r="F51">
            <v>73.009929453333356</v>
          </cell>
        </row>
        <row r="52">
          <cell r="E52">
            <v>40238</v>
          </cell>
          <cell r="F52">
            <v>79.357017137500051</v>
          </cell>
        </row>
        <row r="53">
          <cell r="E53">
            <v>40269</v>
          </cell>
          <cell r="F53">
            <v>85.939218160000053</v>
          </cell>
        </row>
        <row r="54">
          <cell r="E54">
            <v>40299</v>
          </cell>
          <cell r="F54">
            <v>93.299301968333438</v>
          </cell>
        </row>
        <row r="55">
          <cell r="E55">
            <v>40330</v>
          </cell>
          <cell r="F55">
            <v>101.03207855833341</v>
          </cell>
        </row>
        <row r="56">
          <cell r="E56">
            <v>40360</v>
          </cell>
          <cell r="F56">
            <v>107.3491444466668</v>
          </cell>
        </row>
        <row r="57">
          <cell r="E57">
            <v>40391</v>
          </cell>
          <cell r="F57">
            <v>113.7598924516668</v>
          </cell>
        </row>
        <row r="58">
          <cell r="E58">
            <v>40422</v>
          </cell>
          <cell r="F58">
            <v>121.43138750583347</v>
          </cell>
        </row>
      </sheetData>
      <sheetData sheetId="10">
        <row r="10">
          <cell r="E10">
            <v>38961</v>
          </cell>
        </row>
        <row r="11">
          <cell r="E11">
            <v>38991</v>
          </cell>
        </row>
        <row r="12">
          <cell r="E12">
            <v>39022</v>
          </cell>
        </row>
        <row r="13">
          <cell r="E13">
            <v>39052</v>
          </cell>
          <cell r="F13">
            <v>69.85383841499997</v>
          </cell>
        </row>
        <row r="14">
          <cell r="E14">
            <v>39083</v>
          </cell>
          <cell r="F14">
            <v>71.839477841666636</v>
          </cell>
        </row>
        <row r="15">
          <cell r="E15">
            <v>39114</v>
          </cell>
          <cell r="F15">
            <v>79.293509321666633</v>
          </cell>
        </row>
        <row r="16">
          <cell r="E16">
            <v>39142</v>
          </cell>
          <cell r="F16">
            <v>81.703626270000015</v>
          </cell>
        </row>
        <row r="17">
          <cell r="E17">
            <v>39173</v>
          </cell>
          <cell r="F17">
            <v>82.336653319166672</v>
          </cell>
        </row>
        <row r="18">
          <cell r="E18">
            <v>39203</v>
          </cell>
          <cell r="F18">
            <v>79.274940053333339</v>
          </cell>
        </row>
        <row r="19">
          <cell r="E19">
            <v>39234</v>
          </cell>
          <cell r="F19">
            <v>77.422445416666719</v>
          </cell>
        </row>
        <row r="20">
          <cell r="E20">
            <v>39264</v>
          </cell>
          <cell r="F20">
            <v>75.352143660000067</v>
          </cell>
        </row>
        <row r="21">
          <cell r="E21">
            <v>39295</v>
          </cell>
          <cell r="F21">
            <v>73.840007274166709</v>
          </cell>
        </row>
        <row r="22">
          <cell r="E22">
            <v>39326</v>
          </cell>
          <cell r="F22">
            <v>75.385356030833364</v>
          </cell>
        </row>
        <row r="23">
          <cell r="E23">
            <v>39356</v>
          </cell>
          <cell r="F23">
            <v>79.003220212500011</v>
          </cell>
        </row>
        <row r="24">
          <cell r="E24">
            <v>39387</v>
          </cell>
          <cell r="F24">
            <v>83.280119561666666</v>
          </cell>
        </row>
        <row r="25">
          <cell r="E25">
            <v>39417</v>
          </cell>
          <cell r="F25">
            <v>82.055186277499985</v>
          </cell>
        </row>
        <row r="26">
          <cell r="E26">
            <v>39448</v>
          </cell>
          <cell r="F26">
            <v>84.3119428808333</v>
          </cell>
        </row>
        <row r="27">
          <cell r="E27">
            <v>39479</v>
          </cell>
          <cell r="F27">
            <v>79.782511964166645</v>
          </cell>
        </row>
        <row r="28">
          <cell r="E28">
            <v>39508</v>
          </cell>
          <cell r="F28">
            <v>78.465914168333285</v>
          </cell>
        </row>
        <row r="29">
          <cell r="E29">
            <v>39539</v>
          </cell>
          <cell r="F29">
            <v>78.024885872499951</v>
          </cell>
        </row>
        <row r="30">
          <cell r="E30">
            <v>39569</v>
          </cell>
          <cell r="F30">
            <v>76.585612319166614</v>
          </cell>
        </row>
        <row r="31">
          <cell r="E31">
            <v>39600</v>
          </cell>
          <cell r="F31">
            <v>79.95003352166664</v>
          </cell>
        </row>
        <row r="32">
          <cell r="E32">
            <v>39630</v>
          </cell>
          <cell r="F32">
            <v>80.581819585833287</v>
          </cell>
        </row>
        <row r="33">
          <cell r="E33">
            <v>39661</v>
          </cell>
          <cell r="F33">
            <v>85.8169887108333</v>
          </cell>
        </row>
        <row r="34">
          <cell r="E34">
            <v>39692</v>
          </cell>
          <cell r="F34">
            <v>85.978968886666635</v>
          </cell>
        </row>
        <row r="35">
          <cell r="E35">
            <v>39722</v>
          </cell>
          <cell r="F35">
            <v>84.157302770833283</v>
          </cell>
        </row>
        <row r="36">
          <cell r="E36">
            <v>39753</v>
          </cell>
          <cell r="F36">
            <v>80.294099578333316</v>
          </cell>
        </row>
        <row r="37">
          <cell r="E37">
            <v>39783</v>
          </cell>
          <cell r="F37">
            <v>79.778622040833341</v>
          </cell>
        </row>
        <row r="38">
          <cell r="E38">
            <v>39814</v>
          </cell>
          <cell r="F38">
            <v>77.266641381666673</v>
          </cell>
        </row>
        <row r="39">
          <cell r="E39">
            <v>39845</v>
          </cell>
          <cell r="F39">
            <v>80.596752348333339</v>
          </cell>
        </row>
        <row r="40">
          <cell r="E40">
            <v>39873</v>
          </cell>
          <cell r="F40">
            <v>83.205848108333342</v>
          </cell>
        </row>
        <row r="41">
          <cell r="E41">
            <v>39904</v>
          </cell>
          <cell r="F41">
            <v>82.652263418333362</v>
          </cell>
        </row>
        <row r="42">
          <cell r="E42">
            <v>39934</v>
          </cell>
          <cell r="F42">
            <v>82.122681517500027</v>
          </cell>
        </row>
        <row r="43">
          <cell r="E43">
            <v>39965</v>
          </cell>
          <cell r="F43">
            <v>80.342326788333352</v>
          </cell>
        </row>
        <row r="44">
          <cell r="E44">
            <v>39995</v>
          </cell>
          <cell r="F44">
            <v>81.41884950083336</v>
          </cell>
        </row>
        <row r="45">
          <cell r="E45">
            <v>40026</v>
          </cell>
          <cell r="F45">
            <v>76.080557766666729</v>
          </cell>
        </row>
        <row r="46">
          <cell r="E46">
            <v>40057</v>
          </cell>
          <cell r="F46">
            <v>72.951270123333416</v>
          </cell>
        </row>
        <row r="47">
          <cell r="E47">
            <v>40087</v>
          </cell>
          <cell r="F47">
            <v>71.526291715000113</v>
          </cell>
        </row>
        <row r="48">
          <cell r="E48">
            <v>40118</v>
          </cell>
          <cell r="F48">
            <v>71.286146210833408</v>
          </cell>
        </row>
        <row r="49">
          <cell r="E49">
            <v>40148</v>
          </cell>
          <cell r="F49">
            <v>69.411983321666753</v>
          </cell>
        </row>
        <row r="50">
          <cell r="E50">
            <v>40179</v>
          </cell>
          <cell r="F50">
            <v>67.988808960000071</v>
          </cell>
        </row>
        <row r="51">
          <cell r="E51">
            <v>40210</v>
          </cell>
          <cell r="F51">
            <v>63.315062850833407</v>
          </cell>
        </row>
        <row r="52">
          <cell r="E52">
            <v>40238</v>
          </cell>
          <cell r="F52">
            <v>62.402437743333415</v>
          </cell>
        </row>
        <row r="53">
          <cell r="E53">
            <v>40269</v>
          </cell>
          <cell r="F53">
            <v>62.619014565833396</v>
          </cell>
        </row>
        <row r="54">
          <cell r="E54">
            <v>40299</v>
          </cell>
          <cell r="F54">
            <v>63.791075774166735</v>
          </cell>
        </row>
        <row r="55">
          <cell r="E55">
            <v>40330</v>
          </cell>
          <cell r="F55">
            <v>64.04808438750004</v>
          </cell>
        </row>
        <row r="56">
          <cell r="E56">
            <v>40360</v>
          </cell>
          <cell r="F56">
            <v>62.574637084166703</v>
          </cell>
        </row>
        <row r="57">
          <cell r="E57">
            <v>40391</v>
          </cell>
          <cell r="F57">
            <v>65.038860860000014</v>
          </cell>
        </row>
        <row r="58">
          <cell r="E58">
            <v>40422</v>
          </cell>
          <cell r="F58">
            <v>67.785553770833346</v>
          </cell>
        </row>
      </sheetData>
      <sheetData sheetId="11">
        <row r="10">
          <cell r="E10">
            <v>38961</v>
          </cell>
        </row>
        <row r="11">
          <cell r="E11">
            <v>38991</v>
          </cell>
        </row>
        <row r="12">
          <cell r="E12">
            <v>39022</v>
          </cell>
        </row>
        <row r="13">
          <cell r="E13">
            <v>39052</v>
          </cell>
          <cell r="F13">
            <v>29.385337295000003</v>
          </cell>
        </row>
        <row r="14">
          <cell r="E14">
            <v>39083</v>
          </cell>
          <cell r="F14">
            <v>30.093520451666659</v>
          </cell>
        </row>
        <row r="15">
          <cell r="E15">
            <v>39114</v>
          </cell>
          <cell r="F15">
            <v>30.668381133333327</v>
          </cell>
        </row>
        <row r="16">
          <cell r="E16">
            <v>39142</v>
          </cell>
          <cell r="F16">
            <v>31.278211074166659</v>
          </cell>
        </row>
        <row r="17">
          <cell r="E17">
            <v>39173</v>
          </cell>
          <cell r="F17">
            <v>31.546694391666659</v>
          </cell>
        </row>
        <row r="18">
          <cell r="E18">
            <v>39203</v>
          </cell>
          <cell r="F18">
            <v>31.380931694166659</v>
          </cell>
        </row>
        <row r="19">
          <cell r="E19">
            <v>39234</v>
          </cell>
          <cell r="F19">
            <v>32.045454792499989</v>
          </cell>
        </row>
        <row r="20">
          <cell r="E20">
            <v>39264</v>
          </cell>
          <cell r="F20">
            <v>33.275293020833324</v>
          </cell>
        </row>
        <row r="21">
          <cell r="E21">
            <v>39295</v>
          </cell>
          <cell r="F21">
            <v>35.411437218333354</v>
          </cell>
        </row>
        <row r="22">
          <cell r="E22">
            <v>39326</v>
          </cell>
          <cell r="F22">
            <v>36.586576230833344</v>
          </cell>
        </row>
        <row r="23">
          <cell r="E23">
            <v>39356</v>
          </cell>
          <cell r="F23">
            <v>38.100364675000002</v>
          </cell>
        </row>
        <row r="24">
          <cell r="E24">
            <v>39387</v>
          </cell>
          <cell r="F24">
            <v>39.460032181666655</v>
          </cell>
        </row>
        <row r="25">
          <cell r="E25">
            <v>39417</v>
          </cell>
          <cell r="F25">
            <v>38.614335614166663</v>
          </cell>
        </row>
        <row r="26">
          <cell r="E26">
            <v>39448</v>
          </cell>
          <cell r="F26">
            <v>39.147204689166657</v>
          </cell>
        </row>
        <row r="27">
          <cell r="E27">
            <v>39479</v>
          </cell>
          <cell r="F27">
            <v>40.105219527500005</v>
          </cell>
        </row>
        <row r="28">
          <cell r="E28">
            <v>39508</v>
          </cell>
          <cell r="F28">
            <v>40.885402649999996</v>
          </cell>
        </row>
        <row r="29">
          <cell r="E29">
            <v>39539</v>
          </cell>
          <cell r="F29">
            <v>43.260239519999999</v>
          </cell>
        </row>
        <row r="30">
          <cell r="E30">
            <v>39569</v>
          </cell>
          <cell r="F30">
            <v>47.530323236666675</v>
          </cell>
        </row>
        <row r="31">
          <cell r="E31">
            <v>39600</v>
          </cell>
          <cell r="F31">
            <v>48.562629949166677</v>
          </cell>
        </row>
        <row r="32">
          <cell r="E32">
            <v>39630</v>
          </cell>
          <cell r="F32">
            <v>49.32465192916667</v>
          </cell>
        </row>
        <row r="33">
          <cell r="E33">
            <v>39661</v>
          </cell>
          <cell r="F33">
            <v>48.374825852499988</v>
          </cell>
        </row>
        <row r="34">
          <cell r="E34">
            <v>39692</v>
          </cell>
          <cell r="F34">
            <v>51.791682795833331</v>
          </cell>
        </row>
        <row r="35">
          <cell r="E35">
            <v>39722</v>
          </cell>
          <cell r="F35">
            <v>52.240128975833336</v>
          </cell>
        </row>
        <row r="36">
          <cell r="E36">
            <v>39753</v>
          </cell>
          <cell r="F36">
            <v>56.012514226666696</v>
          </cell>
        </row>
        <row r="37">
          <cell r="E37">
            <v>39783</v>
          </cell>
          <cell r="F37">
            <v>56.427148755000019</v>
          </cell>
        </row>
        <row r="38">
          <cell r="E38">
            <v>39814</v>
          </cell>
          <cell r="F38">
            <v>56.919993091666704</v>
          </cell>
        </row>
        <row r="39">
          <cell r="E39">
            <v>39845</v>
          </cell>
          <cell r="F39">
            <v>56.312125363333365</v>
          </cell>
        </row>
        <row r="40">
          <cell r="E40">
            <v>39873</v>
          </cell>
          <cell r="F40">
            <v>55.380076637500046</v>
          </cell>
        </row>
        <row r="41">
          <cell r="E41">
            <v>39904</v>
          </cell>
          <cell r="F41">
            <v>53.917667687500035</v>
          </cell>
        </row>
        <row r="42">
          <cell r="E42">
            <v>39934</v>
          </cell>
          <cell r="F42">
            <v>50.068127644166701</v>
          </cell>
        </row>
        <row r="43">
          <cell r="E43">
            <v>39965</v>
          </cell>
          <cell r="F43">
            <v>49.24412637583336</v>
          </cell>
        </row>
        <row r="44">
          <cell r="E44">
            <v>39995</v>
          </cell>
          <cell r="F44">
            <v>48.447113450833349</v>
          </cell>
        </row>
        <row r="45">
          <cell r="E45">
            <v>40026</v>
          </cell>
          <cell r="F45">
            <v>48.341758004166678</v>
          </cell>
        </row>
        <row r="46">
          <cell r="E46">
            <v>40057</v>
          </cell>
          <cell r="F46">
            <v>44.710403694166665</v>
          </cell>
        </row>
        <row r="47">
          <cell r="E47">
            <v>40087</v>
          </cell>
          <cell r="F47">
            <v>47.909600655000013</v>
          </cell>
        </row>
        <row r="48">
          <cell r="E48">
            <v>40118</v>
          </cell>
          <cell r="F48">
            <v>44.057779269999976</v>
          </cell>
        </row>
        <row r="49">
          <cell r="E49">
            <v>40148</v>
          </cell>
          <cell r="F49">
            <v>44.547287956666658</v>
          </cell>
        </row>
        <row r="50">
          <cell r="E50">
            <v>40179</v>
          </cell>
          <cell r="F50">
            <v>44.425481353333318</v>
          </cell>
        </row>
        <row r="51">
          <cell r="E51">
            <v>40210</v>
          </cell>
          <cell r="F51">
            <v>49.279371994166659</v>
          </cell>
        </row>
        <row r="52">
          <cell r="E52">
            <v>40238</v>
          </cell>
          <cell r="F52">
            <v>55.033160605000035</v>
          </cell>
        </row>
        <row r="53">
          <cell r="E53">
            <v>40269</v>
          </cell>
          <cell r="F53">
            <v>55.593348081666683</v>
          </cell>
        </row>
        <row r="54">
          <cell r="E54">
            <v>40299</v>
          </cell>
          <cell r="F54">
            <v>56.232214746666692</v>
          </cell>
        </row>
        <row r="55">
          <cell r="E55">
            <v>40330</v>
          </cell>
          <cell r="F55">
            <v>57.345756594166708</v>
          </cell>
        </row>
        <row r="56">
          <cell r="E56">
            <v>40360</v>
          </cell>
          <cell r="F56">
            <v>58.234118547500053</v>
          </cell>
        </row>
        <row r="57">
          <cell r="E57">
            <v>40391</v>
          </cell>
          <cell r="F57">
            <v>58.766111830000064</v>
          </cell>
        </row>
        <row r="58">
          <cell r="E58">
            <v>40422</v>
          </cell>
          <cell r="F58">
            <v>60.451189672500057</v>
          </cell>
        </row>
        <row r="59">
          <cell r="E59">
            <v>40452</v>
          </cell>
          <cell r="F59">
            <v>57.366885135000068</v>
          </cell>
        </row>
      </sheetData>
    </sheetDataSet>
  </externalBook>
</externalLink>
</file>

<file path=xl/externalLinks/externalLink18.xml><?xml version="1.0" encoding="utf-8"?>
<externalLink xmlns="http://schemas.openxmlformats.org/spreadsheetml/2006/main">
  <externalBook xmlns:r="http://schemas.openxmlformats.org/officeDocument/2006/relationships" r:id="rId1">
    <sheetNames>
      <sheetName val="princ_paises"/>
    </sheetNames>
    <sheetDataSet>
      <sheetData sheetId="0">
        <row r="7">
          <cell r="C7">
            <v>235647860</v>
          </cell>
          <cell r="D7">
            <v>270897497</v>
          </cell>
          <cell r="E7">
            <v>315073200</v>
          </cell>
          <cell r="F7">
            <v>324425031</v>
          </cell>
          <cell r="G7">
            <v>324081293</v>
          </cell>
        </row>
        <row r="8">
          <cell r="C8">
            <v>221813928</v>
          </cell>
          <cell r="D8">
            <v>320406371</v>
          </cell>
          <cell r="E8">
            <v>310724906</v>
          </cell>
          <cell r="F8">
            <v>311414710</v>
          </cell>
          <cell r="G8">
            <v>329567940</v>
          </cell>
        </row>
        <row r="9">
          <cell r="C9">
            <v>281590596</v>
          </cell>
          <cell r="D9">
            <v>286729028</v>
          </cell>
          <cell r="E9">
            <v>331893411</v>
          </cell>
          <cell r="F9">
            <v>343292472</v>
          </cell>
          <cell r="G9">
            <v>401769756</v>
          </cell>
        </row>
        <row r="10">
          <cell r="C10">
            <v>228342619</v>
          </cell>
          <cell r="D10">
            <v>268546332</v>
          </cell>
          <cell r="E10">
            <v>405340034</v>
          </cell>
          <cell r="F10">
            <v>348979886</v>
          </cell>
          <cell r="G10">
            <v>381339826</v>
          </cell>
        </row>
        <row r="11">
          <cell r="C11">
            <v>238021772</v>
          </cell>
          <cell r="D11">
            <v>297720789</v>
          </cell>
          <cell r="E11">
            <v>337017801</v>
          </cell>
          <cell r="F11">
            <v>250006073</v>
          </cell>
          <cell r="G11">
            <v>334339539</v>
          </cell>
        </row>
        <row r="12">
          <cell r="C12">
            <v>255624891</v>
          </cell>
          <cell r="D12">
            <v>293216778</v>
          </cell>
          <cell r="E12">
            <v>363605326</v>
          </cell>
          <cell r="F12">
            <v>303775246</v>
          </cell>
          <cell r="G12">
            <v>338612901</v>
          </cell>
        </row>
        <row r="13">
          <cell r="C13">
            <v>250031222</v>
          </cell>
          <cell r="D13">
            <v>298901841</v>
          </cell>
          <cell r="E13">
            <v>413922086</v>
          </cell>
          <cell r="F13">
            <v>336971584</v>
          </cell>
          <cell r="G13">
            <v>374969356</v>
          </cell>
        </row>
        <row r="14">
          <cell r="C14">
            <v>270183927</v>
          </cell>
          <cell r="D14">
            <v>331519154</v>
          </cell>
          <cell r="E14">
            <v>335019672</v>
          </cell>
          <cell r="F14">
            <v>267135382</v>
          </cell>
          <cell r="G14">
            <v>471350352</v>
          </cell>
        </row>
        <row r="15">
          <cell r="C15">
            <v>244573315</v>
          </cell>
          <cell r="D15">
            <v>302108007</v>
          </cell>
          <cell r="E15">
            <v>326004014</v>
          </cell>
          <cell r="F15">
            <v>316836336</v>
          </cell>
          <cell r="G15">
            <v>433810357</v>
          </cell>
        </row>
        <row r="16">
          <cell r="C16">
            <v>270404728</v>
          </cell>
          <cell r="D16">
            <v>380803197</v>
          </cell>
          <cell r="E16">
            <v>377688979</v>
          </cell>
          <cell r="F16">
            <v>353444776</v>
          </cell>
          <cell r="G16">
            <v>440311031</v>
          </cell>
        </row>
        <row r="17">
          <cell r="C17">
            <v>247513385</v>
          </cell>
          <cell r="D17">
            <v>351125028</v>
          </cell>
          <cell r="E17">
            <v>344330360</v>
          </cell>
          <cell r="F17">
            <v>302899182</v>
          </cell>
        </row>
        <row r="18">
          <cell r="C18">
            <v>251583082</v>
          </cell>
          <cell r="D18">
            <v>353233015</v>
          </cell>
          <cell r="E18">
            <v>398676308</v>
          </cell>
          <cell r="F18">
            <v>382458223</v>
          </cell>
        </row>
        <row r="32">
          <cell r="C32">
            <v>36640820</v>
          </cell>
          <cell r="D32">
            <v>54902939</v>
          </cell>
          <cell r="E32">
            <v>98566007</v>
          </cell>
          <cell r="F32">
            <v>111007675</v>
          </cell>
          <cell r="G32">
            <v>97797169</v>
          </cell>
        </row>
        <row r="33">
          <cell r="C33">
            <v>34213266</v>
          </cell>
          <cell r="D33">
            <v>56304304</v>
          </cell>
          <cell r="E33">
            <v>82274044</v>
          </cell>
          <cell r="F33">
            <v>92533852</v>
          </cell>
          <cell r="G33">
            <v>102454637</v>
          </cell>
        </row>
        <row r="34">
          <cell r="C34">
            <v>35550046</v>
          </cell>
          <cell r="D34">
            <v>72105998</v>
          </cell>
          <cell r="E34">
            <v>78978789</v>
          </cell>
          <cell r="F34">
            <v>77059093</v>
          </cell>
          <cell r="G34">
            <v>124831604</v>
          </cell>
        </row>
        <row r="35">
          <cell r="C35">
            <v>47213970</v>
          </cell>
          <cell r="D35">
            <v>66535872</v>
          </cell>
          <cell r="E35">
            <v>98174038</v>
          </cell>
          <cell r="F35">
            <v>80688473</v>
          </cell>
          <cell r="G35">
            <v>120452528</v>
          </cell>
        </row>
        <row r="36">
          <cell r="C36">
            <v>44999857</v>
          </cell>
          <cell r="D36">
            <v>74097904</v>
          </cell>
          <cell r="E36">
            <v>96040043</v>
          </cell>
          <cell r="F36">
            <v>80439530</v>
          </cell>
          <cell r="G36">
            <v>121294514</v>
          </cell>
        </row>
        <row r="37">
          <cell r="C37">
            <v>48226393</v>
          </cell>
          <cell r="D37">
            <v>71890561</v>
          </cell>
          <cell r="E37">
            <v>115749537</v>
          </cell>
          <cell r="F37">
            <v>94540585</v>
          </cell>
          <cell r="G37">
            <v>155813709</v>
          </cell>
        </row>
        <row r="38">
          <cell r="C38">
            <v>43454550</v>
          </cell>
          <cell r="D38">
            <v>82810235</v>
          </cell>
          <cell r="E38">
            <v>128162233</v>
          </cell>
          <cell r="F38">
            <v>100415039</v>
          </cell>
          <cell r="G38">
            <v>169164124</v>
          </cell>
        </row>
        <row r="39">
          <cell r="C39">
            <v>55244968</v>
          </cell>
          <cell r="D39">
            <v>111686664</v>
          </cell>
          <cell r="E39">
            <v>115164861</v>
          </cell>
          <cell r="F39">
            <v>88797070</v>
          </cell>
          <cell r="G39">
            <v>179888482</v>
          </cell>
        </row>
        <row r="40">
          <cell r="C40">
            <v>50988672</v>
          </cell>
          <cell r="D40">
            <v>97471212</v>
          </cell>
          <cell r="E40">
            <v>120868003</v>
          </cell>
          <cell r="F40">
            <v>104199624</v>
          </cell>
          <cell r="G40">
            <v>182051573</v>
          </cell>
        </row>
        <row r="41">
          <cell r="C41">
            <v>62277094</v>
          </cell>
          <cell r="D41">
            <v>101480598</v>
          </cell>
          <cell r="E41">
            <v>139359113</v>
          </cell>
          <cell r="F41">
            <v>117400066</v>
          </cell>
          <cell r="G41">
            <v>211856201</v>
          </cell>
        </row>
        <row r="42">
          <cell r="C42">
            <v>61595522</v>
          </cell>
          <cell r="D42">
            <v>94649005</v>
          </cell>
          <cell r="E42">
            <v>153536241</v>
          </cell>
          <cell r="F42">
            <v>102830968</v>
          </cell>
        </row>
        <row r="43">
          <cell r="C43">
            <v>52760795</v>
          </cell>
          <cell r="D43">
            <v>80336985</v>
          </cell>
          <cell r="E43">
            <v>114886652</v>
          </cell>
          <cell r="F43">
            <v>128283976</v>
          </cell>
        </row>
        <row r="57">
          <cell r="C57">
            <v>48412752</v>
          </cell>
          <cell r="D57">
            <v>71820669</v>
          </cell>
          <cell r="E57">
            <v>79004313</v>
          </cell>
          <cell r="F57">
            <v>90906913</v>
          </cell>
          <cell r="G57">
            <v>68514050</v>
          </cell>
        </row>
        <row r="58">
          <cell r="C58">
            <v>48610935</v>
          </cell>
          <cell r="D58">
            <v>78882541</v>
          </cell>
          <cell r="E58">
            <v>87694116</v>
          </cell>
          <cell r="F58">
            <v>72042342</v>
          </cell>
          <cell r="G58">
            <v>101843254</v>
          </cell>
        </row>
        <row r="59">
          <cell r="C59">
            <v>70186450</v>
          </cell>
          <cell r="D59">
            <v>89596866</v>
          </cell>
          <cell r="E59">
            <v>90000680</v>
          </cell>
          <cell r="F59">
            <v>62628125</v>
          </cell>
          <cell r="G59">
            <v>138793177</v>
          </cell>
        </row>
        <row r="60">
          <cell r="C60">
            <v>84978437</v>
          </cell>
          <cell r="D60">
            <v>64837641</v>
          </cell>
          <cell r="E60">
            <v>107613038</v>
          </cell>
          <cell r="F60">
            <v>61256333</v>
          </cell>
          <cell r="G60">
            <v>140242745</v>
          </cell>
        </row>
        <row r="61">
          <cell r="C61">
            <v>117842469</v>
          </cell>
          <cell r="D61">
            <v>106686482</v>
          </cell>
          <cell r="E61">
            <v>112666393</v>
          </cell>
          <cell r="F61">
            <v>42971877</v>
          </cell>
          <cell r="G61">
            <v>131292883</v>
          </cell>
        </row>
        <row r="62">
          <cell r="C62">
            <v>73571356</v>
          </cell>
          <cell r="D62">
            <v>97262258</v>
          </cell>
          <cell r="E62">
            <v>73837749</v>
          </cell>
          <cell r="F62">
            <v>50474806</v>
          </cell>
          <cell r="G62">
            <v>143268125</v>
          </cell>
        </row>
        <row r="63">
          <cell r="C63">
            <v>82387808</v>
          </cell>
          <cell r="D63">
            <v>91361443</v>
          </cell>
          <cell r="E63">
            <v>100508644</v>
          </cell>
          <cell r="F63">
            <v>65159738</v>
          </cell>
          <cell r="G63">
            <v>140964528</v>
          </cell>
        </row>
        <row r="64">
          <cell r="C64">
            <v>74960304</v>
          </cell>
          <cell r="D64">
            <v>94053914</v>
          </cell>
          <cell r="E64">
            <v>70886898</v>
          </cell>
          <cell r="F64">
            <v>55792810</v>
          </cell>
          <cell r="G64">
            <v>132721786</v>
          </cell>
        </row>
        <row r="65">
          <cell r="C65">
            <v>76342458</v>
          </cell>
          <cell r="D65">
            <v>101324786</v>
          </cell>
          <cell r="E65">
            <v>69062176</v>
          </cell>
          <cell r="F65">
            <v>62706408</v>
          </cell>
          <cell r="G65">
            <v>154764349</v>
          </cell>
        </row>
        <row r="66">
          <cell r="C66">
            <v>79904728</v>
          </cell>
          <cell r="D66">
            <v>104140991</v>
          </cell>
          <cell r="E66">
            <v>113615318</v>
          </cell>
          <cell r="F66">
            <v>129078816</v>
          </cell>
        </row>
        <row r="67">
          <cell r="C67">
            <v>91443167</v>
          </cell>
          <cell r="D67">
            <v>114197162</v>
          </cell>
          <cell r="E67">
            <v>97726419</v>
          </cell>
          <cell r="F67">
            <v>78472666</v>
          </cell>
        </row>
        <row r="68">
          <cell r="C68">
            <v>81190653</v>
          </cell>
          <cell r="D68">
            <v>107065384</v>
          </cell>
          <cell r="E68">
            <v>100089341</v>
          </cell>
          <cell r="F68">
            <v>97220271</v>
          </cell>
        </row>
        <row r="82">
          <cell r="C82">
            <v>43998869</v>
          </cell>
          <cell r="D82">
            <v>67826542</v>
          </cell>
          <cell r="E82">
            <v>94907622</v>
          </cell>
          <cell r="F82">
            <v>64763854</v>
          </cell>
          <cell r="G82">
            <v>47685761</v>
          </cell>
        </row>
        <row r="83">
          <cell r="C83">
            <v>42521554</v>
          </cell>
          <cell r="D83">
            <v>131969931</v>
          </cell>
          <cell r="E83">
            <v>77616760</v>
          </cell>
          <cell r="F83">
            <v>117578092</v>
          </cell>
          <cell r="G83">
            <v>61493139</v>
          </cell>
        </row>
        <row r="84">
          <cell r="C84">
            <v>55060432</v>
          </cell>
          <cell r="D84">
            <v>83981835</v>
          </cell>
          <cell r="E84">
            <v>68182662</v>
          </cell>
          <cell r="F84">
            <v>99491811</v>
          </cell>
          <cell r="G84">
            <v>88540310</v>
          </cell>
        </row>
        <row r="85">
          <cell r="C85">
            <v>60223500</v>
          </cell>
          <cell r="D85">
            <v>67819825</v>
          </cell>
          <cell r="E85">
            <v>62527485</v>
          </cell>
          <cell r="F85">
            <v>55884469</v>
          </cell>
          <cell r="G85">
            <v>58483391</v>
          </cell>
        </row>
        <row r="86">
          <cell r="C86">
            <v>109682969</v>
          </cell>
          <cell r="D86">
            <v>72942410</v>
          </cell>
          <cell r="E86">
            <v>55671127</v>
          </cell>
          <cell r="F86">
            <v>49316145</v>
          </cell>
          <cell r="G86">
            <v>63380879</v>
          </cell>
        </row>
        <row r="87">
          <cell r="C87">
            <v>75789961</v>
          </cell>
          <cell r="D87">
            <v>53560025</v>
          </cell>
          <cell r="E87">
            <v>93933080</v>
          </cell>
          <cell r="F87">
            <v>72568823</v>
          </cell>
          <cell r="G87">
            <v>75652926</v>
          </cell>
        </row>
        <row r="88">
          <cell r="C88">
            <v>83459814</v>
          </cell>
          <cell r="D88">
            <v>58616193</v>
          </cell>
          <cell r="E88">
            <v>66197625</v>
          </cell>
          <cell r="F88">
            <v>79115898</v>
          </cell>
          <cell r="G88">
            <v>61434530</v>
          </cell>
        </row>
        <row r="89">
          <cell r="C89">
            <v>74149949</v>
          </cell>
          <cell r="D89">
            <v>56004313</v>
          </cell>
          <cell r="E89">
            <v>118826342</v>
          </cell>
          <cell r="F89">
            <v>54766842</v>
          </cell>
          <cell r="G89">
            <v>84337527</v>
          </cell>
        </row>
        <row r="90">
          <cell r="C90">
            <v>70605605</v>
          </cell>
          <cell r="D90">
            <v>89149790</v>
          </cell>
          <cell r="E90">
            <v>91093552</v>
          </cell>
          <cell r="F90">
            <v>53542100</v>
          </cell>
          <cell r="G90">
            <v>86502415</v>
          </cell>
        </row>
        <row r="91">
          <cell r="C91">
            <v>54630016</v>
          </cell>
          <cell r="D91">
            <v>98044387</v>
          </cell>
          <cell r="E91">
            <v>76184393</v>
          </cell>
          <cell r="F91">
            <v>59084652</v>
          </cell>
        </row>
        <row r="92">
          <cell r="C92">
            <v>65804770</v>
          </cell>
          <cell r="D92">
            <v>117127562</v>
          </cell>
          <cell r="E92">
            <v>70769124</v>
          </cell>
          <cell r="F92">
            <v>67887378</v>
          </cell>
        </row>
        <row r="93">
          <cell r="C93">
            <v>102318622</v>
          </cell>
          <cell r="D93">
            <v>87619422</v>
          </cell>
          <cell r="E93">
            <v>81433692</v>
          </cell>
          <cell r="F93">
            <v>58943737</v>
          </cell>
        </row>
        <row r="107">
          <cell r="C107">
            <v>23786939</v>
          </cell>
          <cell r="D107">
            <v>32285137</v>
          </cell>
          <cell r="E107">
            <v>38679566</v>
          </cell>
          <cell r="F107">
            <v>44593698</v>
          </cell>
          <cell r="G107">
            <v>43132019</v>
          </cell>
        </row>
        <row r="108">
          <cell r="C108">
            <v>21098252</v>
          </cell>
          <cell r="D108">
            <v>27996580</v>
          </cell>
          <cell r="E108">
            <v>39492758</v>
          </cell>
          <cell r="F108">
            <v>32198345</v>
          </cell>
          <cell r="G108">
            <v>90445033</v>
          </cell>
        </row>
        <row r="109">
          <cell r="C109">
            <v>29697833</v>
          </cell>
          <cell r="D109">
            <v>37015792</v>
          </cell>
          <cell r="E109">
            <v>46377989</v>
          </cell>
          <cell r="F109">
            <v>35193405</v>
          </cell>
          <cell r="G109">
            <v>104238868</v>
          </cell>
        </row>
        <row r="110">
          <cell r="C110">
            <v>23232996</v>
          </cell>
          <cell r="D110">
            <v>26454795</v>
          </cell>
          <cell r="E110">
            <v>54952838</v>
          </cell>
          <cell r="F110">
            <v>37403931</v>
          </cell>
          <cell r="G110">
            <v>44126180</v>
          </cell>
        </row>
        <row r="111">
          <cell r="C111">
            <v>36649240</v>
          </cell>
          <cell r="D111">
            <v>34660088</v>
          </cell>
          <cell r="E111">
            <v>85901092</v>
          </cell>
          <cell r="F111">
            <v>39706612</v>
          </cell>
          <cell r="G111">
            <v>47373012</v>
          </cell>
        </row>
        <row r="112">
          <cell r="C112">
            <v>24707826</v>
          </cell>
          <cell r="D112">
            <v>32682103</v>
          </cell>
          <cell r="E112">
            <v>45069784</v>
          </cell>
          <cell r="F112">
            <v>35181768</v>
          </cell>
          <cell r="G112">
            <v>48544271</v>
          </cell>
        </row>
        <row r="113">
          <cell r="C113">
            <v>31577272</v>
          </cell>
          <cell r="D113">
            <v>46335331</v>
          </cell>
          <cell r="E113">
            <v>55479595</v>
          </cell>
          <cell r="F113">
            <v>45915440</v>
          </cell>
          <cell r="G113">
            <v>56575783</v>
          </cell>
        </row>
        <row r="114">
          <cell r="C114">
            <v>29884099</v>
          </cell>
          <cell r="D114">
            <v>55517829</v>
          </cell>
          <cell r="E114">
            <v>44119916</v>
          </cell>
          <cell r="F114">
            <v>42855651</v>
          </cell>
          <cell r="G114">
            <v>49239570</v>
          </cell>
        </row>
        <row r="115">
          <cell r="C115">
            <v>28971067</v>
          </cell>
          <cell r="D115">
            <v>43072735</v>
          </cell>
          <cell r="E115">
            <v>84075019</v>
          </cell>
          <cell r="F115">
            <v>40498767</v>
          </cell>
          <cell r="G115">
            <v>60719701</v>
          </cell>
        </row>
        <row r="116">
          <cell r="C116">
            <v>28118809</v>
          </cell>
          <cell r="D116">
            <v>46284271</v>
          </cell>
          <cell r="E116">
            <v>51665625</v>
          </cell>
          <cell r="F116">
            <v>90055988</v>
          </cell>
          <cell r="G116">
            <v>53044334</v>
          </cell>
        </row>
        <row r="117">
          <cell r="C117">
            <v>26199943</v>
          </cell>
          <cell r="D117">
            <v>42515953</v>
          </cell>
          <cell r="E117">
            <v>87784576</v>
          </cell>
          <cell r="F117">
            <v>41562720</v>
          </cell>
        </row>
        <row r="118">
          <cell r="C118">
            <v>48699771</v>
          </cell>
          <cell r="D118">
            <v>38551412</v>
          </cell>
          <cell r="E118">
            <v>43527027</v>
          </cell>
          <cell r="F118">
            <v>49401131</v>
          </cell>
        </row>
      </sheetData>
    </sheetDataSet>
  </externalBook>
</externalLink>
</file>

<file path=xl/externalLinks/externalLink19.xml><?xml version="1.0" encoding="utf-8"?>
<externalLink xmlns="http://schemas.openxmlformats.org/spreadsheetml/2006/main">
  <externalBook xmlns:r="http://schemas.openxmlformats.org/officeDocument/2006/relationships" r:id="rId1">
    <sheetNames>
      <sheetName val="Total"/>
      <sheetName val="Primarios"/>
      <sheetName val="Manufacrturas"/>
      <sheetName val="Rec_naturales"/>
      <sheetName val="Baja_tek"/>
      <sheetName val="Tek_media"/>
      <sheetName val="Alta_tek"/>
    </sheetNames>
    <sheetDataSet>
      <sheetData sheetId="0">
        <row r="2">
          <cell r="A2" t="str">
            <v>Bogotá</v>
          </cell>
          <cell r="B2">
            <v>11531093251.529655</v>
          </cell>
          <cell r="C2">
            <v>14441043764.699219</v>
          </cell>
          <cell r="D2">
            <v>1265998249.4299912</v>
          </cell>
          <cell r="E2">
            <v>1619319871.8300176</v>
          </cell>
        </row>
        <row r="3">
          <cell r="A3" t="str">
            <v>Antioquia</v>
          </cell>
          <cell r="B3">
            <v>2993642409.2000113</v>
          </cell>
          <cell r="C3">
            <v>3926561052.7200251</v>
          </cell>
          <cell r="D3">
            <v>340973165.38999742</v>
          </cell>
          <cell r="E3">
            <v>484629740.08000004</v>
          </cell>
        </row>
        <row r="4">
          <cell r="A4" t="str">
            <v>Valle del Cauca</v>
          </cell>
          <cell r="B4">
            <v>2682280039.0199652</v>
          </cell>
          <cell r="C4">
            <v>3440326341.579977</v>
          </cell>
          <cell r="D4">
            <v>297126646.26999891</v>
          </cell>
          <cell r="E4">
            <v>323176698.71000212</v>
          </cell>
        </row>
        <row r="5">
          <cell r="A5" t="str">
            <v>Cundinamarca</v>
          </cell>
          <cell r="B5">
            <v>2305006679.6399894</v>
          </cell>
          <cell r="C5">
            <v>2880215895.5599961</v>
          </cell>
          <cell r="D5">
            <v>250843233.95000094</v>
          </cell>
          <cell r="E5">
            <v>416503279.05999994</v>
          </cell>
        </row>
        <row r="6">
          <cell r="A6" t="str">
            <v>Bolívar</v>
          </cell>
          <cell r="B6">
            <v>2012194809.1699867</v>
          </cell>
          <cell r="C6">
            <v>2039218350.8899961</v>
          </cell>
          <cell r="D6">
            <v>221605628.07000035</v>
          </cell>
          <cell r="E6">
            <v>201037506.54999974</v>
          </cell>
        </row>
        <row r="7">
          <cell r="A7" t="str">
            <v>Atlántico</v>
          </cell>
          <cell r="B7">
            <v>1592516210.0599899</v>
          </cell>
          <cell r="C7">
            <v>1734452815.3799944</v>
          </cell>
          <cell r="D7">
            <v>157410726.21000013</v>
          </cell>
          <cell r="E7">
            <v>192566340.1700018</v>
          </cell>
        </row>
        <row r="8">
          <cell r="A8" t="str">
            <v>Magdalena</v>
          </cell>
          <cell r="B8">
            <v>1020602657.9299985</v>
          </cell>
          <cell r="C8">
            <v>1308113044.9900022</v>
          </cell>
          <cell r="D8">
            <v>141790182.01999992</v>
          </cell>
          <cell r="E8">
            <v>5982132.7200000053</v>
          </cell>
        </row>
        <row r="9">
          <cell r="A9" t="str">
            <v>Guajira</v>
          </cell>
          <cell r="B9">
            <v>456299904.34000355</v>
          </cell>
          <cell r="C9">
            <v>533357432.7200011</v>
          </cell>
          <cell r="D9">
            <v>45169083.87000002</v>
          </cell>
          <cell r="E9">
            <v>56939286.779999867</v>
          </cell>
        </row>
        <row r="10">
          <cell r="A10" t="str">
            <v>Santander</v>
          </cell>
          <cell r="B10">
            <v>431724671.58000028</v>
          </cell>
          <cell r="C10">
            <v>495345500.24999744</v>
          </cell>
          <cell r="D10">
            <v>50495549.359999962</v>
          </cell>
          <cell r="E10">
            <v>59732524.490000077</v>
          </cell>
        </row>
        <row r="11">
          <cell r="A11" t="str">
            <v>Cesar</v>
          </cell>
          <cell r="B11">
            <v>589672767.04000199</v>
          </cell>
          <cell r="C11">
            <v>438620081.18999898</v>
          </cell>
          <cell r="D11">
            <v>53871486.170000076</v>
          </cell>
          <cell r="E11">
            <v>42338022.720000021</v>
          </cell>
        </row>
        <row r="12">
          <cell r="A12" t="str">
            <v>Nariño</v>
          </cell>
          <cell r="B12">
            <v>308325421.55000007</v>
          </cell>
          <cell r="C12">
            <v>340122492.88000089</v>
          </cell>
          <cell r="D12">
            <v>24812629.299999993</v>
          </cell>
          <cell r="E12">
            <v>16511399.970000006</v>
          </cell>
        </row>
        <row r="13">
          <cell r="A13" t="str">
            <v>Caldas</v>
          </cell>
          <cell r="B13">
            <v>206490226.0800004</v>
          </cell>
          <cell r="C13">
            <v>253724870.80999923</v>
          </cell>
          <cell r="D13">
            <v>20855926.160000015</v>
          </cell>
          <cell r="E13">
            <v>30464500.410000019</v>
          </cell>
        </row>
        <row r="14">
          <cell r="A14" t="str">
            <v>Cauca</v>
          </cell>
          <cell r="B14">
            <v>179862819.96000037</v>
          </cell>
          <cell r="C14">
            <v>242064296.49000028</v>
          </cell>
          <cell r="D14">
            <v>20004637.679999996</v>
          </cell>
          <cell r="E14">
            <v>27843393.429999981</v>
          </cell>
        </row>
        <row r="15">
          <cell r="A15" t="str">
            <v>Risaralda</v>
          </cell>
          <cell r="B15">
            <v>174271899.64000067</v>
          </cell>
          <cell r="C15">
            <v>217758824.07999992</v>
          </cell>
          <cell r="D15">
            <v>16522028.219999969</v>
          </cell>
          <cell r="E15">
            <v>27970042.430000015</v>
          </cell>
        </row>
        <row r="16">
          <cell r="A16" t="str">
            <v>Boyacá</v>
          </cell>
          <cell r="B16">
            <v>88578787.779999837</v>
          </cell>
          <cell r="C16">
            <v>122856743.19999987</v>
          </cell>
          <cell r="D16">
            <v>7210606.1600000011</v>
          </cell>
          <cell r="E16">
            <v>20625504.150000006</v>
          </cell>
        </row>
        <row r="17">
          <cell r="A17" t="str">
            <v>Norte de Santander</v>
          </cell>
          <cell r="B17">
            <v>153753077.35000029</v>
          </cell>
          <cell r="C17">
            <v>112833814.94000012</v>
          </cell>
          <cell r="D17">
            <v>11679928.050000014</v>
          </cell>
          <cell r="E17">
            <v>12831193.120000005</v>
          </cell>
        </row>
        <row r="18">
          <cell r="A18" t="str">
            <v>Casanare</v>
          </cell>
          <cell r="B18">
            <v>49283147.399999909</v>
          </cell>
          <cell r="C18">
            <v>106999818.10999988</v>
          </cell>
          <cell r="D18">
            <v>8159067.5100000044</v>
          </cell>
          <cell r="E18">
            <v>24978309.590000007</v>
          </cell>
        </row>
        <row r="19">
          <cell r="A19" t="str">
            <v>Meta</v>
          </cell>
          <cell r="B19">
            <v>35925904.120000012</v>
          </cell>
          <cell r="C19">
            <v>84832936.230000019</v>
          </cell>
          <cell r="D19">
            <v>5535288.8199999984</v>
          </cell>
          <cell r="E19">
            <v>44038902.479999997</v>
          </cell>
        </row>
        <row r="20">
          <cell r="A20" t="str">
            <v>Córdoba</v>
          </cell>
          <cell r="B20">
            <v>56612071.749999978</v>
          </cell>
          <cell r="C20">
            <v>57185855.219999954</v>
          </cell>
          <cell r="D20">
            <v>4527027.57</v>
          </cell>
          <cell r="E20">
            <v>7075465.4200000055</v>
          </cell>
        </row>
        <row r="21">
          <cell r="A21" t="str">
            <v>Huila</v>
          </cell>
          <cell r="B21">
            <v>50976229.830000006</v>
          </cell>
          <cell r="C21">
            <v>51099486.230000027</v>
          </cell>
          <cell r="D21">
            <v>15602749.439999998</v>
          </cell>
          <cell r="E21">
            <v>1681510.9799999997</v>
          </cell>
        </row>
        <row r="22">
          <cell r="A22" t="str">
            <v>Quindío</v>
          </cell>
          <cell r="B22">
            <v>25065826.549999982</v>
          </cell>
          <cell r="C22">
            <v>34686857.11999999</v>
          </cell>
          <cell r="D22">
            <v>2987237.2500000047</v>
          </cell>
          <cell r="E22">
            <v>3344327.4000000004</v>
          </cell>
        </row>
        <row r="23">
          <cell r="A23" t="str">
            <v>Tolima</v>
          </cell>
          <cell r="B23">
            <v>24552587.209999997</v>
          </cell>
          <cell r="C23">
            <v>21923341.959999979</v>
          </cell>
          <cell r="D23">
            <v>2830150.1799999997</v>
          </cell>
          <cell r="E23">
            <v>3760407.5699999989</v>
          </cell>
        </row>
        <row r="24">
          <cell r="A24" t="str">
            <v>Sucre</v>
          </cell>
          <cell r="B24">
            <v>4219125.080000001</v>
          </cell>
          <cell r="C24">
            <v>7639298.4500000039</v>
          </cell>
          <cell r="D24">
            <v>418829.25999999995</v>
          </cell>
          <cell r="E24">
            <v>295777.84000000003</v>
          </cell>
        </row>
        <row r="25">
          <cell r="A25" t="str">
            <v>Aráuca</v>
          </cell>
          <cell r="B25">
            <v>4376670.4000000004</v>
          </cell>
          <cell r="C25">
            <v>1345558.5200000007</v>
          </cell>
          <cell r="D25">
            <v>30666.57</v>
          </cell>
          <cell r="E25">
            <v>15462.19</v>
          </cell>
        </row>
        <row r="26">
          <cell r="A26" t="str">
            <v>Amazonas</v>
          </cell>
          <cell r="B26">
            <v>1384558.46</v>
          </cell>
          <cell r="C26">
            <v>1290607.350000001</v>
          </cell>
          <cell r="D26">
            <v>186318.47</v>
          </cell>
          <cell r="E26">
            <v>170647.75</v>
          </cell>
        </row>
        <row r="27">
          <cell r="A27" t="str">
            <v>Vichada</v>
          </cell>
          <cell r="B27">
            <v>291399.81999999995</v>
          </cell>
          <cell r="C27">
            <v>1167307.7200000007</v>
          </cell>
          <cell r="D27">
            <v>48288.06</v>
          </cell>
          <cell r="E27">
            <v>136191.51</v>
          </cell>
        </row>
        <row r="28">
          <cell r="A28" t="str">
            <v>San Andrés</v>
          </cell>
          <cell r="B28">
            <v>959189.5499999997</v>
          </cell>
          <cell r="C28">
            <v>861976.83999999927</v>
          </cell>
          <cell r="D28">
            <v>17943.75</v>
          </cell>
          <cell r="E28">
            <v>24875.760000000002</v>
          </cell>
        </row>
        <row r="29">
          <cell r="A29" t="str">
            <v>Putumayo</v>
          </cell>
          <cell r="B29">
            <v>28631450.450000003</v>
          </cell>
          <cell r="C29">
            <v>488106.74000000017</v>
          </cell>
          <cell r="D29">
            <v>30537.95</v>
          </cell>
          <cell r="E29">
            <v>40073.810000000005</v>
          </cell>
        </row>
        <row r="30">
          <cell r="A30" t="str">
            <v>Chocó</v>
          </cell>
          <cell r="B30">
            <v>281987.18999999994</v>
          </cell>
          <cell r="C30">
            <v>479767.51</v>
          </cell>
          <cell r="D30">
            <v>231650.4</v>
          </cell>
          <cell r="E30">
            <v>237557.81999999998</v>
          </cell>
        </row>
        <row r="31">
          <cell r="A31" t="str">
            <v>Caquetá</v>
          </cell>
          <cell r="B31">
            <v>1111924.18</v>
          </cell>
          <cell r="C31">
            <v>450807.94000000012</v>
          </cell>
          <cell r="D31">
            <v>15323.480000000001</v>
          </cell>
          <cell r="E31">
            <v>25599.939999999995</v>
          </cell>
        </row>
        <row r="32">
          <cell r="A32" t="str">
            <v>Guaviare</v>
          </cell>
          <cell r="B32">
            <v>0</v>
          </cell>
          <cell r="C32">
            <v>41549.599999999999</v>
          </cell>
          <cell r="D32">
            <v>0</v>
          </cell>
          <cell r="E32">
            <v>0</v>
          </cell>
        </row>
      </sheetData>
      <sheetData sheetId="1">
        <row r="2">
          <cell r="A2" t="str">
            <v>Antioquia</v>
          </cell>
          <cell r="B2">
            <v>636344912.98999906</v>
          </cell>
          <cell r="C2">
            <v>723167168.67000318</v>
          </cell>
          <cell r="D2">
            <v>67365950.600000024</v>
          </cell>
          <cell r="E2">
            <v>87877491.250000075</v>
          </cell>
        </row>
        <row r="3">
          <cell r="A3" t="str">
            <v>Bogotá</v>
          </cell>
          <cell r="B3">
            <v>400208529.15000063</v>
          </cell>
          <cell r="C3">
            <v>522634129.38</v>
          </cell>
          <cell r="D3">
            <v>44752462.370000064</v>
          </cell>
          <cell r="E3">
            <v>41996588.630000055</v>
          </cell>
        </row>
        <row r="4">
          <cell r="A4" t="str">
            <v>Valle del Cauca</v>
          </cell>
          <cell r="B4">
            <v>358318202.3599993</v>
          </cell>
          <cell r="C4">
            <v>412599744.81000012</v>
          </cell>
          <cell r="D4">
            <v>37604473.57000003</v>
          </cell>
          <cell r="E4">
            <v>63067578.870000027</v>
          </cell>
        </row>
        <row r="5">
          <cell r="A5" t="str">
            <v>Santander</v>
          </cell>
          <cell r="B5">
            <v>187947713.88999969</v>
          </cell>
          <cell r="C5">
            <v>193528040.64999992</v>
          </cell>
          <cell r="D5">
            <v>16457845.77</v>
          </cell>
          <cell r="E5">
            <v>20470884.170000006</v>
          </cell>
        </row>
        <row r="6">
          <cell r="A6" t="str">
            <v>Cundinamarca</v>
          </cell>
          <cell r="B6">
            <v>126153114.63999991</v>
          </cell>
          <cell r="C6">
            <v>167270381.96000013</v>
          </cell>
          <cell r="D6">
            <v>16991482.089999996</v>
          </cell>
          <cell r="E6">
            <v>17772604.319999997</v>
          </cell>
        </row>
        <row r="7">
          <cell r="A7" t="str">
            <v>Atlántico</v>
          </cell>
          <cell r="B7">
            <v>131432281.57000007</v>
          </cell>
          <cell r="C7">
            <v>139512648.97999984</v>
          </cell>
          <cell r="D7">
            <v>7574635.1599999992</v>
          </cell>
          <cell r="E7">
            <v>19744453.899999991</v>
          </cell>
        </row>
        <row r="8">
          <cell r="A8" t="str">
            <v>Nariño</v>
          </cell>
          <cell r="B8">
            <v>132631288.20999992</v>
          </cell>
          <cell r="C8">
            <v>98491553.100000173</v>
          </cell>
          <cell r="D8">
            <v>9199290.3200000059</v>
          </cell>
          <cell r="E8">
            <v>10371180.199999994</v>
          </cell>
        </row>
        <row r="9">
          <cell r="A9" t="str">
            <v>Bolívar</v>
          </cell>
          <cell r="B9">
            <v>125145009.77000013</v>
          </cell>
          <cell r="C9">
            <v>72851548.789999917</v>
          </cell>
          <cell r="D9">
            <v>10553767.179999996</v>
          </cell>
          <cell r="E9">
            <v>9571505.4899999946</v>
          </cell>
        </row>
        <row r="10">
          <cell r="A10" t="str">
            <v>Huila</v>
          </cell>
          <cell r="B10">
            <v>23977645.27</v>
          </cell>
          <cell r="C10">
            <v>20451639.640000004</v>
          </cell>
          <cell r="D10">
            <v>1849709.07</v>
          </cell>
          <cell r="E10">
            <v>615236.6</v>
          </cell>
        </row>
        <row r="11">
          <cell r="A11" t="str">
            <v>Cauca</v>
          </cell>
          <cell r="B11">
            <v>19736159.620000008</v>
          </cell>
          <cell r="C11">
            <v>18529617.320000008</v>
          </cell>
          <cell r="D11">
            <v>1192534.7700000003</v>
          </cell>
          <cell r="E11">
            <v>2654010.86</v>
          </cell>
        </row>
        <row r="12">
          <cell r="A12" t="str">
            <v>Córdoba</v>
          </cell>
          <cell r="B12">
            <v>11890329.779999999</v>
          </cell>
          <cell r="C12">
            <v>16568720.440000001</v>
          </cell>
          <cell r="D12">
            <v>1710016.96</v>
          </cell>
          <cell r="E12">
            <v>2621682.58</v>
          </cell>
        </row>
        <row r="13">
          <cell r="A13" t="str">
            <v>Cesar</v>
          </cell>
          <cell r="B13">
            <v>1715368.7000000004</v>
          </cell>
          <cell r="C13">
            <v>15883323.509999996</v>
          </cell>
          <cell r="D13">
            <v>6829.83</v>
          </cell>
          <cell r="E13">
            <v>2416925.0100000007</v>
          </cell>
        </row>
        <row r="14">
          <cell r="A14" t="str">
            <v>Risaralda</v>
          </cell>
          <cell r="B14">
            <v>4787738.37</v>
          </cell>
          <cell r="C14">
            <v>9459172.7899999972</v>
          </cell>
          <cell r="D14">
            <v>497013.69</v>
          </cell>
          <cell r="E14">
            <v>1289159.1300000001</v>
          </cell>
        </row>
        <row r="15">
          <cell r="A15" t="str">
            <v>Norte de Santander</v>
          </cell>
          <cell r="B15">
            <v>8895196.629999999</v>
          </cell>
          <cell r="C15">
            <v>9397816.9800000079</v>
          </cell>
          <cell r="D15">
            <v>786521.45000000007</v>
          </cell>
          <cell r="E15">
            <v>861789.04999999993</v>
          </cell>
        </row>
        <row r="16">
          <cell r="A16" t="str">
            <v>Magdalena</v>
          </cell>
          <cell r="B16">
            <v>13520662.77</v>
          </cell>
          <cell r="C16">
            <v>9007877.1399999969</v>
          </cell>
          <cell r="D16">
            <v>3618897.5400000005</v>
          </cell>
          <cell r="E16">
            <v>57004.11</v>
          </cell>
        </row>
        <row r="17">
          <cell r="A17" t="str">
            <v>Caldas</v>
          </cell>
          <cell r="B17">
            <v>9435347.7599999979</v>
          </cell>
          <cell r="C17">
            <v>7361959.4799999977</v>
          </cell>
          <cell r="D17">
            <v>657522.29999999981</v>
          </cell>
          <cell r="E17">
            <v>1145515.6800000002</v>
          </cell>
        </row>
        <row r="18">
          <cell r="A18" t="str">
            <v>Quindío</v>
          </cell>
          <cell r="B18">
            <v>3450047.1499999994</v>
          </cell>
          <cell r="C18">
            <v>5416075.0200000005</v>
          </cell>
          <cell r="D18">
            <v>269994.52</v>
          </cell>
          <cell r="E18">
            <v>328278.09000000003</v>
          </cell>
        </row>
        <row r="19">
          <cell r="A19" t="str">
            <v>Boyacá</v>
          </cell>
          <cell r="B19">
            <v>2011176.01</v>
          </cell>
          <cell r="C19">
            <v>2857566.9899999998</v>
          </cell>
          <cell r="D19">
            <v>117947.33</v>
          </cell>
          <cell r="E19">
            <v>465130.20999999996</v>
          </cell>
        </row>
        <row r="20">
          <cell r="A20" t="str">
            <v>Tolima</v>
          </cell>
          <cell r="B20">
            <v>6896985.0600000005</v>
          </cell>
          <cell r="C20">
            <v>2267861.0900000003</v>
          </cell>
          <cell r="D20">
            <v>0</v>
          </cell>
          <cell r="E20">
            <v>276279.78999999998</v>
          </cell>
        </row>
        <row r="21">
          <cell r="A21" t="str">
            <v>Sucre</v>
          </cell>
          <cell r="B21">
            <v>1296599.8899999999</v>
          </cell>
          <cell r="C21">
            <v>2146544.11</v>
          </cell>
          <cell r="D21">
            <v>0</v>
          </cell>
          <cell r="E21">
            <v>77803.239999999991</v>
          </cell>
        </row>
        <row r="22">
          <cell r="A22" t="str">
            <v>Guajira</v>
          </cell>
          <cell r="B22">
            <v>3078178.2299999995</v>
          </cell>
          <cell r="C22">
            <v>1148080.2799999998</v>
          </cell>
          <cell r="D22">
            <v>29461.260000000002</v>
          </cell>
          <cell r="E22">
            <v>192854.49000000002</v>
          </cell>
        </row>
        <row r="23">
          <cell r="A23" t="str">
            <v>Vichada</v>
          </cell>
          <cell r="B23">
            <v>150960.46000000002</v>
          </cell>
          <cell r="C23">
            <v>856494.1</v>
          </cell>
          <cell r="D23">
            <v>41460.659999999996</v>
          </cell>
          <cell r="E23">
            <v>0</v>
          </cell>
        </row>
        <row r="24">
          <cell r="A24" t="str">
            <v>Meta</v>
          </cell>
          <cell r="B24">
            <v>1887304.25</v>
          </cell>
          <cell r="C24">
            <v>574138.07999999996</v>
          </cell>
          <cell r="D24">
            <v>100864.6</v>
          </cell>
          <cell r="E24">
            <v>317700.81</v>
          </cell>
        </row>
        <row r="25">
          <cell r="A25" t="str">
            <v>San Andrés</v>
          </cell>
          <cell r="B25">
            <v>357544.68</v>
          </cell>
          <cell r="C25">
            <v>448510.75</v>
          </cell>
          <cell r="D25">
            <v>0</v>
          </cell>
          <cell r="E25">
            <v>0</v>
          </cell>
        </row>
        <row r="26">
          <cell r="A26" t="str">
            <v>Amazonas</v>
          </cell>
          <cell r="B26">
            <v>224202.47000000003</v>
          </cell>
          <cell r="C26">
            <v>282732.84999999998</v>
          </cell>
          <cell r="D26">
            <v>0</v>
          </cell>
          <cell r="E26">
            <v>0</v>
          </cell>
        </row>
        <row r="27">
          <cell r="A27" t="str">
            <v>Putumayo</v>
          </cell>
          <cell r="B27">
            <v>130387.35</v>
          </cell>
          <cell r="C27">
            <v>57676</v>
          </cell>
          <cell r="D27">
            <v>0</v>
          </cell>
          <cell r="E27">
            <v>0</v>
          </cell>
        </row>
        <row r="28">
          <cell r="A28" t="str">
            <v>Aráuca</v>
          </cell>
          <cell r="B28">
            <v>0</v>
          </cell>
          <cell r="C28">
            <v>24744.02</v>
          </cell>
          <cell r="D28">
            <v>0</v>
          </cell>
          <cell r="E28">
            <v>0</v>
          </cell>
        </row>
        <row r="29">
          <cell r="A29" t="str">
            <v>Casanare</v>
          </cell>
          <cell r="B29">
            <v>559739.64</v>
          </cell>
          <cell r="C29">
            <v>17655.32</v>
          </cell>
          <cell r="D29">
            <v>0</v>
          </cell>
          <cell r="E29">
            <v>4729.1499999999996</v>
          </cell>
        </row>
      </sheetData>
      <sheetData sheetId="2">
        <row r="2">
          <cell r="A2" t="str">
            <v>Bogotá</v>
          </cell>
          <cell r="B2">
            <v>11069852517.099651</v>
          </cell>
          <cell r="C2">
            <v>13831708163.959156</v>
          </cell>
          <cell r="D2">
            <v>1215402499.8699932</v>
          </cell>
          <cell r="E2">
            <v>1569930573.2200072</v>
          </cell>
        </row>
        <row r="3">
          <cell r="A3" t="str">
            <v>Antioquia</v>
          </cell>
          <cell r="B3">
            <v>2351689656.2599635</v>
          </cell>
          <cell r="C3">
            <v>3199104765.480022</v>
          </cell>
          <cell r="D3">
            <v>273109279.94999868</v>
          </cell>
          <cell r="E3">
            <v>396344296.56999904</v>
          </cell>
        </row>
        <row r="4">
          <cell r="A4" t="str">
            <v>Valle del Cauca</v>
          </cell>
          <cell r="B4">
            <v>2311487449.3399868</v>
          </cell>
          <cell r="C4">
            <v>3010576337.8099213</v>
          </cell>
          <cell r="D4">
            <v>257548798.08999947</v>
          </cell>
          <cell r="E4">
            <v>258763858.17000076</v>
          </cell>
        </row>
        <row r="5">
          <cell r="A5" t="str">
            <v>Cundinamarca</v>
          </cell>
          <cell r="B5">
            <v>2156201957.1499887</v>
          </cell>
          <cell r="C5">
            <v>2704289243.5399971</v>
          </cell>
          <cell r="D5">
            <v>232559025.7100009</v>
          </cell>
          <cell r="E5">
            <v>396536425.31000048</v>
          </cell>
        </row>
        <row r="6">
          <cell r="A6" t="str">
            <v>Bolívar</v>
          </cell>
          <cell r="B6">
            <v>1885810246.5999889</v>
          </cell>
          <cell r="C6">
            <v>1964958675.2499924</v>
          </cell>
          <cell r="D6">
            <v>210950786.16000026</v>
          </cell>
          <cell r="E6">
            <v>191186547.41999975</v>
          </cell>
        </row>
        <row r="7">
          <cell r="A7" t="str">
            <v>Atlántico</v>
          </cell>
          <cell r="B7">
            <v>1458066385.5699844</v>
          </cell>
          <cell r="C7">
            <v>1591355835.649996</v>
          </cell>
          <cell r="D7">
            <v>149599587.11000037</v>
          </cell>
          <cell r="E7">
            <v>172625520.42000157</v>
          </cell>
        </row>
        <row r="8">
          <cell r="A8" t="str">
            <v>Magdalena</v>
          </cell>
          <cell r="B8">
            <v>1006986002.1999967</v>
          </cell>
          <cell r="C8">
            <v>1298877314.0799983</v>
          </cell>
          <cell r="D8">
            <v>138166595.57999989</v>
          </cell>
          <cell r="E8">
            <v>5910914.9700000072</v>
          </cell>
        </row>
        <row r="9">
          <cell r="A9" t="str">
            <v>Guajira</v>
          </cell>
          <cell r="B9">
            <v>453178983.33000487</v>
          </cell>
          <cell r="C9">
            <v>532152985.29000092</v>
          </cell>
          <cell r="D9">
            <v>45134070.370000064</v>
          </cell>
          <cell r="E9">
            <v>56745568.59999986</v>
          </cell>
        </row>
        <row r="10">
          <cell r="A10" t="str">
            <v>Cesar</v>
          </cell>
          <cell r="B10">
            <v>587900711.39000559</v>
          </cell>
          <cell r="C10">
            <v>422676538.91000253</v>
          </cell>
          <cell r="D10">
            <v>53862661.909999952</v>
          </cell>
          <cell r="E10">
            <v>39920451.680000037</v>
          </cell>
        </row>
        <row r="11">
          <cell r="A11" t="str">
            <v>Santander</v>
          </cell>
          <cell r="B11">
            <v>243556446.13999844</v>
          </cell>
          <cell r="C11">
            <v>301586181.21999955</v>
          </cell>
          <cell r="D11">
            <v>33991524.75</v>
          </cell>
          <cell r="E11">
            <v>39230447.279999979</v>
          </cell>
        </row>
        <row r="12">
          <cell r="A12" t="str">
            <v>Caldas</v>
          </cell>
          <cell r="B12">
            <v>196978822.56000012</v>
          </cell>
          <cell r="C12">
            <v>246231792.16999912</v>
          </cell>
          <cell r="D12">
            <v>20190785.489999976</v>
          </cell>
          <cell r="E12">
            <v>29312873.210000023</v>
          </cell>
        </row>
        <row r="13">
          <cell r="A13" t="str">
            <v>Nariño</v>
          </cell>
          <cell r="B13">
            <v>173696949.32000002</v>
          </cell>
          <cell r="C13">
            <v>237098364.18000075</v>
          </cell>
          <cell r="D13">
            <v>15607847.289999995</v>
          </cell>
          <cell r="E13">
            <v>6140219.7700000051</v>
          </cell>
        </row>
        <row r="14">
          <cell r="A14" t="str">
            <v>Cauca</v>
          </cell>
          <cell r="B14">
            <v>160118412.92000011</v>
          </cell>
          <cell r="C14">
            <v>223489941.95000058</v>
          </cell>
          <cell r="D14">
            <v>18810428.040000003</v>
          </cell>
          <cell r="E14">
            <v>25182811.560000002</v>
          </cell>
        </row>
        <row r="15">
          <cell r="A15" t="str">
            <v>Risaralda</v>
          </cell>
          <cell r="B15">
            <v>169019384.14000028</v>
          </cell>
          <cell r="C15">
            <v>207739413.61000007</v>
          </cell>
          <cell r="D15">
            <v>15984926.109999979</v>
          </cell>
          <cell r="E15">
            <v>26550817.689999979</v>
          </cell>
        </row>
        <row r="16">
          <cell r="A16" t="str">
            <v>Boyacá</v>
          </cell>
          <cell r="B16">
            <v>86553172.85999985</v>
          </cell>
          <cell r="C16">
            <v>119879344.65999983</v>
          </cell>
          <cell r="D16">
            <v>7092658.830000001</v>
          </cell>
          <cell r="E16">
            <v>20126287.319999985</v>
          </cell>
        </row>
        <row r="17">
          <cell r="A17" t="str">
            <v>Casanare</v>
          </cell>
          <cell r="B17">
            <v>48706124.769999817</v>
          </cell>
          <cell r="C17">
            <v>106959401.36999989</v>
          </cell>
          <cell r="D17">
            <v>8152948.9800000042</v>
          </cell>
          <cell r="E17">
            <v>24973580.440000009</v>
          </cell>
        </row>
        <row r="18">
          <cell r="A18" t="str">
            <v>Norte de Santander</v>
          </cell>
          <cell r="B18">
            <v>144506427.55999961</v>
          </cell>
          <cell r="C18">
            <v>103214327.77000006</v>
          </cell>
          <cell r="D18">
            <v>10892458.930000009</v>
          </cell>
          <cell r="E18">
            <v>11969404.069999998</v>
          </cell>
        </row>
        <row r="19">
          <cell r="A19" t="str">
            <v>Meta</v>
          </cell>
          <cell r="B19">
            <v>34020645.579999998</v>
          </cell>
          <cell r="C19">
            <v>84216582.159999982</v>
          </cell>
          <cell r="D19">
            <v>5434424.2199999997</v>
          </cell>
          <cell r="E19">
            <v>43699723.540000007</v>
          </cell>
        </row>
        <row r="20">
          <cell r="A20" t="str">
            <v>Córdoba</v>
          </cell>
          <cell r="B20">
            <v>44699555.069999956</v>
          </cell>
          <cell r="C20">
            <v>40498758.039999872</v>
          </cell>
          <cell r="D20">
            <v>2811403.61</v>
          </cell>
          <cell r="E20">
            <v>4402646.3500000043</v>
          </cell>
        </row>
        <row r="21">
          <cell r="A21" t="str">
            <v>Huila</v>
          </cell>
          <cell r="B21">
            <v>26996853.57999998</v>
          </cell>
          <cell r="C21">
            <v>30612769.710000023</v>
          </cell>
          <cell r="D21">
            <v>13753040.370000001</v>
          </cell>
          <cell r="E21">
            <v>1066274.3800000006</v>
          </cell>
        </row>
        <row r="22">
          <cell r="A22" t="str">
            <v>Quindío</v>
          </cell>
          <cell r="B22">
            <v>21476983.069999944</v>
          </cell>
          <cell r="C22">
            <v>29153647.089999974</v>
          </cell>
          <cell r="D22">
            <v>2663335.6500000018</v>
          </cell>
          <cell r="E22">
            <v>2985777.5099999984</v>
          </cell>
        </row>
        <row r="23">
          <cell r="A23" t="str">
            <v>Tolima</v>
          </cell>
          <cell r="B23">
            <v>17561876.720000014</v>
          </cell>
          <cell r="C23">
            <v>19641065.349999987</v>
          </cell>
          <cell r="D23">
            <v>2830150.18</v>
          </cell>
          <cell r="E23">
            <v>3484107.4800000009</v>
          </cell>
        </row>
        <row r="24">
          <cell r="A24" t="str">
            <v>Sucre</v>
          </cell>
          <cell r="B24">
            <v>2920955.53</v>
          </cell>
          <cell r="C24">
            <v>5486887.7700000023</v>
          </cell>
          <cell r="D24">
            <v>417259.60000000003</v>
          </cell>
          <cell r="E24">
            <v>217974.6</v>
          </cell>
        </row>
        <row r="25">
          <cell r="A25" t="str">
            <v>Aráuca</v>
          </cell>
          <cell r="B25">
            <v>4376670.3999999994</v>
          </cell>
          <cell r="C25">
            <v>1314915.0199999998</v>
          </cell>
          <cell r="D25">
            <v>30666.57</v>
          </cell>
          <cell r="E25">
            <v>15462.19</v>
          </cell>
        </row>
        <row r="26">
          <cell r="A26" t="str">
            <v>Amazonas</v>
          </cell>
          <cell r="B26">
            <v>1160355.9900000005</v>
          </cell>
          <cell r="C26">
            <v>1007874.5000000002</v>
          </cell>
          <cell r="D26">
            <v>186318.47</v>
          </cell>
          <cell r="E26">
            <v>170647.75000000003</v>
          </cell>
        </row>
        <row r="27">
          <cell r="A27" t="str">
            <v>Chocó</v>
          </cell>
          <cell r="B27">
            <v>281987.19</v>
          </cell>
          <cell r="C27">
            <v>479767.51</v>
          </cell>
          <cell r="D27">
            <v>231650.4</v>
          </cell>
          <cell r="E27">
            <v>237557.82</v>
          </cell>
        </row>
        <row r="28">
          <cell r="A28" t="str">
            <v>Caquetá</v>
          </cell>
          <cell r="B28">
            <v>1111924.18</v>
          </cell>
          <cell r="C28">
            <v>430935.32000000007</v>
          </cell>
          <cell r="D28">
            <v>15323.480000000001</v>
          </cell>
          <cell r="E28">
            <v>14471.18</v>
          </cell>
        </row>
        <row r="29">
          <cell r="A29" t="str">
            <v>Putumayo</v>
          </cell>
          <cell r="B29">
            <v>28501063.099999998</v>
          </cell>
          <cell r="C29">
            <v>430430.74000000017</v>
          </cell>
          <cell r="D29">
            <v>30537.95</v>
          </cell>
          <cell r="E29">
            <v>40073.810000000005</v>
          </cell>
        </row>
        <row r="30">
          <cell r="A30" t="str">
            <v>San Andrés</v>
          </cell>
          <cell r="B30">
            <v>600148.42999999982</v>
          </cell>
          <cell r="C30">
            <v>413466.09000000032</v>
          </cell>
          <cell r="D30">
            <v>16447.310000000001</v>
          </cell>
          <cell r="E30">
            <v>24875.760000000002</v>
          </cell>
        </row>
        <row r="31">
          <cell r="A31" t="str">
            <v>Vichada</v>
          </cell>
          <cell r="B31">
            <v>140439.36000000002</v>
          </cell>
          <cell r="C31">
            <v>259175.99</v>
          </cell>
          <cell r="D31">
            <v>6827.4</v>
          </cell>
          <cell r="E31">
            <v>136191.51</v>
          </cell>
        </row>
        <row r="32">
          <cell r="A32" t="str">
            <v>Guaviare</v>
          </cell>
          <cell r="B32">
            <v>0</v>
          </cell>
          <cell r="C32">
            <v>41549.599999999999</v>
          </cell>
          <cell r="D32">
            <v>0</v>
          </cell>
          <cell r="E32">
            <v>0</v>
          </cell>
        </row>
      </sheetData>
      <sheetData sheetId="3">
        <row r="2">
          <cell r="A2" t="str">
            <v>Bogotá</v>
          </cell>
          <cell r="B2">
            <v>1010422425.3199903</v>
          </cell>
          <cell r="C2">
            <v>1497688472.0299771</v>
          </cell>
          <cell r="D2">
            <v>113913602.45999996</v>
          </cell>
          <cell r="E2">
            <v>232461015.42000008</v>
          </cell>
        </row>
        <row r="3">
          <cell r="A3" t="str">
            <v>Bolívar</v>
          </cell>
          <cell r="B3">
            <v>682529419.70999944</v>
          </cell>
          <cell r="C3">
            <v>1130790875.8099983</v>
          </cell>
          <cell r="D3">
            <v>81163749.140000001</v>
          </cell>
          <cell r="E3">
            <v>88721728.100000054</v>
          </cell>
        </row>
        <row r="4">
          <cell r="A4" t="str">
            <v>Magdalena</v>
          </cell>
          <cell r="B4">
            <v>636680732.27999997</v>
          </cell>
          <cell r="C4">
            <v>1065153117.0500002</v>
          </cell>
          <cell r="D4">
            <v>116291558.13999996</v>
          </cell>
          <cell r="E4">
            <v>3156341.1800000011</v>
          </cell>
        </row>
        <row r="5">
          <cell r="A5" t="str">
            <v>Valle del Cauca</v>
          </cell>
          <cell r="B5">
            <v>744299687.07000458</v>
          </cell>
          <cell r="C5">
            <v>947233332.61999631</v>
          </cell>
          <cell r="D5">
            <v>81748367.759999901</v>
          </cell>
          <cell r="E5">
            <v>97568094.710000068</v>
          </cell>
        </row>
        <row r="6">
          <cell r="A6" t="str">
            <v>Antioquia</v>
          </cell>
          <cell r="B6">
            <v>450157879.81000072</v>
          </cell>
          <cell r="C6">
            <v>661208687.55999887</v>
          </cell>
          <cell r="D6">
            <v>54946040.709999897</v>
          </cell>
          <cell r="E6">
            <v>80480956.369999945</v>
          </cell>
        </row>
        <row r="7">
          <cell r="A7" t="str">
            <v>Atlántico</v>
          </cell>
          <cell r="B7">
            <v>367375302.85000151</v>
          </cell>
          <cell r="C7">
            <v>391125517.40999991</v>
          </cell>
          <cell r="D7">
            <v>35075273.82</v>
          </cell>
          <cell r="E7">
            <v>45748999.940000013</v>
          </cell>
        </row>
        <row r="8">
          <cell r="A8" t="str">
            <v>Cundinamarca</v>
          </cell>
          <cell r="B8">
            <v>319588729.19999981</v>
          </cell>
          <cell r="C8">
            <v>382022721.53999794</v>
          </cell>
          <cell r="D8">
            <v>30620771.229999971</v>
          </cell>
          <cell r="E8">
            <v>48599181.249999985</v>
          </cell>
        </row>
        <row r="9">
          <cell r="A9" t="str">
            <v>Guajira</v>
          </cell>
          <cell r="B9">
            <v>206827965.01000044</v>
          </cell>
          <cell r="C9">
            <v>232628106.47999963</v>
          </cell>
          <cell r="D9">
            <v>19277072.380000006</v>
          </cell>
          <cell r="E9">
            <v>20659014.830000002</v>
          </cell>
        </row>
        <row r="10">
          <cell r="A10" t="str">
            <v>Santander</v>
          </cell>
          <cell r="B10">
            <v>43953798.719999984</v>
          </cell>
          <cell r="C10">
            <v>78971901.669999883</v>
          </cell>
          <cell r="D10">
            <v>6079752.1600000001</v>
          </cell>
          <cell r="E10">
            <v>9156776.1999999974</v>
          </cell>
        </row>
        <row r="11">
          <cell r="A11" t="str">
            <v>Nariño</v>
          </cell>
          <cell r="B11">
            <v>86830113.600000232</v>
          </cell>
          <cell r="C11">
            <v>70979296.519999906</v>
          </cell>
          <cell r="D11">
            <v>6954267.2899999991</v>
          </cell>
          <cell r="E11">
            <v>3698172.2499999995</v>
          </cell>
        </row>
        <row r="12">
          <cell r="A12" t="str">
            <v>Cauca</v>
          </cell>
          <cell r="B12">
            <v>47622405.259999938</v>
          </cell>
          <cell r="C12">
            <v>54917065.740000039</v>
          </cell>
          <cell r="D12">
            <v>5325139.9700000016</v>
          </cell>
          <cell r="E12">
            <v>7606573.419999999</v>
          </cell>
        </row>
        <row r="13">
          <cell r="A13" t="str">
            <v>Cesar</v>
          </cell>
          <cell r="B13">
            <v>78909999.179999828</v>
          </cell>
          <cell r="C13">
            <v>46815773.709999889</v>
          </cell>
          <cell r="D13">
            <v>6239958.8399999989</v>
          </cell>
          <cell r="E13">
            <v>3103262.939999999</v>
          </cell>
        </row>
        <row r="14">
          <cell r="A14" t="str">
            <v>Risaralda</v>
          </cell>
          <cell r="B14">
            <v>26302684.039999992</v>
          </cell>
          <cell r="C14">
            <v>39049360.960000135</v>
          </cell>
          <cell r="D14">
            <v>2325541.35</v>
          </cell>
          <cell r="E14">
            <v>4894692.8599999975</v>
          </cell>
        </row>
        <row r="15">
          <cell r="A15" t="str">
            <v>Caldas</v>
          </cell>
          <cell r="B15">
            <v>26900487.400000021</v>
          </cell>
          <cell r="C15">
            <v>33241864.160000019</v>
          </cell>
          <cell r="D15">
            <v>3053166.05</v>
          </cell>
          <cell r="E15">
            <v>3809539.9099999997</v>
          </cell>
        </row>
        <row r="16">
          <cell r="A16" t="str">
            <v>Quindío</v>
          </cell>
          <cell r="B16">
            <v>7011973.7999999998</v>
          </cell>
          <cell r="C16">
            <v>13064213.909999996</v>
          </cell>
          <cell r="D16">
            <v>1182191.5300000003</v>
          </cell>
          <cell r="E16">
            <v>1117984.4400000002</v>
          </cell>
        </row>
        <row r="17">
          <cell r="A17" t="str">
            <v>Meta</v>
          </cell>
          <cell r="B17">
            <v>13859535.85</v>
          </cell>
          <cell r="C17">
            <v>12190640.859999999</v>
          </cell>
          <cell r="D17">
            <v>4977798.2499999991</v>
          </cell>
          <cell r="E17">
            <v>19258.830000000002</v>
          </cell>
        </row>
        <row r="18">
          <cell r="A18" t="str">
            <v>Norte de Santander</v>
          </cell>
          <cell r="B18">
            <v>29639421.860000025</v>
          </cell>
          <cell r="C18">
            <v>9815134.8099999987</v>
          </cell>
          <cell r="D18">
            <v>1767319.9300000004</v>
          </cell>
          <cell r="E18">
            <v>1215089.0099999995</v>
          </cell>
        </row>
        <row r="19">
          <cell r="A19" t="str">
            <v>Boyacá</v>
          </cell>
          <cell r="B19">
            <v>12991745.5</v>
          </cell>
          <cell r="C19">
            <v>9616037.2699999977</v>
          </cell>
          <cell r="D19">
            <v>1716224.0700000003</v>
          </cell>
          <cell r="E19">
            <v>1004050.2900000004</v>
          </cell>
        </row>
        <row r="20">
          <cell r="A20" t="str">
            <v>Córdoba</v>
          </cell>
          <cell r="B20">
            <v>18522713.380000018</v>
          </cell>
          <cell r="C20">
            <v>3144584.5900000003</v>
          </cell>
          <cell r="D20">
            <v>444505.41000000003</v>
          </cell>
          <cell r="E20">
            <v>201345.33999999997</v>
          </cell>
        </row>
        <row r="21">
          <cell r="A21" t="str">
            <v>Sucre</v>
          </cell>
          <cell r="B21">
            <v>503370.20999999996</v>
          </cell>
          <cell r="C21">
            <v>3120787.69</v>
          </cell>
          <cell r="D21">
            <v>0</v>
          </cell>
          <cell r="E21">
            <v>69060.740000000005</v>
          </cell>
        </row>
        <row r="22">
          <cell r="A22" t="str">
            <v>Casanare</v>
          </cell>
          <cell r="B22">
            <v>1087851.58</v>
          </cell>
          <cell r="C22">
            <v>2613999.7799999989</v>
          </cell>
          <cell r="D22">
            <v>61024.170000000006</v>
          </cell>
          <cell r="E22">
            <v>102016.29000000001</v>
          </cell>
        </row>
        <row r="23">
          <cell r="A23" t="str">
            <v>Tolima</v>
          </cell>
          <cell r="B23">
            <v>1678985.2899999998</v>
          </cell>
          <cell r="C23">
            <v>1818210.2199999995</v>
          </cell>
          <cell r="D23">
            <v>128474.22999999998</v>
          </cell>
          <cell r="E23">
            <v>317420.88</v>
          </cell>
        </row>
        <row r="24">
          <cell r="A24" t="str">
            <v>Huila</v>
          </cell>
          <cell r="B24">
            <v>867291.5399999998</v>
          </cell>
          <cell r="C24">
            <v>1160935.0600000005</v>
          </cell>
          <cell r="D24">
            <v>81749.639999999985</v>
          </cell>
          <cell r="E24">
            <v>30924.839999999997</v>
          </cell>
        </row>
        <row r="25">
          <cell r="A25" t="str">
            <v>Aráuca</v>
          </cell>
          <cell r="B25">
            <v>76785.12000000001</v>
          </cell>
          <cell r="C25">
            <v>146993.07</v>
          </cell>
          <cell r="D25">
            <v>0</v>
          </cell>
          <cell r="E25">
            <v>0</v>
          </cell>
        </row>
        <row r="26">
          <cell r="A26" t="str">
            <v>Amazonas</v>
          </cell>
          <cell r="B26">
            <v>534764.13000000012</v>
          </cell>
          <cell r="C26">
            <v>81102.84</v>
          </cell>
          <cell r="D26">
            <v>127605.98</v>
          </cell>
          <cell r="E26">
            <v>355.41</v>
          </cell>
        </row>
        <row r="27">
          <cell r="A27" t="str">
            <v>Vichada</v>
          </cell>
          <cell r="B27">
            <v>37229</v>
          </cell>
          <cell r="C27">
            <v>59338.100000000006</v>
          </cell>
          <cell r="D27">
            <v>0</v>
          </cell>
          <cell r="E27">
            <v>39300</v>
          </cell>
        </row>
        <row r="28">
          <cell r="A28" t="str">
            <v>Putumayo</v>
          </cell>
          <cell r="B28">
            <v>85124</v>
          </cell>
          <cell r="C28">
            <v>39995.5</v>
          </cell>
          <cell r="D28">
            <v>16280</v>
          </cell>
          <cell r="E28">
            <v>0</v>
          </cell>
        </row>
        <row r="29">
          <cell r="A29" t="str">
            <v>San Andrés</v>
          </cell>
          <cell r="B29">
            <v>9022.48</v>
          </cell>
          <cell r="C29">
            <v>3641.4399999999996</v>
          </cell>
          <cell r="D29">
            <v>7944.6</v>
          </cell>
          <cell r="E29">
            <v>0</v>
          </cell>
        </row>
        <row r="30">
          <cell r="A30" t="str">
            <v>Caquetá</v>
          </cell>
          <cell r="B30">
            <v>18974.989999999998</v>
          </cell>
          <cell r="C30">
            <v>723.77</v>
          </cell>
          <cell r="D30">
            <v>0</v>
          </cell>
          <cell r="E30">
            <v>587.96</v>
          </cell>
        </row>
        <row r="31">
          <cell r="A31" t="str">
            <v>Chocó</v>
          </cell>
          <cell r="B31">
            <v>20024.440000000002</v>
          </cell>
          <cell r="C31">
            <v>0</v>
          </cell>
          <cell r="D31">
            <v>0</v>
          </cell>
          <cell r="E31">
            <v>0</v>
          </cell>
        </row>
      </sheetData>
      <sheetData sheetId="4">
        <row r="2">
          <cell r="A2" t="str">
            <v>Bogotá</v>
          </cell>
          <cell r="B2">
            <v>1379755292.1000032</v>
          </cell>
          <cell r="C2">
            <v>1966059431.9099612</v>
          </cell>
          <cell r="D2">
            <v>157769707.74000019</v>
          </cell>
          <cell r="E2">
            <v>259159730.2199994</v>
          </cell>
        </row>
        <row r="3">
          <cell r="A3" t="str">
            <v>Antioquia</v>
          </cell>
          <cell r="B3">
            <v>601899164.68999302</v>
          </cell>
          <cell r="C3">
            <v>869909423.68999767</v>
          </cell>
          <cell r="D3">
            <v>75843897.699999958</v>
          </cell>
          <cell r="E3">
            <v>125273157.05000001</v>
          </cell>
        </row>
        <row r="4">
          <cell r="A4" t="str">
            <v>Atlántico</v>
          </cell>
          <cell r="B4">
            <v>389546618.55999941</v>
          </cell>
          <cell r="C4">
            <v>455199111.40999717</v>
          </cell>
          <cell r="D4">
            <v>39617922.490000196</v>
          </cell>
          <cell r="E4">
            <v>58564320.120000072</v>
          </cell>
        </row>
        <row r="5">
          <cell r="A5" t="str">
            <v>Valle del Cauca</v>
          </cell>
          <cell r="B5">
            <v>326192822.50999796</v>
          </cell>
          <cell r="C5">
            <v>394284453.98999876</v>
          </cell>
          <cell r="D5">
            <v>44942306.919999883</v>
          </cell>
          <cell r="E5">
            <v>42103776.040000059</v>
          </cell>
        </row>
        <row r="6">
          <cell r="A6" t="str">
            <v>Cundinamarca</v>
          </cell>
          <cell r="B6">
            <v>327492448.63999933</v>
          </cell>
          <cell r="C6">
            <v>323208053.3499971</v>
          </cell>
          <cell r="D6">
            <v>30839747.340000026</v>
          </cell>
          <cell r="E6">
            <v>56015168.810000084</v>
          </cell>
        </row>
        <row r="7">
          <cell r="A7" t="str">
            <v>Bolívar</v>
          </cell>
          <cell r="B7">
            <v>220741164.33000013</v>
          </cell>
          <cell r="C7">
            <v>212209309.10999864</v>
          </cell>
          <cell r="D7">
            <v>21585355.250000011</v>
          </cell>
          <cell r="E7">
            <v>34984425.790000059</v>
          </cell>
        </row>
        <row r="8">
          <cell r="A8" t="str">
            <v>Caldas</v>
          </cell>
          <cell r="B8">
            <v>64060557.149999976</v>
          </cell>
          <cell r="C8">
            <v>94031028.649999961</v>
          </cell>
          <cell r="D8">
            <v>6232635.0400000038</v>
          </cell>
          <cell r="E8">
            <v>14446924.469999997</v>
          </cell>
        </row>
        <row r="9">
          <cell r="A9" t="str">
            <v>Cauca</v>
          </cell>
          <cell r="B9">
            <v>45711352.06000004</v>
          </cell>
          <cell r="C9">
            <v>87321078.070000038</v>
          </cell>
          <cell r="D9">
            <v>5160272.54</v>
          </cell>
          <cell r="E9">
            <v>7362075.1499999957</v>
          </cell>
        </row>
        <row r="10">
          <cell r="A10" t="str">
            <v>Nariño</v>
          </cell>
          <cell r="B10">
            <v>54862981.400000051</v>
          </cell>
          <cell r="C10">
            <v>53551372.769999988</v>
          </cell>
          <cell r="D10">
            <v>5213977.9099999992</v>
          </cell>
          <cell r="E10">
            <v>1379434.2699999998</v>
          </cell>
        </row>
        <row r="11">
          <cell r="A11" t="str">
            <v>Santander</v>
          </cell>
          <cell r="B11">
            <v>66883477.439999923</v>
          </cell>
          <cell r="C11">
            <v>49293893.910000049</v>
          </cell>
          <cell r="D11">
            <v>10046664.409999998</v>
          </cell>
          <cell r="E11">
            <v>5482374.1899999948</v>
          </cell>
        </row>
        <row r="12">
          <cell r="A12" t="str">
            <v>Risaralda</v>
          </cell>
          <cell r="B12">
            <v>33091212.470000073</v>
          </cell>
          <cell r="C12">
            <v>40590963.129999936</v>
          </cell>
          <cell r="D12">
            <v>3793492.0899999975</v>
          </cell>
          <cell r="E12">
            <v>5591391.8100000024</v>
          </cell>
        </row>
        <row r="13">
          <cell r="A13" t="str">
            <v>Norte de Santander</v>
          </cell>
          <cell r="B13">
            <v>40904984.609999985</v>
          </cell>
          <cell r="C13">
            <v>36450513.030000061</v>
          </cell>
          <cell r="D13">
            <v>5672097.8000000017</v>
          </cell>
          <cell r="E13">
            <v>4417880.330000001</v>
          </cell>
        </row>
        <row r="14">
          <cell r="A14" t="str">
            <v>Boyacá</v>
          </cell>
          <cell r="B14">
            <v>30873453.919999979</v>
          </cell>
          <cell r="C14">
            <v>36437619.529999994</v>
          </cell>
          <cell r="D14">
            <v>1540781.4799999997</v>
          </cell>
          <cell r="E14">
            <v>3427616.7800000007</v>
          </cell>
        </row>
        <row r="15">
          <cell r="A15" t="str">
            <v>Guajira</v>
          </cell>
          <cell r="B15">
            <v>24373629.179999981</v>
          </cell>
          <cell r="C15">
            <v>25384545.429999981</v>
          </cell>
          <cell r="D15">
            <v>2304758.2999999993</v>
          </cell>
          <cell r="E15">
            <v>2969113.160000002</v>
          </cell>
        </row>
        <row r="16">
          <cell r="A16" t="str">
            <v>Cesar</v>
          </cell>
          <cell r="B16">
            <v>26011261.879999857</v>
          </cell>
          <cell r="C16">
            <v>23225932.660000086</v>
          </cell>
          <cell r="D16">
            <v>2423737.2300000037</v>
          </cell>
          <cell r="E16">
            <v>2806973.5899999985</v>
          </cell>
        </row>
        <row r="17">
          <cell r="A17" t="str">
            <v>Casanare</v>
          </cell>
          <cell r="B17">
            <v>12490975.399999997</v>
          </cell>
          <cell r="C17">
            <v>23107358.469999958</v>
          </cell>
          <cell r="D17">
            <v>2365645.8700000006</v>
          </cell>
          <cell r="E17">
            <v>5414558.3399999961</v>
          </cell>
        </row>
        <row r="18">
          <cell r="A18" t="str">
            <v>Magdalena</v>
          </cell>
          <cell r="B18">
            <v>43170349.829999916</v>
          </cell>
          <cell r="C18">
            <v>19640033.440000001</v>
          </cell>
          <cell r="D18">
            <v>4136182.9900000007</v>
          </cell>
          <cell r="E18">
            <v>656209.37000000011</v>
          </cell>
        </row>
        <row r="19">
          <cell r="A19" t="str">
            <v>Córdoba</v>
          </cell>
          <cell r="B19">
            <v>4245498.5500000017</v>
          </cell>
          <cell r="C19">
            <v>6929530.0599999996</v>
          </cell>
          <cell r="D19">
            <v>431021.65999999986</v>
          </cell>
          <cell r="E19">
            <v>1543783.74</v>
          </cell>
        </row>
        <row r="20">
          <cell r="A20" t="str">
            <v>Quindío</v>
          </cell>
          <cell r="B20">
            <v>3800444.669999999</v>
          </cell>
          <cell r="C20">
            <v>6328778.8900000053</v>
          </cell>
          <cell r="D20">
            <v>580133.2799999998</v>
          </cell>
          <cell r="E20">
            <v>976597.95000000042</v>
          </cell>
        </row>
        <row r="21">
          <cell r="A21" t="str">
            <v>Huila</v>
          </cell>
          <cell r="B21">
            <v>649760.71000000043</v>
          </cell>
          <cell r="C21">
            <v>5146991.2100000009</v>
          </cell>
          <cell r="D21">
            <v>150112.57999999996</v>
          </cell>
          <cell r="E21">
            <v>286686.7</v>
          </cell>
        </row>
        <row r="22">
          <cell r="A22" t="str">
            <v>Tolima</v>
          </cell>
          <cell r="B22">
            <v>2941511.7899999944</v>
          </cell>
          <cell r="C22">
            <v>4056932.74</v>
          </cell>
          <cell r="D22">
            <v>383500.66000000003</v>
          </cell>
          <cell r="E22">
            <v>1030631.4700000003</v>
          </cell>
        </row>
        <row r="23">
          <cell r="A23" t="str">
            <v>Meta</v>
          </cell>
          <cell r="B23">
            <v>1908115.8500000006</v>
          </cell>
          <cell r="C23">
            <v>2160733.1899999995</v>
          </cell>
          <cell r="D23">
            <v>11683.48</v>
          </cell>
          <cell r="E23">
            <v>1157163.1599999999</v>
          </cell>
        </row>
        <row r="24">
          <cell r="A24" t="str">
            <v>Sucre</v>
          </cell>
          <cell r="B24">
            <v>806694.97</v>
          </cell>
          <cell r="C24">
            <v>486763.4</v>
          </cell>
          <cell r="D24">
            <v>5093.1000000000004</v>
          </cell>
          <cell r="E24">
            <v>0</v>
          </cell>
        </row>
        <row r="25">
          <cell r="A25" t="str">
            <v>Chocó</v>
          </cell>
          <cell r="B25">
            <v>11446.52</v>
          </cell>
          <cell r="C25">
            <v>263633.65000000008</v>
          </cell>
          <cell r="D25">
            <v>0</v>
          </cell>
          <cell r="E25">
            <v>32498.71</v>
          </cell>
        </row>
        <row r="26">
          <cell r="A26" t="str">
            <v>Amazonas</v>
          </cell>
          <cell r="B26">
            <v>122308.72000000003</v>
          </cell>
          <cell r="C26">
            <v>195826.65999999992</v>
          </cell>
          <cell r="D26">
            <v>15113.43</v>
          </cell>
          <cell r="E26">
            <v>46530.780000000006</v>
          </cell>
        </row>
        <row r="27">
          <cell r="A27" t="str">
            <v>San Andrés</v>
          </cell>
          <cell r="B27">
            <v>11339.859999999999</v>
          </cell>
          <cell r="C27">
            <v>94604.790000000023</v>
          </cell>
          <cell r="D27">
            <v>205.25</v>
          </cell>
          <cell r="E27">
            <v>0</v>
          </cell>
        </row>
        <row r="28">
          <cell r="A28" t="str">
            <v>Vichada</v>
          </cell>
          <cell r="B28">
            <v>0</v>
          </cell>
          <cell r="C28">
            <v>91590.820000000022</v>
          </cell>
          <cell r="D28">
            <v>0</v>
          </cell>
          <cell r="E28">
            <v>91446.69</v>
          </cell>
        </row>
        <row r="29">
          <cell r="A29" t="str">
            <v>Putumayo</v>
          </cell>
          <cell r="B29">
            <v>973.88</v>
          </cell>
          <cell r="C29">
            <v>72458.52</v>
          </cell>
          <cell r="D29">
            <v>0</v>
          </cell>
          <cell r="E29">
            <v>319.35000000000002</v>
          </cell>
        </row>
        <row r="30">
          <cell r="A30" t="str">
            <v>Guaviare</v>
          </cell>
          <cell r="B30">
            <v>0</v>
          </cell>
          <cell r="C30">
            <v>41549.599999999999</v>
          </cell>
          <cell r="D30">
            <v>0</v>
          </cell>
          <cell r="E30">
            <v>0</v>
          </cell>
        </row>
        <row r="31">
          <cell r="A31" t="str">
            <v>Aráuca</v>
          </cell>
          <cell r="B31">
            <v>91574.32</v>
          </cell>
          <cell r="C31">
            <v>28019.75</v>
          </cell>
          <cell r="D31">
            <v>451.82</v>
          </cell>
          <cell r="E31">
            <v>0</v>
          </cell>
        </row>
        <row r="32">
          <cell r="A32" t="str">
            <v>Caquetá</v>
          </cell>
          <cell r="B32">
            <v>0</v>
          </cell>
          <cell r="C32">
            <v>15569.22</v>
          </cell>
          <cell r="D32">
            <v>0</v>
          </cell>
          <cell r="E32">
            <v>1039.8699999999999</v>
          </cell>
        </row>
      </sheetData>
      <sheetData sheetId="5">
        <row r="2">
          <cell r="A2" t="str">
            <v>Bogotá</v>
          </cell>
          <cell r="B2">
            <v>3248019456.5199447</v>
          </cell>
          <cell r="C2">
            <v>4500398285.9001226</v>
          </cell>
          <cell r="D2">
            <v>381155458.59000242</v>
          </cell>
          <cell r="E2">
            <v>620937364.35999858</v>
          </cell>
        </row>
        <row r="3">
          <cell r="A3" t="str">
            <v>Cundinamarca</v>
          </cell>
          <cell r="B3">
            <v>1209672054.5000036</v>
          </cell>
          <cell r="C3">
            <v>1606583044.7100053</v>
          </cell>
          <cell r="D3">
            <v>134979157.9600001</v>
          </cell>
          <cell r="E3">
            <v>211694925.60999942</v>
          </cell>
        </row>
        <row r="4">
          <cell r="A4" t="str">
            <v>Antioquia</v>
          </cell>
          <cell r="B4">
            <v>1033746900.2100047</v>
          </cell>
          <cell r="C4">
            <v>1445555494.5399809</v>
          </cell>
          <cell r="D4">
            <v>122561264.88000013</v>
          </cell>
          <cell r="E4">
            <v>166310179.92000064</v>
          </cell>
        </row>
        <row r="5">
          <cell r="A5" t="str">
            <v>Valle del Cauca</v>
          </cell>
          <cell r="B5">
            <v>930455900.43000281</v>
          </cell>
          <cell r="C5">
            <v>1211763345.2899935</v>
          </cell>
          <cell r="D5">
            <v>101581674.74000004</v>
          </cell>
          <cell r="E5">
            <v>93124945.959999651</v>
          </cell>
        </row>
        <row r="6">
          <cell r="A6" t="str">
            <v>Atlántico</v>
          </cell>
          <cell r="B6">
            <v>630584298.89000344</v>
          </cell>
          <cell r="C6">
            <v>656390794.18999684</v>
          </cell>
          <cell r="D6">
            <v>67044838.920000076</v>
          </cell>
          <cell r="E6">
            <v>60091552.699999958</v>
          </cell>
        </row>
        <row r="7">
          <cell r="A7" t="str">
            <v>Bolívar</v>
          </cell>
          <cell r="B7">
            <v>763260940.19999301</v>
          </cell>
          <cell r="C7">
            <v>517701686.74000061</v>
          </cell>
          <cell r="D7">
            <v>72349870.289999813</v>
          </cell>
          <cell r="E7">
            <v>38428357.779999986</v>
          </cell>
        </row>
        <row r="8">
          <cell r="A8" t="str">
            <v>Cesar</v>
          </cell>
          <cell r="B8">
            <v>455439982.84000218</v>
          </cell>
          <cell r="C8">
            <v>329802280.32999951</v>
          </cell>
          <cell r="D8">
            <v>42778827.899999999</v>
          </cell>
          <cell r="E8">
            <v>29525196.329999868</v>
          </cell>
        </row>
        <row r="9">
          <cell r="A9" t="str">
            <v>Guajira</v>
          </cell>
          <cell r="B9">
            <v>203374827.96999937</v>
          </cell>
          <cell r="C9">
            <v>252934745.29999962</v>
          </cell>
          <cell r="D9">
            <v>21757950.719999988</v>
          </cell>
          <cell r="E9">
            <v>30361678.370000016</v>
          </cell>
        </row>
        <row r="10">
          <cell r="A10" t="str">
            <v>Magdalena</v>
          </cell>
          <cell r="B10">
            <v>161851224.69999984</v>
          </cell>
          <cell r="C10">
            <v>145713171.06999972</v>
          </cell>
          <cell r="D10">
            <v>16881549.939999986</v>
          </cell>
          <cell r="E10">
            <v>1772580.0199999998</v>
          </cell>
        </row>
        <row r="11">
          <cell r="A11" t="str">
            <v>Santander</v>
          </cell>
          <cell r="B11">
            <v>102733268.97999968</v>
          </cell>
          <cell r="C11">
            <v>139113076.68999988</v>
          </cell>
          <cell r="D11">
            <v>14858469.439999999</v>
          </cell>
          <cell r="E11">
            <v>20199185.160000019</v>
          </cell>
        </row>
        <row r="12">
          <cell r="A12" t="str">
            <v>Nariño</v>
          </cell>
          <cell r="B12">
            <v>30405060.749999974</v>
          </cell>
          <cell r="C12">
            <v>111265685.43999976</v>
          </cell>
          <cell r="D12">
            <v>3385805.75</v>
          </cell>
          <cell r="E12">
            <v>934173.36999999988</v>
          </cell>
        </row>
        <row r="13">
          <cell r="A13" t="str">
            <v>Caldas</v>
          </cell>
          <cell r="B13">
            <v>98544278.680000082</v>
          </cell>
          <cell r="C13">
            <v>110634650.82999989</v>
          </cell>
          <cell r="D13">
            <v>10125531.140000006</v>
          </cell>
          <cell r="E13">
            <v>10580664.539999997</v>
          </cell>
        </row>
        <row r="14">
          <cell r="A14" t="str">
            <v>Risaralda</v>
          </cell>
          <cell r="B14">
            <v>95154757.199999958</v>
          </cell>
          <cell r="C14">
            <v>108849436.61000016</v>
          </cell>
          <cell r="D14">
            <v>8395695.7500000075</v>
          </cell>
          <cell r="E14">
            <v>13735934.049999993</v>
          </cell>
        </row>
        <row r="15">
          <cell r="A15" t="str">
            <v>Cauca</v>
          </cell>
          <cell r="B15">
            <v>55411626.329999991</v>
          </cell>
          <cell r="C15">
            <v>64316814.819999918</v>
          </cell>
          <cell r="D15">
            <v>7060696.2400000021</v>
          </cell>
          <cell r="E15">
            <v>7939455.5699999947</v>
          </cell>
        </row>
        <row r="16">
          <cell r="A16" t="str">
            <v>Boyacá</v>
          </cell>
          <cell r="B16">
            <v>36954430.009999983</v>
          </cell>
          <cell r="C16">
            <v>60921761.009999953</v>
          </cell>
          <cell r="D16">
            <v>3616652.0400000014</v>
          </cell>
          <cell r="E16">
            <v>12722056.540000001</v>
          </cell>
        </row>
        <row r="17">
          <cell r="A17" t="str">
            <v>Casanare</v>
          </cell>
          <cell r="B17">
            <v>23857109.899999958</v>
          </cell>
          <cell r="C17">
            <v>59730367.78999988</v>
          </cell>
          <cell r="D17">
            <v>4493202.2799999993</v>
          </cell>
          <cell r="E17">
            <v>2715047.29</v>
          </cell>
        </row>
        <row r="18">
          <cell r="A18" t="str">
            <v>Norte de Santander</v>
          </cell>
          <cell r="B18">
            <v>70676085.009999961</v>
          </cell>
          <cell r="C18">
            <v>54919183.029999994</v>
          </cell>
          <cell r="D18">
            <v>3065193.5399999996</v>
          </cell>
          <cell r="E18">
            <v>5939837.4599999981</v>
          </cell>
        </row>
        <row r="19">
          <cell r="A19" t="str">
            <v>Córdoba</v>
          </cell>
          <cell r="B19">
            <v>20160342.149999984</v>
          </cell>
          <cell r="C19">
            <v>27869410.949999958</v>
          </cell>
          <cell r="D19">
            <v>1767199.49</v>
          </cell>
          <cell r="E19">
            <v>2387456.35</v>
          </cell>
        </row>
        <row r="20">
          <cell r="A20" t="str">
            <v>Huila</v>
          </cell>
          <cell r="B20">
            <v>21152869.350000013</v>
          </cell>
          <cell r="C20">
            <v>16987845.970000003</v>
          </cell>
          <cell r="D20">
            <v>12558135.920000002</v>
          </cell>
          <cell r="E20">
            <v>365499.73999999993</v>
          </cell>
        </row>
        <row r="21">
          <cell r="A21" t="str">
            <v>Meta</v>
          </cell>
          <cell r="B21">
            <v>15999114.399999995</v>
          </cell>
          <cell r="C21">
            <v>15204245.190000001</v>
          </cell>
          <cell r="D21">
            <v>410337.43</v>
          </cell>
          <cell r="E21">
            <v>5058350.34</v>
          </cell>
        </row>
        <row r="22">
          <cell r="A22" t="str">
            <v>Tolima</v>
          </cell>
          <cell r="B22">
            <v>10671834.569999978</v>
          </cell>
          <cell r="C22">
            <v>10814603.590000011</v>
          </cell>
          <cell r="D22">
            <v>1615775.7800000005</v>
          </cell>
          <cell r="E22">
            <v>1908396.3599999992</v>
          </cell>
        </row>
        <row r="23">
          <cell r="A23" t="str">
            <v>Quindío</v>
          </cell>
          <cell r="B23">
            <v>9807426.3400000017</v>
          </cell>
          <cell r="C23">
            <v>7817028.6900000097</v>
          </cell>
          <cell r="D23">
            <v>795194.64999999967</v>
          </cell>
          <cell r="E23">
            <v>793077.71</v>
          </cell>
        </row>
        <row r="24">
          <cell r="A24" t="str">
            <v>Sucre</v>
          </cell>
          <cell r="B24">
            <v>1048751.1099999999</v>
          </cell>
          <cell r="C24">
            <v>1598736.2100000007</v>
          </cell>
          <cell r="D24">
            <v>362256.41000000003</v>
          </cell>
          <cell r="E24">
            <v>148913.86000000002</v>
          </cell>
        </row>
        <row r="25">
          <cell r="A25" t="str">
            <v>Amazonas</v>
          </cell>
          <cell r="B25">
            <v>451078.59000000008</v>
          </cell>
          <cell r="C25">
            <v>708509.14999999979</v>
          </cell>
          <cell r="D25">
            <v>42569.27</v>
          </cell>
          <cell r="E25">
            <v>123170.11</v>
          </cell>
        </row>
        <row r="26">
          <cell r="A26" t="str">
            <v>Aráuca</v>
          </cell>
          <cell r="B26">
            <v>1424102.11</v>
          </cell>
          <cell r="C26">
            <v>606213.1399999999</v>
          </cell>
          <cell r="D26">
            <v>2074.5300000000002</v>
          </cell>
          <cell r="E26">
            <v>0</v>
          </cell>
        </row>
        <row r="27">
          <cell r="A27" t="str">
            <v>Caquetá</v>
          </cell>
          <cell r="B27">
            <v>900910.87</v>
          </cell>
          <cell r="C27">
            <v>295155.74</v>
          </cell>
          <cell r="D27">
            <v>0</v>
          </cell>
          <cell r="E27">
            <v>125.98</v>
          </cell>
        </row>
        <row r="28">
          <cell r="A28" t="str">
            <v>San Andrés</v>
          </cell>
          <cell r="B28">
            <v>559607.93000000005</v>
          </cell>
          <cell r="C28">
            <v>276982.2</v>
          </cell>
          <cell r="D28">
            <v>148.96</v>
          </cell>
          <cell r="E28">
            <v>24875.760000000002</v>
          </cell>
        </row>
        <row r="29">
          <cell r="A29" t="str">
            <v>Putumayo</v>
          </cell>
          <cell r="B29">
            <v>28080228.020000007</v>
          </cell>
          <cell r="C29">
            <v>250233.16999999995</v>
          </cell>
          <cell r="D29">
            <v>0</v>
          </cell>
          <cell r="E29">
            <v>39754.46</v>
          </cell>
        </row>
        <row r="30">
          <cell r="A30" t="str">
            <v>Chocó</v>
          </cell>
          <cell r="B30">
            <v>250516.23</v>
          </cell>
          <cell r="C30">
            <v>135019.19</v>
          </cell>
          <cell r="D30">
            <v>231650.4</v>
          </cell>
          <cell r="E30">
            <v>129503.71</v>
          </cell>
        </row>
        <row r="31">
          <cell r="A31" t="str">
            <v>Vichada</v>
          </cell>
          <cell r="B31">
            <v>103210.35999999999</v>
          </cell>
          <cell r="C31">
            <v>15494.99</v>
          </cell>
          <cell r="D31">
            <v>6827.4</v>
          </cell>
          <cell r="E31">
            <v>1501.22</v>
          </cell>
        </row>
      </sheetData>
      <sheetData sheetId="6">
        <row r="2">
          <cell r="A2" t="str">
            <v>Bogotá</v>
          </cell>
          <cell r="B2">
            <v>5431655343.1601067</v>
          </cell>
          <cell r="C2">
            <v>5867561974.1198416</v>
          </cell>
          <cell r="D2">
            <v>562563731.08000052</v>
          </cell>
          <cell r="E2">
            <v>457372463.22000015</v>
          </cell>
        </row>
        <row r="3">
          <cell r="A3" t="str">
            <v>Valle del Cauca</v>
          </cell>
          <cell r="B3">
            <v>310539039.33000124</v>
          </cell>
          <cell r="C3">
            <v>457295205.91000211</v>
          </cell>
          <cell r="D3">
            <v>29276448.669999998</v>
          </cell>
          <cell r="E3">
            <v>25967041.459999945</v>
          </cell>
        </row>
        <row r="4">
          <cell r="A4" t="str">
            <v>Cundinamarca</v>
          </cell>
          <cell r="B4">
            <v>299448724.81000203</v>
          </cell>
          <cell r="C4">
            <v>392475423.94000077</v>
          </cell>
          <cell r="D4">
            <v>36119349.179999925</v>
          </cell>
          <cell r="E4">
            <v>80227149.640000015</v>
          </cell>
        </row>
        <row r="5">
          <cell r="A5" t="str">
            <v>Antioquia</v>
          </cell>
          <cell r="B5">
            <v>265885711.55000123</v>
          </cell>
          <cell r="C5">
            <v>222431159.69000039</v>
          </cell>
          <cell r="D5">
            <v>19758076.659999982</v>
          </cell>
          <cell r="E5">
            <v>24280003.230000027</v>
          </cell>
        </row>
        <row r="6">
          <cell r="A6" t="str">
            <v>Bolívar</v>
          </cell>
          <cell r="B6">
            <v>219278722.35999763</v>
          </cell>
          <cell r="C6">
            <v>104256803.59000027</v>
          </cell>
          <cell r="D6">
            <v>35851811.479999967</v>
          </cell>
          <cell r="E6">
            <v>29052035.750000004</v>
          </cell>
        </row>
        <row r="7">
          <cell r="A7" t="str">
            <v>Atlántico</v>
          </cell>
          <cell r="B7">
            <v>70560165.269999832</v>
          </cell>
          <cell r="C7">
            <v>88640412.639999628</v>
          </cell>
          <cell r="D7">
            <v>7861551.8800000008</v>
          </cell>
          <cell r="E7">
            <v>8220647.6600000001</v>
          </cell>
        </row>
        <row r="8">
          <cell r="A8" t="str">
            <v>Magdalena</v>
          </cell>
          <cell r="B8">
            <v>165283695.38999987</v>
          </cell>
          <cell r="C8">
            <v>68370992.519999996</v>
          </cell>
          <cell r="D8">
            <v>857304.50999999978</v>
          </cell>
          <cell r="E8">
            <v>325784.39999999997</v>
          </cell>
        </row>
        <row r="9">
          <cell r="A9" t="str">
            <v>Meta</v>
          </cell>
          <cell r="B9">
            <v>2253879.4799999981</v>
          </cell>
          <cell r="C9">
            <v>54660962.919999994</v>
          </cell>
          <cell r="D9">
            <v>34605.060000000005</v>
          </cell>
          <cell r="E9">
            <v>37464951.210000001</v>
          </cell>
        </row>
        <row r="10">
          <cell r="A10" t="str">
            <v>Santander</v>
          </cell>
          <cell r="B10">
            <v>29985901.000000093</v>
          </cell>
          <cell r="C10">
            <v>34207308.949999973</v>
          </cell>
          <cell r="D10">
            <v>3006638.7399999979</v>
          </cell>
          <cell r="E10">
            <v>4392111.7300000014</v>
          </cell>
        </row>
        <row r="11">
          <cell r="A11" t="str">
            <v>Cesar</v>
          </cell>
          <cell r="B11">
            <v>27539467.490000002</v>
          </cell>
          <cell r="C11">
            <v>22832552.210000031</v>
          </cell>
          <cell r="D11">
            <v>2420137.9400000009</v>
          </cell>
          <cell r="E11">
            <v>4485018.820000005</v>
          </cell>
        </row>
        <row r="12">
          <cell r="A12" t="str">
            <v>Casanare</v>
          </cell>
          <cell r="B12">
            <v>11270187.889999997</v>
          </cell>
          <cell r="C12">
            <v>21507675.330000009</v>
          </cell>
          <cell r="D12">
            <v>1233076.6599999997</v>
          </cell>
          <cell r="E12">
            <v>16741958.52</v>
          </cell>
        </row>
        <row r="13">
          <cell r="A13" t="str">
            <v>Guajira</v>
          </cell>
          <cell r="B13">
            <v>18602561.169999979</v>
          </cell>
          <cell r="C13">
            <v>21205588.080000002</v>
          </cell>
          <cell r="D13">
            <v>1794288.9700000007</v>
          </cell>
          <cell r="E13">
            <v>2755762.2400000007</v>
          </cell>
        </row>
        <row r="14">
          <cell r="A14" t="str">
            <v>Risaralda</v>
          </cell>
          <cell r="B14">
            <v>14470730.430000007</v>
          </cell>
          <cell r="C14">
            <v>19249652.91000003</v>
          </cell>
          <cell r="D14">
            <v>1470196.9200000004</v>
          </cell>
          <cell r="E14">
            <v>2328798.9699999979</v>
          </cell>
        </row>
        <row r="15">
          <cell r="A15" t="str">
            <v>Cauca</v>
          </cell>
          <cell r="B15">
            <v>11373029.269999987</v>
          </cell>
          <cell r="C15">
            <v>16934983.320000008</v>
          </cell>
          <cell r="D15">
            <v>1264319.29</v>
          </cell>
          <cell r="E15">
            <v>2274707.42</v>
          </cell>
        </row>
        <row r="16">
          <cell r="A16" t="str">
            <v>Boyacá</v>
          </cell>
          <cell r="B16">
            <v>5733543.4299999978</v>
          </cell>
          <cell r="C16">
            <v>12903926.850000007</v>
          </cell>
          <cell r="D16">
            <v>219001.24</v>
          </cell>
          <cell r="E16">
            <v>2972563.71</v>
          </cell>
        </row>
        <row r="17">
          <cell r="A17" t="str">
            <v>Caldas</v>
          </cell>
          <cell r="B17">
            <v>7473499.3300000019</v>
          </cell>
          <cell r="C17">
            <v>8324248.5300000133</v>
          </cell>
          <cell r="D17">
            <v>779453.26000000013</v>
          </cell>
          <cell r="E17">
            <v>475744.28999999992</v>
          </cell>
        </row>
        <row r="18">
          <cell r="A18" t="str">
            <v>Huila</v>
          </cell>
          <cell r="B18">
            <v>4326931.9799999977</v>
          </cell>
          <cell r="C18">
            <v>7316997.4699999942</v>
          </cell>
          <cell r="D18">
            <v>963042.23</v>
          </cell>
          <cell r="E18">
            <v>383163.1</v>
          </cell>
        </row>
        <row r="19">
          <cell r="A19" t="str">
            <v>Tolima</v>
          </cell>
          <cell r="B19">
            <v>2269545.0699999994</v>
          </cell>
          <cell r="C19">
            <v>2951318.7999999975</v>
          </cell>
          <cell r="D19">
            <v>702399.51</v>
          </cell>
          <cell r="E19">
            <v>227658.77000000002</v>
          </cell>
        </row>
        <row r="20">
          <cell r="A20" t="str">
            <v>Córdoba</v>
          </cell>
          <cell r="B20">
            <v>1771000.9900000005</v>
          </cell>
          <cell r="C20">
            <v>2555232.4399999995</v>
          </cell>
          <cell r="D20">
            <v>168677.05000000002</v>
          </cell>
          <cell r="E20">
            <v>270060.92</v>
          </cell>
        </row>
        <row r="21">
          <cell r="A21" t="str">
            <v>Norte de Santander</v>
          </cell>
          <cell r="B21">
            <v>3285936.0799999987</v>
          </cell>
          <cell r="C21">
            <v>2029496.9</v>
          </cell>
          <cell r="D21">
            <v>387847.66000000003</v>
          </cell>
          <cell r="E21">
            <v>396597.27</v>
          </cell>
        </row>
        <row r="22">
          <cell r="A22" t="str">
            <v>Quindío</v>
          </cell>
          <cell r="B22">
            <v>857138.26000000036</v>
          </cell>
          <cell r="C22">
            <v>1943625.5999999975</v>
          </cell>
          <cell r="D22">
            <v>105816.19</v>
          </cell>
          <cell r="E22">
            <v>98117.40999999996</v>
          </cell>
        </row>
        <row r="23">
          <cell r="A23" t="str">
            <v>Nariño</v>
          </cell>
          <cell r="B23">
            <v>1598793.5699999996</v>
          </cell>
          <cell r="C23">
            <v>1302009.4500000009</v>
          </cell>
          <cell r="D23">
            <v>53796.34</v>
          </cell>
          <cell r="E23">
            <v>128439.88000000002</v>
          </cell>
        </row>
        <row r="24">
          <cell r="A24" t="str">
            <v>Aráuca</v>
          </cell>
          <cell r="B24">
            <v>2784208.8499999992</v>
          </cell>
          <cell r="C24">
            <v>533689.05999999994</v>
          </cell>
          <cell r="D24">
            <v>28140.22</v>
          </cell>
          <cell r="E24">
            <v>15462.19</v>
          </cell>
        </row>
        <row r="25">
          <cell r="A25" t="str">
            <v>Sucre</v>
          </cell>
          <cell r="B25">
            <v>562139.24000000022</v>
          </cell>
          <cell r="C25">
            <v>280600.46999999997</v>
          </cell>
          <cell r="D25">
            <v>49910.090000000004</v>
          </cell>
          <cell r="E25">
            <v>0</v>
          </cell>
        </row>
        <row r="26">
          <cell r="A26" t="str">
            <v>Caquetá</v>
          </cell>
          <cell r="B26">
            <v>192038.32</v>
          </cell>
          <cell r="C26">
            <v>119486.59000000001</v>
          </cell>
          <cell r="D26">
            <v>15323.480000000001</v>
          </cell>
          <cell r="E26">
            <v>12717.369999999999</v>
          </cell>
        </row>
        <row r="27">
          <cell r="A27" t="str">
            <v>Vichada</v>
          </cell>
          <cell r="B27">
            <v>0</v>
          </cell>
          <cell r="C27">
            <v>92752.08</v>
          </cell>
          <cell r="D27">
            <v>0</v>
          </cell>
          <cell r="E27">
            <v>3943.6</v>
          </cell>
        </row>
        <row r="28">
          <cell r="A28" t="str">
            <v>Chocó</v>
          </cell>
          <cell r="B28">
            <v>0</v>
          </cell>
          <cell r="C28">
            <v>81114.67</v>
          </cell>
          <cell r="D28">
            <v>0</v>
          </cell>
          <cell r="E28">
            <v>75555.399999999994</v>
          </cell>
        </row>
        <row r="29">
          <cell r="A29" t="str">
            <v>Putumayo</v>
          </cell>
          <cell r="B29">
            <v>334737.19999999995</v>
          </cell>
          <cell r="C29">
            <v>67743.55</v>
          </cell>
          <cell r="D29">
            <v>14257.95</v>
          </cell>
          <cell r="E29">
            <v>0</v>
          </cell>
        </row>
        <row r="30">
          <cell r="A30" t="str">
            <v>San Andrés</v>
          </cell>
          <cell r="B30">
            <v>20178.160000000003</v>
          </cell>
          <cell r="C30">
            <v>38237.659999999996</v>
          </cell>
          <cell r="D30">
            <v>8148.5</v>
          </cell>
          <cell r="E30">
            <v>0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S39"/>
  <sheetViews>
    <sheetView tabSelected="1" zoomScale="85" zoomScaleNormal="85" zoomScaleSheetLayoutView="100" zoomScalePageLayoutView="80" workbookViewId="0">
      <selection activeCell="L36" sqref="L36"/>
    </sheetView>
  </sheetViews>
  <sheetFormatPr baseColWidth="10" defaultColWidth="10.85546875" defaultRowHeight="15.75"/>
  <cols>
    <col min="1" max="1" width="1.85546875" style="7" customWidth="1"/>
    <col min="2" max="6" width="10.5703125" style="7" customWidth="1"/>
    <col min="7" max="7" width="13.5703125" style="7" customWidth="1"/>
    <col min="8" max="17" width="10.5703125" style="7" customWidth="1"/>
    <col min="18" max="18" width="5.85546875" style="7" customWidth="1"/>
    <col min="19" max="16384" width="10.85546875" style="7"/>
  </cols>
  <sheetData>
    <row r="1" spans="1:19">
      <c r="A1" s="11" t="s">
        <v>8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3"/>
      <c r="S1" s="9"/>
    </row>
    <row r="2" spans="1:19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15"/>
      <c r="S2" s="9"/>
    </row>
    <row r="3" spans="1:19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15"/>
      <c r="S3" s="9"/>
    </row>
    <row r="4" spans="1:19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16"/>
      <c r="S4" s="9"/>
    </row>
    <row r="5" spans="1:19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16"/>
      <c r="S5" s="9"/>
    </row>
    <row r="6" spans="1:19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16"/>
      <c r="S6" s="9"/>
    </row>
    <row r="7" spans="1:19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16"/>
      <c r="S7" s="9"/>
    </row>
    <row r="8" spans="1:19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16"/>
      <c r="S8" s="9"/>
    </row>
    <row r="9" spans="1:19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16"/>
      <c r="S9" s="9"/>
    </row>
    <row r="10" spans="1:19" ht="18.75">
      <c r="A10" s="14"/>
      <c r="B10" s="111" t="s">
        <v>0</v>
      </c>
      <c r="C10" s="111"/>
      <c r="D10" s="111"/>
      <c r="E10" s="111"/>
      <c r="F10" s="111"/>
      <c r="G10" s="111"/>
      <c r="H10" s="111"/>
      <c r="I10" s="111"/>
      <c r="J10" s="111"/>
      <c r="K10" s="111"/>
      <c r="L10" s="111"/>
      <c r="M10" s="111"/>
      <c r="N10" s="111"/>
      <c r="O10" s="111"/>
      <c r="P10" s="111"/>
      <c r="Q10" s="111"/>
      <c r="R10" s="16"/>
      <c r="S10" s="9"/>
    </row>
    <row r="11" spans="1:19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8"/>
      <c r="R11" s="16"/>
      <c r="S11" s="9"/>
    </row>
    <row r="12" spans="1:19" ht="17.25">
      <c r="A12" s="14"/>
      <c r="B12" s="28" t="s">
        <v>9</v>
      </c>
      <c r="C12" s="3"/>
      <c r="D12" s="3"/>
      <c r="E12" s="106" t="s">
        <v>30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8"/>
      <c r="R12" s="16"/>
      <c r="S12" s="9"/>
    </row>
    <row r="13" spans="1:19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8"/>
      <c r="R13" s="16"/>
      <c r="S13" s="9"/>
    </row>
    <row r="14" spans="1:19" ht="16.5" customHeight="1">
      <c r="A14" s="14"/>
      <c r="B14" s="28" t="s">
        <v>7</v>
      </c>
      <c r="C14" s="109"/>
      <c r="G14" s="28" t="s">
        <v>54</v>
      </c>
      <c r="H14" s="34"/>
      <c r="K14" s="106"/>
      <c r="L14" s="32" t="s">
        <v>6</v>
      </c>
      <c r="M14" s="29"/>
      <c r="N14" s="29"/>
      <c r="P14" s="29"/>
      <c r="Q14" s="29"/>
      <c r="R14" s="16"/>
      <c r="S14" s="9"/>
    </row>
    <row r="15" spans="1:19" ht="16.5" customHeight="1">
      <c r="A15" s="14"/>
      <c r="C15" s="106" t="s">
        <v>87</v>
      </c>
      <c r="H15" s="106" t="s">
        <v>56</v>
      </c>
      <c r="K15" s="106"/>
      <c r="L15" s="32"/>
      <c r="M15" s="106" t="s">
        <v>56</v>
      </c>
      <c r="N15" s="29"/>
      <c r="O15" s="32"/>
      <c r="P15" s="32"/>
      <c r="Q15" s="32"/>
      <c r="R15" s="16"/>
      <c r="S15" s="9"/>
    </row>
    <row r="16" spans="1:19" ht="16.5" customHeight="1">
      <c r="A16" s="14"/>
      <c r="C16" s="106" t="s">
        <v>84</v>
      </c>
      <c r="H16" s="106" t="s">
        <v>72</v>
      </c>
      <c r="K16" s="106"/>
      <c r="M16" s="106" t="s">
        <v>88</v>
      </c>
      <c r="N16" s="29"/>
      <c r="O16" s="32"/>
      <c r="Q16" s="32"/>
      <c r="R16" s="16"/>
      <c r="S16" s="9"/>
    </row>
    <row r="17" spans="1:19" ht="16.5" customHeight="1">
      <c r="A17" s="14"/>
      <c r="C17" s="106" t="s">
        <v>85</v>
      </c>
      <c r="H17" s="106" t="s">
        <v>71</v>
      </c>
      <c r="K17" s="106"/>
      <c r="M17" s="106" t="s">
        <v>37</v>
      </c>
      <c r="N17" s="29"/>
      <c r="P17" s="29"/>
      <c r="Q17" s="29"/>
      <c r="R17" s="16"/>
      <c r="S17" s="9"/>
    </row>
    <row r="18" spans="1:19" ht="16.5" customHeight="1">
      <c r="A18" s="14"/>
      <c r="C18" s="106" t="s">
        <v>83</v>
      </c>
      <c r="H18" s="106" t="s">
        <v>55</v>
      </c>
      <c r="K18" s="106"/>
      <c r="M18" s="106" t="s">
        <v>55</v>
      </c>
      <c r="N18" s="29"/>
      <c r="P18" s="29"/>
      <c r="Q18" s="29"/>
      <c r="R18" s="16"/>
      <c r="S18" s="9"/>
    </row>
    <row r="19" spans="1:19" ht="16.5" customHeight="1">
      <c r="A19" s="14"/>
      <c r="C19" s="106" t="s">
        <v>89</v>
      </c>
      <c r="H19" s="106" t="s">
        <v>51</v>
      </c>
      <c r="K19" s="106"/>
      <c r="M19" s="106" t="s">
        <v>51</v>
      </c>
      <c r="N19" s="29"/>
      <c r="P19" s="29"/>
      <c r="Q19" s="29"/>
      <c r="R19" s="16"/>
      <c r="S19" s="9"/>
    </row>
    <row r="20" spans="1:19" ht="16.5" customHeight="1">
      <c r="A20" s="14"/>
      <c r="C20" s="106" t="s">
        <v>86</v>
      </c>
      <c r="G20" s="32"/>
      <c r="H20" s="106" t="s">
        <v>52</v>
      </c>
      <c r="I20" s="33"/>
      <c r="K20" s="106"/>
      <c r="M20" s="106" t="s">
        <v>52</v>
      </c>
      <c r="N20" s="29"/>
      <c r="P20" s="29"/>
      <c r="Q20" s="29"/>
      <c r="R20" s="16"/>
      <c r="S20" s="9"/>
    </row>
    <row r="21" spans="1:19" ht="16.5" customHeight="1">
      <c r="A21" s="14"/>
      <c r="C21" s="106" t="s">
        <v>50</v>
      </c>
      <c r="G21" s="32"/>
      <c r="H21" s="106" t="s">
        <v>53</v>
      </c>
      <c r="I21" s="33"/>
      <c r="K21" s="106"/>
      <c r="M21" s="106" t="s">
        <v>53</v>
      </c>
      <c r="N21" s="29"/>
      <c r="P21" s="29"/>
      <c r="Q21" s="29"/>
      <c r="R21" s="16"/>
      <c r="S21" s="9"/>
    </row>
    <row r="22" spans="1:19" ht="16.5" customHeight="1">
      <c r="A22" s="14"/>
      <c r="C22" s="106" t="s">
        <v>51</v>
      </c>
      <c r="G22" s="106"/>
      <c r="H22" s="106" t="s">
        <v>90</v>
      </c>
      <c r="I22" s="33"/>
      <c r="K22" s="106"/>
      <c r="L22" s="36"/>
      <c r="N22" s="29"/>
      <c r="P22" s="29"/>
      <c r="Q22" s="29"/>
      <c r="R22" s="16"/>
      <c r="S22" s="9"/>
    </row>
    <row r="23" spans="1:19" ht="16.5" customHeight="1">
      <c r="A23" s="14"/>
      <c r="C23" s="106" t="s">
        <v>52</v>
      </c>
      <c r="H23" s="106" t="s">
        <v>91</v>
      </c>
      <c r="I23" s="33"/>
      <c r="K23" s="106"/>
      <c r="L23" s="36"/>
      <c r="M23" s="29"/>
      <c r="N23" s="29"/>
      <c r="P23" s="29"/>
      <c r="Q23" s="29"/>
      <c r="R23" s="16"/>
      <c r="S23" s="9"/>
    </row>
    <row r="24" spans="1:19" ht="16.5" customHeight="1">
      <c r="A24" s="14"/>
      <c r="C24" s="106" t="s">
        <v>53</v>
      </c>
      <c r="H24" s="106" t="s">
        <v>92</v>
      </c>
      <c r="I24" s="36"/>
      <c r="K24" s="106"/>
      <c r="L24" s="35"/>
      <c r="M24" s="36"/>
      <c r="N24" s="29"/>
      <c r="P24" s="29"/>
      <c r="Q24" s="29"/>
      <c r="R24" s="16"/>
      <c r="S24" s="9"/>
    </row>
    <row r="25" spans="1:19" ht="16.5" customHeight="1">
      <c r="A25" s="14"/>
      <c r="C25" s="106" t="s">
        <v>68</v>
      </c>
      <c r="H25" s="106" t="s">
        <v>93</v>
      </c>
      <c r="I25" s="36"/>
      <c r="K25" s="106"/>
      <c r="L25" s="35"/>
      <c r="M25" s="36"/>
      <c r="N25" s="29"/>
      <c r="P25" s="29"/>
      <c r="Q25" s="29"/>
      <c r="R25" s="16"/>
      <c r="S25" s="9"/>
    </row>
    <row r="26" spans="1:19" ht="16.5" customHeight="1">
      <c r="A26" s="14"/>
      <c r="C26" s="106" t="s">
        <v>94</v>
      </c>
      <c r="H26" s="106" t="s">
        <v>95</v>
      </c>
      <c r="I26" s="36"/>
      <c r="K26" s="106"/>
      <c r="L26" s="35"/>
      <c r="M26" s="36"/>
      <c r="N26" s="29"/>
      <c r="P26" s="29"/>
      <c r="Q26" s="29"/>
      <c r="R26" s="16"/>
      <c r="S26" s="9"/>
    </row>
    <row r="27" spans="1:19" ht="16.5" customHeight="1">
      <c r="A27" s="14"/>
      <c r="C27" s="106" t="s">
        <v>97</v>
      </c>
      <c r="D27" s="32"/>
      <c r="E27" s="30"/>
      <c r="H27" s="9"/>
      <c r="I27" s="9"/>
      <c r="K27" s="106"/>
      <c r="L27" s="1"/>
      <c r="M27" s="9"/>
      <c r="N27" s="26"/>
      <c r="P27" s="26"/>
      <c r="Q27" s="26"/>
      <c r="R27" s="16"/>
      <c r="S27" s="9"/>
    </row>
    <row r="28" spans="1:19" ht="16.5" customHeight="1">
      <c r="A28" s="14"/>
      <c r="I28" s="9"/>
      <c r="K28" s="106"/>
      <c r="L28" s="1"/>
      <c r="M28" s="9"/>
      <c r="N28" s="26"/>
      <c r="P28" s="26"/>
      <c r="Q28" s="26"/>
      <c r="R28" s="16"/>
      <c r="S28" s="9"/>
    </row>
    <row r="29" spans="1:19" ht="16.5" customHeight="1">
      <c r="A29" s="14"/>
      <c r="E29" s="33"/>
      <c r="I29" s="9"/>
      <c r="K29" s="106"/>
      <c r="L29" s="1"/>
      <c r="M29" s="9"/>
      <c r="N29" s="26"/>
      <c r="P29" s="26"/>
      <c r="Q29" s="26"/>
      <c r="R29" s="16"/>
      <c r="S29" s="9"/>
    </row>
    <row r="30" spans="1:19" ht="16.5" customHeight="1">
      <c r="A30" s="14"/>
      <c r="D30" s="36"/>
      <c r="E30" s="33"/>
      <c r="I30" s="9"/>
      <c r="K30" s="106"/>
      <c r="L30" s="1"/>
      <c r="M30" s="9"/>
      <c r="N30" s="26"/>
      <c r="P30" s="26"/>
      <c r="Q30" s="26"/>
      <c r="R30" s="16"/>
      <c r="S30" s="9"/>
    </row>
    <row r="31" spans="1:19" ht="16.5" customHeight="1">
      <c r="A31" s="14"/>
      <c r="D31" s="36"/>
      <c r="E31" s="33"/>
      <c r="H31" s="9"/>
      <c r="I31" s="9"/>
      <c r="K31" s="106"/>
      <c r="L31" s="1"/>
      <c r="M31" s="9"/>
      <c r="N31" s="26"/>
      <c r="P31" s="26"/>
      <c r="Q31" s="26"/>
      <c r="R31" s="16"/>
      <c r="S31" s="9"/>
    </row>
    <row r="32" spans="1:19" ht="16.5" customHeight="1">
      <c r="A32" s="14"/>
      <c r="D32" s="36"/>
      <c r="E32" s="33"/>
      <c r="H32" s="9"/>
      <c r="I32" s="9"/>
      <c r="K32" s="106"/>
      <c r="L32" s="1"/>
      <c r="M32" s="9"/>
      <c r="N32" s="26"/>
      <c r="P32" s="26"/>
      <c r="Q32" s="26"/>
      <c r="R32" s="16"/>
      <c r="S32" s="9"/>
    </row>
    <row r="33" spans="1:19" ht="16.5" customHeight="1">
      <c r="A33" s="14"/>
      <c r="D33" s="36"/>
      <c r="E33" s="33"/>
      <c r="H33" s="9"/>
      <c r="I33" s="9"/>
      <c r="K33" s="106"/>
      <c r="L33" s="1"/>
      <c r="M33" s="9"/>
      <c r="N33" s="26"/>
      <c r="P33" s="26"/>
      <c r="Q33" s="26"/>
      <c r="R33" s="16"/>
      <c r="S33" s="9"/>
    </row>
    <row r="34" spans="1:19" ht="16.5" customHeight="1">
      <c r="A34" s="14"/>
      <c r="D34" s="36"/>
      <c r="E34" s="33"/>
      <c r="H34" s="9"/>
      <c r="I34" s="9"/>
      <c r="K34" s="106"/>
      <c r="L34" s="1"/>
      <c r="M34" s="9"/>
      <c r="N34" s="26"/>
      <c r="P34" s="26"/>
      <c r="Q34" s="26"/>
      <c r="R34" s="16"/>
      <c r="S34" s="9"/>
    </row>
    <row r="35" spans="1:19" ht="16.5" customHeight="1">
      <c r="A35" s="14"/>
      <c r="D35" s="32"/>
      <c r="E35" s="97"/>
      <c r="H35" s="9"/>
      <c r="I35" s="9"/>
      <c r="K35" s="106"/>
      <c r="L35" s="26"/>
      <c r="M35" s="9"/>
      <c r="N35" s="26"/>
      <c r="P35" s="26"/>
      <c r="Q35" s="26"/>
      <c r="R35" s="16"/>
      <c r="S35" s="9"/>
    </row>
    <row r="36" spans="1:19" ht="16.5" customHeight="1">
      <c r="A36" s="14"/>
      <c r="D36" s="32"/>
      <c r="E36" s="97"/>
      <c r="H36" s="9"/>
      <c r="I36" s="9"/>
      <c r="K36" s="106"/>
      <c r="L36" s="36"/>
      <c r="M36" s="9"/>
      <c r="N36" s="26"/>
      <c r="P36" s="26"/>
      <c r="Q36" s="26"/>
      <c r="R36" s="16"/>
      <c r="S36" s="9"/>
    </row>
    <row r="37" spans="1:19" ht="16.5" customHeight="1">
      <c r="A37" s="14"/>
      <c r="B37" s="32"/>
      <c r="D37" s="32"/>
      <c r="E37" s="30"/>
      <c r="H37" s="9"/>
      <c r="I37" s="9"/>
      <c r="K37" s="106"/>
      <c r="L37" s="1"/>
      <c r="M37" s="9"/>
      <c r="N37" s="26"/>
      <c r="P37" s="26"/>
      <c r="Q37" s="26"/>
      <c r="R37" s="16"/>
      <c r="S37" s="9"/>
    </row>
    <row r="38" spans="1:19" ht="17.25">
      <c r="A38" s="14"/>
      <c r="B38" s="32"/>
      <c r="C38" s="32"/>
      <c r="D38" s="32"/>
      <c r="E38" s="98"/>
      <c r="H38" s="9"/>
      <c r="I38" s="4"/>
      <c r="K38" s="106"/>
      <c r="L38" s="27"/>
      <c r="M38" s="27"/>
      <c r="N38" s="27"/>
      <c r="P38" s="27"/>
      <c r="Q38" s="27"/>
      <c r="R38" s="16"/>
      <c r="S38" s="9"/>
    </row>
    <row r="39" spans="1:19">
      <c r="A39" s="17"/>
      <c r="B39" s="18" t="s">
        <v>25</v>
      </c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  <c r="R39" s="19"/>
    </row>
  </sheetData>
  <mergeCells count="1">
    <mergeCell ref="B10:Q10"/>
  </mergeCells>
  <phoneticPr fontId="10" type="noConversion"/>
  <hyperlinks>
    <hyperlink ref="C15" location="'Resumen importaciones totales'!A1" display="Resumen importaciones"/>
    <hyperlink ref="E12" location="'Comparativa balanza países'!A1" display="Comparativa balanza cuenta corriente países seleccionados"/>
    <hyperlink ref="C16" location="'País de origen con Reducción'!A1" display="País de destino con reducción"/>
    <hyperlink ref="C17" location="'Por país de origen con Aumento'!A1" display="País de origen con aumento"/>
    <hyperlink ref="C18" location="'Resumen impo pais origen'!A1" display="Resumen país de destino"/>
    <hyperlink ref="C19" location="'Resumen impo pais origen'!A1" display="País de destino bienes primarios"/>
    <hyperlink ref="C20" location="'Impo pais origen manufacturas'!A1" display="País de origen manufacturas"/>
    <hyperlink ref="C21" location="'Impo pais origen rec naturales'!A1" display="Manufacturas basadas rec naturales"/>
    <hyperlink ref="C22" location="'Impo pais origen baja tek'!A1" display="Manufacturas de baja tecnología"/>
    <hyperlink ref="C23" location="'Impo pais origen media tek'!A1" display="Manufacturas de tecnología media"/>
    <hyperlink ref="C24" location="'Expo pais destino alta tek'!A1" display="Manufacturas de alta tecnología"/>
    <hyperlink ref="H15" location="'Histórico importaciones'!A1" display="Importaciones totales"/>
    <hyperlink ref="H16" location="'Histórico impo primarios'!A1" display="Importaciones de bienes primarios"/>
    <hyperlink ref="H17" location="'Histórico impo manufacturas'!A1" display="Importaciones de manufacturas"/>
    <hyperlink ref="H18" location="'Histórico impo rec naturales'!A1" display="Manufacturas basadas en rec naturales"/>
    <hyperlink ref="H19" location="'Histórico impo baja tek'!A1" display="Manufacturas de baja tecnología"/>
    <hyperlink ref="H20" location="'Histórico impo media tek'!A1" display="Manufacturas de tecnología media"/>
    <hyperlink ref="H21" location="'Histórico impo alta tek'!A1" display="Manufacturas de alta tecnología"/>
    <hyperlink ref="H22" location="'Histórico impo EEUU'!A1" display="Importaciones a EEUU"/>
    <hyperlink ref="H23" location="'Histórico impo China'!A1" display="Importaciones desde China"/>
    <hyperlink ref="H24" location="'Histórico impo México'!A1" display="Importaciones de México"/>
    <hyperlink ref="H25:H26" location="'Histórico expo Venezuela total'!A1" display="Exportaciones a Venezuela"/>
    <hyperlink ref="H25" location="'Histórico impo Brasil'!A1" display="Importaciones de Brasil"/>
    <hyperlink ref="H26" location="'Histórico impo Alemania'!A1" display="Importaciones de Alemania"/>
    <hyperlink ref="M15" location="'% importaciones totales'!A1" display="Importaciones totales"/>
    <hyperlink ref="M16" location="'% impo bienes primarios'!A1" display="Importaciones bienes primarios"/>
    <hyperlink ref="M17" location="'% impo manufacturas'!A1" display="Manufacturas"/>
    <hyperlink ref="C25" location="'Resumen actividades economicas'!A1" display="Importaciones por actividad económica"/>
    <hyperlink ref="C27" location="'Resumen cuode'!A1" display="Importaciones por uso o destino económico"/>
    <hyperlink ref="M18" location="'% impo rec naturales'!A1" display="Manufacturas basadas en rec naturales"/>
    <hyperlink ref="M19" location="'% impo baja tek'!A1" display="Manufacturas de baja tecnología"/>
    <hyperlink ref="M20" location="'% impo media tek'!A1" display="Manufacturas de tecnología media"/>
    <hyperlink ref="M21" location="'% impo alta tek'!A1" display="Manufacturas de alta tecnología"/>
    <hyperlink ref="C26" location="'Resumen subpartidas'!A1" display="Importaciones por subpartida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5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5"/>
  <sheetViews>
    <sheetView zoomScaleNormal="100" zoomScaleSheetLayoutView="100" workbookViewId="0"/>
  </sheetViews>
  <sheetFormatPr baseColWidth="10" defaultColWidth="10.85546875" defaultRowHeight="15.7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>
      <c r="A1" s="11"/>
      <c r="B1" s="12"/>
      <c r="C1" s="12"/>
      <c r="D1" s="12"/>
      <c r="E1" s="12"/>
      <c r="F1" s="12"/>
      <c r="G1" s="38"/>
      <c r="H1" s="12"/>
      <c r="I1" s="12"/>
      <c r="J1" s="13"/>
      <c r="K1" s="24"/>
    </row>
    <row r="2" spans="1:13">
      <c r="A2" s="14"/>
      <c r="B2" s="8"/>
      <c r="C2" s="8"/>
      <c r="D2" s="8"/>
      <c r="E2" s="8"/>
      <c r="F2" s="8"/>
      <c r="G2" s="9"/>
      <c r="H2" s="8"/>
      <c r="I2" s="8"/>
      <c r="J2" s="15"/>
      <c r="K2" s="24"/>
    </row>
    <row r="3" spans="1:13">
      <c r="A3" s="14"/>
      <c r="B3" s="8"/>
      <c r="C3" s="8"/>
      <c r="D3" s="8"/>
      <c r="E3" s="8"/>
      <c r="F3" s="8"/>
      <c r="G3" s="9"/>
      <c r="H3" s="8"/>
      <c r="I3" s="8"/>
      <c r="J3" s="15"/>
      <c r="K3" s="24"/>
    </row>
    <row r="4" spans="1:13">
      <c r="A4" s="14"/>
      <c r="B4" s="8"/>
      <c r="C4" s="8"/>
      <c r="D4" s="8"/>
      <c r="E4" s="8"/>
      <c r="F4" s="8"/>
      <c r="G4" s="9"/>
      <c r="H4" s="8"/>
      <c r="I4" s="8"/>
      <c r="J4" s="16"/>
    </row>
    <row r="5" spans="1:13">
      <c r="A5" s="14"/>
      <c r="B5" s="8"/>
      <c r="C5" s="8"/>
      <c r="D5" s="8"/>
      <c r="E5" s="8"/>
      <c r="F5" s="8"/>
      <c r="G5" s="8"/>
      <c r="H5" s="8"/>
      <c r="I5" s="8"/>
      <c r="J5" s="16"/>
    </row>
    <row r="6" spans="1:13">
      <c r="A6" s="14"/>
      <c r="B6" s="8"/>
      <c r="C6" s="8"/>
      <c r="D6" s="8"/>
      <c r="E6" s="8"/>
      <c r="F6" s="8"/>
      <c r="G6" s="8"/>
      <c r="H6" s="8"/>
      <c r="I6" s="8"/>
      <c r="J6" s="16"/>
    </row>
    <row r="7" spans="1:13">
      <c r="A7" s="14"/>
      <c r="B7" s="8"/>
      <c r="C7" s="112"/>
      <c r="D7" s="112"/>
      <c r="E7" s="112"/>
      <c r="F7" s="112"/>
      <c r="G7" s="112"/>
      <c r="H7" s="112"/>
      <c r="I7" s="112"/>
      <c r="J7" s="16"/>
    </row>
    <row r="8" spans="1:13">
      <c r="A8" s="14"/>
      <c r="B8" s="112" t="s">
        <v>28</v>
      </c>
      <c r="C8" s="112"/>
      <c r="D8" s="112"/>
      <c r="E8" s="112"/>
      <c r="F8" s="112"/>
      <c r="G8" s="112"/>
      <c r="H8" s="112"/>
      <c r="I8" s="8"/>
      <c r="J8" s="16"/>
    </row>
    <row r="9" spans="1:13" ht="15.75" customHeight="1">
      <c r="A9" s="14"/>
      <c r="B9" s="112" t="s">
        <v>29</v>
      </c>
      <c r="C9" s="112"/>
      <c r="D9" s="112"/>
      <c r="E9" s="112"/>
      <c r="F9" s="112"/>
      <c r="G9" s="112"/>
      <c r="H9" s="112"/>
      <c r="I9" s="3"/>
      <c r="J9" s="16"/>
    </row>
    <row r="10" spans="1:13">
      <c r="A10" s="14"/>
      <c r="B10" s="9"/>
      <c r="C10" s="41"/>
      <c r="D10" s="41"/>
      <c r="E10" s="41"/>
      <c r="F10" s="41"/>
      <c r="G10" s="41"/>
      <c r="H10" s="41"/>
      <c r="I10" s="41"/>
      <c r="J10" s="16"/>
      <c r="M10" s="2"/>
    </row>
    <row r="11" spans="1:13" ht="12" customHeight="1">
      <c r="A11" s="14"/>
      <c r="B11" s="9"/>
      <c r="C11" s="41"/>
      <c r="D11" s="41"/>
      <c r="E11" s="41"/>
      <c r="F11" s="41"/>
      <c r="G11" s="41"/>
      <c r="H11" s="41"/>
      <c r="I11" s="41"/>
      <c r="J11" s="16"/>
    </row>
    <row r="12" spans="1:13">
      <c r="A12" s="14"/>
      <c r="B12" s="9"/>
      <c r="C12" s="6"/>
      <c r="D12" s="6"/>
      <c r="E12" s="6"/>
      <c r="F12" s="6"/>
      <c r="G12" s="6"/>
      <c r="H12" s="6"/>
      <c r="I12" s="88"/>
      <c r="J12" s="16"/>
    </row>
    <row r="13" spans="1:13">
      <c r="A13" s="14"/>
      <c r="B13" s="9"/>
      <c r="C13" s="6"/>
      <c r="D13" s="6"/>
      <c r="E13" s="6"/>
      <c r="F13" s="6"/>
      <c r="G13" s="6"/>
      <c r="H13" s="6"/>
      <c r="I13" s="88"/>
      <c r="J13" s="16"/>
      <c r="L13" s="20"/>
      <c r="M13" s="89"/>
    </row>
    <row r="14" spans="1:13">
      <c r="A14" s="14"/>
      <c r="B14" s="9"/>
      <c r="C14" s="6"/>
      <c r="D14" s="6"/>
      <c r="E14" s="6"/>
      <c r="F14" s="6"/>
      <c r="G14" s="6"/>
      <c r="H14" s="6"/>
      <c r="I14" s="88"/>
      <c r="J14" s="16"/>
      <c r="L14" s="20"/>
      <c r="M14" s="89"/>
    </row>
    <row r="15" spans="1:13">
      <c r="A15" s="14"/>
      <c r="B15" s="9"/>
      <c r="C15" s="6"/>
      <c r="D15" s="6"/>
      <c r="E15" s="6"/>
      <c r="F15" s="6"/>
      <c r="G15" s="6"/>
      <c r="H15" s="6"/>
      <c r="I15" s="88"/>
      <c r="J15" s="16"/>
    </row>
    <row r="16" spans="1:13">
      <c r="A16" s="14"/>
      <c r="B16" s="9"/>
      <c r="C16" s="6"/>
      <c r="D16" s="6"/>
      <c r="E16" s="6"/>
      <c r="F16" s="6"/>
      <c r="G16" s="6"/>
      <c r="H16" s="6"/>
      <c r="I16" s="88"/>
      <c r="J16" s="16"/>
    </row>
    <row r="17" spans="1:12">
      <c r="A17" s="14"/>
      <c r="B17" s="9"/>
      <c r="C17" s="6"/>
      <c r="D17" s="6"/>
      <c r="E17" s="6"/>
      <c r="F17" s="6"/>
      <c r="G17" s="6"/>
      <c r="H17" s="6"/>
      <c r="I17" s="88"/>
      <c r="J17" s="16"/>
    </row>
    <row r="18" spans="1:12">
      <c r="A18" s="14"/>
      <c r="B18" s="9"/>
      <c r="C18" s="6"/>
      <c r="D18" s="6"/>
      <c r="E18" s="6"/>
      <c r="F18" s="6"/>
      <c r="G18" s="6"/>
      <c r="H18" s="6"/>
      <c r="I18" s="88"/>
      <c r="J18" s="16"/>
    </row>
    <row r="19" spans="1:12">
      <c r="A19" s="14"/>
      <c r="B19" s="9"/>
      <c r="C19" s="6"/>
      <c r="D19" s="6"/>
      <c r="E19" s="6"/>
      <c r="F19" s="6"/>
      <c r="G19" s="6"/>
      <c r="H19" s="6"/>
      <c r="I19" s="88"/>
      <c r="J19" s="16"/>
    </row>
    <row r="20" spans="1:12">
      <c r="A20" s="14"/>
      <c r="B20" s="9"/>
      <c r="C20" s="6"/>
      <c r="D20" s="6"/>
      <c r="E20" s="6"/>
      <c r="F20" s="6"/>
      <c r="G20" s="6"/>
      <c r="H20" s="6"/>
      <c r="I20" s="88"/>
      <c r="J20" s="16"/>
    </row>
    <row r="21" spans="1:12">
      <c r="A21" s="14"/>
      <c r="B21" s="9"/>
      <c r="C21" s="6"/>
      <c r="D21" s="6"/>
      <c r="E21" s="6"/>
      <c r="F21" s="6"/>
      <c r="G21" s="6"/>
      <c r="H21" s="6"/>
      <c r="I21" s="88"/>
      <c r="J21" s="16"/>
    </row>
    <row r="22" spans="1:12">
      <c r="A22" s="14"/>
      <c r="B22" s="9"/>
      <c r="C22" s="6"/>
      <c r="D22" s="6"/>
      <c r="E22" s="6"/>
      <c r="F22" s="6"/>
      <c r="G22" s="6"/>
      <c r="H22" s="6"/>
      <c r="I22" s="88"/>
      <c r="J22" s="16"/>
    </row>
    <row r="23" spans="1:12">
      <c r="A23" s="14"/>
      <c r="B23" s="9"/>
      <c r="C23" s="6"/>
      <c r="D23" s="6"/>
      <c r="E23" s="6"/>
      <c r="F23" s="6"/>
      <c r="G23" s="6"/>
      <c r="H23" s="6"/>
      <c r="I23" s="88"/>
      <c r="J23" s="16"/>
    </row>
    <row r="24" spans="1:12">
      <c r="A24" s="14"/>
      <c r="B24" s="9"/>
      <c r="C24" s="6"/>
      <c r="D24" s="6"/>
      <c r="E24" s="6"/>
      <c r="F24" s="6"/>
      <c r="G24" s="6"/>
      <c r="H24" s="6"/>
      <c r="I24" s="88"/>
      <c r="J24" s="16"/>
    </row>
    <row r="25" spans="1:12">
      <c r="A25" s="14"/>
      <c r="B25" s="9"/>
      <c r="C25" s="6"/>
      <c r="D25" s="6"/>
      <c r="E25" s="6"/>
      <c r="F25" s="6"/>
      <c r="G25" s="6"/>
      <c r="H25" s="6"/>
      <c r="I25" s="88"/>
      <c r="J25" s="16"/>
    </row>
    <row r="26" spans="1:12" ht="14.25" customHeight="1">
      <c r="A26" s="14"/>
      <c r="B26" s="10"/>
      <c r="C26" s="4"/>
      <c r="D26" s="4"/>
      <c r="E26" s="4"/>
      <c r="F26" s="4"/>
      <c r="G26" s="90"/>
      <c r="H26" s="90"/>
      <c r="I26" s="90"/>
      <c r="J26" s="16"/>
    </row>
    <row r="27" spans="1:12">
      <c r="A27" s="14"/>
      <c r="B27" s="9"/>
      <c r="C27" s="4"/>
      <c r="D27" s="4"/>
      <c r="E27" s="4"/>
      <c r="F27" s="5"/>
      <c r="G27" s="6"/>
      <c r="H27" s="6"/>
      <c r="I27" s="6"/>
      <c r="J27" s="16"/>
      <c r="L27" s="7" t="str">
        <f>IF(F27="","",1)</f>
        <v/>
      </c>
    </row>
    <row r="28" spans="1:12">
      <c r="A28" s="14"/>
      <c r="B28" s="9"/>
      <c r="C28" s="4"/>
      <c r="D28" s="4"/>
      <c r="E28" s="4"/>
      <c r="F28" s="5"/>
      <c r="G28" s="6"/>
      <c r="H28" s="6"/>
      <c r="I28" s="6"/>
      <c r="J28" s="16"/>
      <c r="L28" s="7" t="str">
        <f>IF(F28="","",1)</f>
        <v/>
      </c>
    </row>
    <row r="29" spans="1:12">
      <c r="A29" s="14"/>
      <c r="B29" s="9"/>
      <c r="C29" s="4"/>
      <c r="D29" s="4"/>
      <c r="E29" s="4"/>
      <c r="F29" s="5"/>
      <c r="G29" s="6"/>
      <c r="H29" s="6"/>
      <c r="I29" s="6"/>
      <c r="J29" s="16"/>
      <c r="L29" s="7" t="str">
        <f>IF(F29="","",1)</f>
        <v/>
      </c>
    </row>
    <row r="30" spans="1:12">
      <c r="A30" s="14"/>
      <c r="B30" s="9"/>
      <c r="C30" s="4"/>
      <c r="D30" s="4"/>
      <c r="E30" s="4"/>
      <c r="F30" s="5"/>
      <c r="G30" s="6"/>
      <c r="H30" s="6"/>
      <c r="I30" s="6"/>
      <c r="J30" s="16"/>
      <c r="L30" s="7" t="str">
        <f>IF(F30="","",1)</f>
        <v/>
      </c>
    </row>
    <row r="31" spans="1:12">
      <c r="A31" s="14"/>
      <c r="B31" s="91" t="s">
        <v>135</v>
      </c>
      <c r="C31" s="4"/>
      <c r="D31" s="4"/>
      <c r="E31" s="4"/>
      <c r="F31" s="5"/>
      <c r="G31" s="6"/>
      <c r="H31" s="6"/>
      <c r="I31" s="6"/>
      <c r="J31" s="16"/>
    </row>
    <row r="32" spans="1:12">
      <c r="A32" s="14"/>
      <c r="B32" s="91" t="s">
        <v>136</v>
      </c>
      <c r="C32" s="4"/>
      <c r="D32" s="4"/>
      <c r="E32" s="4"/>
      <c r="F32" s="5"/>
      <c r="G32" s="6"/>
      <c r="H32" s="6"/>
      <c r="I32" s="6"/>
      <c r="J32" s="16"/>
    </row>
    <row r="33" spans="1:12">
      <c r="A33" s="14"/>
      <c r="B33" s="91" t="s">
        <v>137</v>
      </c>
      <c r="C33" s="4"/>
      <c r="D33" s="4"/>
      <c r="E33" s="4"/>
      <c r="F33" s="5"/>
      <c r="G33" s="6"/>
      <c r="H33" s="6"/>
      <c r="I33" s="6"/>
      <c r="J33" s="16"/>
    </row>
    <row r="34" spans="1:12">
      <c r="A34" s="14"/>
      <c r="B34" s="91" t="s">
        <v>138</v>
      </c>
      <c r="C34" s="4"/>
      <c r="D34" s="4"/>
      <c r="E34" s="4"/>
      <c r="F34" s="5"/>
      <c r="G34" s="6"/>
      <c r="H34" s="6"/>
      <c r="I34" s="6"/>
      <c r="J34" s="16"/>
    </row>
    <row r="35" spans="1:12">
      <c r="A35" s="17"/>
      <c r="B35" s="39" t="s">
        <v>139</v>
      </c>
      <c r="C35" s="92"/>
      <c r="D35" s="92"/>
      <c r="E35" s="92"/>
      <c r="F35" s="92"/>
      <c r="G35" s="92"/>
      <c r="H35" s="93"/>
      <c r="I35" s="93"/>
      <c r="J35" s="94"/>
      <c r="K35" s="95"/>
      <c r="L35" s="95"/>
    </row>
    <row r="36" spans="1:12">
      <c r="B36" s="20"/>
      <c r="C36" s="20"/>
      <c r="D36" s="20"/>
      <c r="E36" s="20"/>
      <c r="F36" s="96"/>
      <c r="G36" s="96"/>
      <c r="H36" s="95"/>
      <c r="I36" s="95"/>
      <c r="J36" s="95"/>
      <c r="K36" s="95"/>
      <c r="L36" s="95"/>
    </row>
    <row r="37" spans="1:12">
      <c r="B37" s="20"/>
      <c r="C37" s="20"/>
      <c r="D37" s="20"/>
      <c r="E37" s="20"/>
      <c r="F37" s="96"/>
      <c r="G37" s="96"/>
      <c r="H37" s="95"/>
      <c r="I37" s="95"/>
      <c r="J37" s="95"/>
      <c r="K37" s="95"/>
      <c r="L37" s="95"/>
    </row>
    <row r="38" spans="1:12">
      <c r="B38" s="96"/>
      <c r="C38" s="96"/>
      <c r="D38" s="96"/>
      <c r="E38" s="96"/>
      <c r="F38" s="96"/>
      <c r="G38" s="96"/>
      <c r="H38" s="95"/>
      <c r="I38" s="95"/>
      <c r="J38" s="95"/>
      <c r="K38" s="95"/>
      <c r="L38" s="95"/>
    </row>
    <row r="39" spans="1:12">
      <c r="B39" s="96"/>
      <c r="C39" s="96"/>
      <c r="D39" s="96"/>
      <c r="E39" s="96"/>
      <c r="F39" s="96"/>
      <c r="G39" s="96"/>
      <c r="H39" s="95"/>
      <c r="I39" s="95"/>
      <c r="J39" s="95"/>
      <c r="K39" s="95"/>
      <c r="L39" s="95"/>
    </row>
    <row r="40" spans="1:12">
      <c r="B40" s="96"/>
      <c r="C40" s="96"/>
      <c r="D40" s="96"/>
      <c r="E40" s="96"/>
      <c r="F40" s="96"/>
      <c r="G40" s="96"/>
      <c r="H40" s="95"/>
      <c r="I40" s="95"/>
      <c r="J40" s="95"/>
      <c r="K40" s="95"/>
      <c r="L40" s="95"/>
    </row>
    <row r="41" spans="1:12">
      <c r="B41" s="95"/>
      <c r="C41" s="95"/>
      <c r="D41" s="95"/>
      <c r="E41" s="95"/>
      <c r="F41" s="95"/>
      <c r="G41" s="95"/>
      <c r="H41" s="95"/>
      <c r="I41" s="95"/>
      <c r="J41" s="95"/>
      <c r="K41" s="95"/>
      <c r="L41" s="95"/>
    </row>
    <row r="42" spans="1:12">
      <c r="B42" s="95"/>
      <c r="C42" s="95"/>
      <c r="D42" s="95"/>
      <c r="E42" s="95"/>
      <c r="F42" s="95"/>
      <c r="G42" s="95"/>
      <c r="H42" s="95"/>
      <c r="I42" s="95"/>
      <c r="J42" s="95"/>
      <c r="K42" s="95"/>
      <c r="L42" s="95"/>
    </row>
    <row r="43" spans="1:12">
      <c r="B43" s="95"/>
      <c r="C43" s="95"/>
      <c r="D43" s="95"/>
      <c r="E43" s="95"/>
      <c r="F43" s="95"/>
      <c r="G43" s="95"/>
      <c r="H43" s="95"/>
      <c r="I43" s="95"/>
      <c r="J43" s="95"/>
      <c r="K43" s="95"/>
      <c r="L43" s="95"/>
    </row>
    <row r="44" spans="1:12">
      <c r="B44" s="95"/>
      <c r="C44" s="95"/>
      <c r="D44" s="95"/>
      <c r="E44" s="95"/>
      <c r="F44" s="95"/>
      <c r="G44" s="95"/>
      <c r="H44" s="95"/>
      <c r="I44" s="95"/>
      <c r="J44" s="95"/>
      <c r="K44" s="95"/>
      <c r="L44" s="95"/>
    </row>
    <row r="45" spans="1:12">
      <c r="B45" s="95"/>
      <c r="C45" s="95"/>
      <c r="D45" s="95"/>
      <c r="E45" s="95"/>
      <c r="F45" s="95"/>
      <c r="G45" s="95"/>
      <c r="H45" s="95"/>
      <c r="I45" s="95"/>
      <c r="J45" s="95"/>
      <c r="K45" s="95"/>
      <c r="L45" s="95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N44"/>
  <sheetViews>
    <sheetView zoomScaleNormal="100" zoomScaleSheetLayoutView="100" workbookViewId="0">
      <pane ySplit="11" topLeftCell="A12" activePane="bottomLeft" state="frozen"/>
      <selection pane="bottomLeft" activeCell="D19" sqref="D19"/>
    </sheetView>
  </sheetViews>
  <sheetFormatPr baseColWidth="10" defaultColWidth="10.85546875" defaultRowHeight="15.75"/>
  <cols>
    <col min="1" max="1" width="1.85546875" style="7" customWidth="1"/>
    <col min="2" max="2" width="23.85546875" style="7" customWidth="1"/>
    <col min="3" max="4" width="13" style="7" customWidth="1"/>
    <col min="5" max="5" width="10.42578125" style="7" customWidth="1"/>
    <col min="6" max="6" width="10" style="7" customWidth="1"/>
    <col min="7" max="7" width="7.85546875" style="7" customWidth="1"/>
    <col min="8" max="8" width="8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56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57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>
      <c r="A10" s="14"/>
      <c r="B10" s="9"/>
      <c r="C10" s="114" t="s">
        <v>140</v>
      </c>
      <c r="D10" s="114"/>
      <c r="E10" s="113" t="s">
        <v>1</v>
      </c>
      <c r="F10" s="113" t="s">
        <v>4</v>
      </c>
      <c r="G10" s="114" t="s">
        <v>141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37">
        <v>2009</v>
      </c>
      <c r="D11" s="37">
        <v>2010</v>
      </c>
      <c r="E11" s="113"/>
      <c r="F11" s="113"/>
      <c r="G11" s="40">
        <v>2009</v>
      </c>
      <c r="H11" s="40">
        <v>2010</v>
      </c>
      <c r="I11" s="113"/>
      <c r="J11" s="113"/>
      <c r="K11" s="16"/>
      <c r="N11" s="2"/>
    </row>
    <row r="12" spans="1:14" ht="12" customHeight="1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>
      <c r="A13" s="14"/>
      <c r="B13" s="10" t="s">
        <v>61</v>
      </c>
      <c r="C13" s="23">
        <f>+[6]Total_impo!A2</f>
        <v>11531.093251530019</v>
      </c>
      <c r="D13" s="23">
        <f>+[6]Total_impo!B2</f>
        <v>14441.043764700104</v>
      </c>
      <c r="E13" s="25">
        <f>IF(OR(OR(D13=0,C13=0),D13=""),"",(D13/C13-1)*100)</f>
        <v>25.235686241492971</v>
      </c>
      <c r="F13" s="23">
        <f>(D13/D$13)*100</f>
        <v>100</v>
      </c>
      <c r="G13" s="23">
        <f>+[6]Total_impo!C2</f>
        <v>1265.9982494300002</v>
      </c>
      <c r="H13" s="23">
        <f>+[6]Total_impo!D2</f>
        <v>1619.3198718299989</v>
      </c>
      <c r="I13" s="25">
        <f>IF(OR(OR(H13=0,G13=0),H13=""),"",(H13/G13-1)*100)</f>
        <v>27.908539570183244</v>
      </c>
      <c r="J13" s="23">
        <f>(H13/H$13)*100</f>
        <v>100</v>
      </c>
      <c r="K13" s="16"/>
    </row>
    <row r="14" spans="1:14">
      <c r="A14" s="14" t="s">
        <v>48</v>
      </c>
      <c r="B14" s="101" t="str">
        <f>CONCATENATE(A14,[6]resumen_ciiu!A2)</f>
        <v xml:space="preserve">   Productos químicos</v>
      </c>
      <c r="C14" s="21">
        <f>+[6]resumen_ciiu!B2</f>
        <v>2030.8210448000248</v>
      </c>
      <c r="D14" s="23">
        <f>+[6]resumen_ciiu!C2</f>
        <v>2469.6149601400416</v>
      </c>
      <c r="E14" s="22">
        <f t="shared" ref="E14:E19" si="0">IF(OR(OR(D14=0,C14=0),D14=""),"",(D14/C14-1)*100)</f>
        <v>21.606724849713423</v>
      </c>
      <c r="F14" s="22">
        <f t="shared" ref="F14:F19" si="1">(D14/D$13)*100</f>
        <v>17.101360541381393</v>
      </c>
      <c r="G14" s="21">
        <f>+[6]resumen_ciiu!D2</f>
        <v>231.42654072000005</v>
      </c>
      <c r="H14" s="23">
        <f>+[6]resumen_ciiu!E2</f>
        <v>268.17003467999973</v>
      </c>
      <c r="I14" s="22">
        <f t="shared" ref="I14:I18" si="2">IF(OR(OR(H14=0,G14=0),H14=""),"",(H14/G14-1)*100)</f>
        <v>15.876957692789073</v>
      </c>
      <c r="J14" s="22">
        <f>(H14/H$13)*100</f>
        <v>16.560658542215002</v>
      </c>
      <c r="K14" s="16"/>
    </row>
    <row r="15" spans="1:14">
      <c r="A15" s="14" t="s">
        <v>48</v>
      </c>
      <c r="B15" s="101" t="str">
        <f>CONCATENATE(A15,[6]resumen_ciiu!A3)</f>
        <v xml:space="preserve">   Equipos de transporte</v>
      </c>
      <c r="C15" s="21">
        <f>+[6]resumen_ciiu!B3</f>
        <v>2275.4864176600072</v>
      </c>
      <c r="D15" s="23">
        <f>+[6]resumen_ciiu!C3</f>
        <v>1799.9244352099995</v>
      </c>
      <c r="E15" s="22">
        <f t="shared" si="0"/>
        <v>-20.899354914148471</v>
      </c>
      <c r="F15" s="22">
        <f t="shared" si="1"/>
        <v>12.4639497292416</v>
      </c>
      <c r="G15" s="21">
        <f>+[6]resumen_ciiu!D3</f>
        <v>193.01019690000032</v>
      </c>
      <c r="H15" s="23">
        <f>+[6]resumen_ciiu!E3</f>
        <v>33.611891000000007</v>
      </c>
      <c r="I15" s="22">
        <f t="shared" si="2"/>
        <v>-82.58543251089759</v>
      </c>
      <c r="J15" s="22">
        <f t="shared" ref="J15:J19" si="3">(H15/H$13)*100</f>
        <v>2.0756795235283008</v>
      </c>
      <c r="K15" s="16"/>
    </row>
    <row r="16" spans="1:14">
      <c r="A16" s="14" t="s">
        <v>48</v>
      </c>
      <c r="B16" s="101" t="str">
        <f>CONCATENATE(A16,[6]resumen_ciiu!A4)</f>
        <v xml:space="preserve">   Maquinaria y equipo</v>
      </c>
      <c r="C16" s="21">
        <f>+[6]resumen_ciiu!B4</f>
        <v>1244.3444360999833</v>
      </c>
      <c r="D16" s="23">
        <f>+[6]resumen_ciiu!C4</f>
        <v>1526.6045780500053</v>
      </c>
      <c r="E16" s="22">
        <f t="shared" si="0"/>
        <v>22.68344147820358</v>
      </c>
      <c r="F16" s="22">
        <f t="shared" si="1"/>
        <v>10.571289741408165</v>
      </c>
      <c r="G16" s="21">
        <f>+[6]resumen_ciiu!D4</f>
        <v>146.79889044000012</v>
      </c>
      <c r="H16" s="23">
        <f>+[6]resumen_ciiu!E4</f>
        <v>203.29312625000009</v>
      </c>
      <c r="I16" s="22">
        <f t="shared" si="2"/>
        <v>38.48410273447562</v>
      </c>
      <c r="J16" s="22">
        <f t="shared" si="3"/>
        <v>12.554229080154364</v>
      </c>
      <c r="K16" s="16"/>
    </row>
    <row r="17" spans="1:13">
      <c r="A17" s="14" t="s">
        <v>48</v>
      </c>
      <c r="B17" s="101" t="str">
        <f>CONCATENATE(A17,[6]resumen_ciiu!A5)</f>
        <v xml:space="preserve">   Equipo de radio</v>
      </c>
      <c r="C17" s="21">
        <f>+[6]resumen_ciiu!B5</f>
        <v>1035.7162671199956</v>
      </c>
      <c r="D17" s="23">
        <f>+[6]resumen_ciiu!C5</f>
        <v>1489.5228965800582</v>
      </c>
      <c r="E17" s="22">
        <f t="shared" si="0"/>
        <v>43.81572867653778</v>
      </c>
      <c r="F17" s="22">
        <f t="shared" si="1"/>
        <v>10.314509954059343</v>
      </c>
      <c r="G17" s="21">
        <f>+[6]resumen_ciiu!D5</f>
        <v>119.43301994000001</v>
      </c>
      <c r="H17" s="23">
        <f>+[6]resumen_ciiu!E5</f>
        <v>152.36232258000032</v>
      </c>
      <c r="I17" s="22">
        <f t="shared" si="2"/>
        <v>27.571355607137061</v>
      </c>
      <c r="J17" s="22">
        <f t="shared" si="3"/>
        <v>9.409031855319304</v>
      </c>
      <c r="K17" s="16"/>
    </row>
    <row r="18" spans="1:13" ht="15.75" customHeight="1">
      <c r="A18" s="14" t="s">
        <v>48</v>
      </c>
      <c r="B18" s="101" t="str">
        <f>CONCATENATE(A18,[6]resumen_ciiu!A6)</f>
        <v xml:space="preserve">   Vehículos automotores</v>
      </c>
      <c r="C18" s="21">
        <f>+[6]resumen_ciiu!B6</f>
        <v>739.50859708001087</v>
      </c>
      <c r="D18" s="23">
        <f>+[6]resumen_ciiu!C6</f>
        <v>1344.2023077799997</v>
      </c>
      <c r="E18" s="22">
        <f t="shared" si="0"/>
        <v>81.769666111746943</v>
      </c>
      <c r="F18" s="22">
        <f t="shared" si="1"/>
        <v>9.3082074237998462</v>
      </c>
      <c r="G18" s="21">
        <f>+[6]resumen_ciiu!D6</f>
        <v>96.576873439999659</v>
      </c>
      <c r="H18" s="23">
        <f>+[6]resumen_ciiu!E6</f>
        <v>241.10316449999931</v>
      </c>
      <c r="I18" s="22">
        <f t="shared" si="2"/>
        <v>149.64896451093907</v>
      </c>
      <c r="J18" s="22">
        <f t="shared" si="3"/>
        <v>14.889162338724827</v>
      </c>
      <c r="K18" s="16"/>
    </row>
    <row r="19" spans="1:13">
      <c r="A19" s="14" t="s">
        <v>48</v>
      </c>
      <c r="B19" s="9" t="s">
        <v>49</v>
      </c>
      <c r="C19" s="21">
        <f>+C13-SUM(C14:C18)</f>
        <v>4205.2164887699964</v>
      </c>
      <c r="D19" s="23">
        <f>+D13-SUM(D14:D18)</f>
        <v>5811.1745869400002</v>
      </c>
      <c r="E19" s="22">
        <f t="shared" si="0"/>
        <v>38.189665204126946</v>
      </c>
      <c r="F19" s="22">
        <f t="shared" si="1"/>
        <v>40.240682610109666</v>
      </c>
      <c r="G19" s="21">
        <f t="shared" ref="G19:H19" si="4">+G13-SUM(G14:G18)</f>
        <v>478.75272799000004</v>
      </c>
      <c r="H19" s="23">
        <f t="shared" si="4"/>
        <v>720.77933281999935</v>
      </c>
      <c r="I19" s="22">
        <f t="shared" ref="I19" si="5">IF(OR(OR(H19=0,G19=0),H19=""),"",(H19/G19-1)*100)</f>
        <v>50.553571954801413</v>
      </c>
      <c r="J19" s="22">
        <f t="shared" si="3"/>
        <v>44.511238660058197</v>
      </c>
      <c r="K19" s="16"/>
    </row>
    <row r="20" spans="1:13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tr">
        <f>IF(F20="","",1)</f>
        <v/>
      </c>
    </row>
    <row r="21" spans="1:13">
      <c r="A21" s="14"/>
      <c r="B21" s="10" t="s">
        <v>61</v>
      </c>
      <c r="C21" s="23">
        <f>+C13</f>
        <v>11531.093251530019</v>
      </c>
      <c r="D21" s="23">
        <f>+D13</f>
        <v>14441.043764700104</v>
      </c>
      <c r="E21" s="25">
        <f>IF(OR(OR(D21=0,C21=0),D21=""),"",(D21/C21-1)*100)</f>
        <v>25.235686241492971</v>
      </c>
      <c r="F21" s="23">
        <f>(D21/D$21)*100</f>
        <v>100</v>
      </c>
      <c r="G21" s="25">
        <f t="shared" ref="G21:H21" si="6">+G13</f>
        <v>1265.9982494300002</v>
      </c>
      <c r="H21" s="25">
        <f t="shared" si="6"/>
        <v>1619.3198718299989</v>
      </c>
      <c r="I21" s="25">
        <f>IF(OR(OR(H21=0,G21=0),H21=""),"",(H21/G21-1)*100)</f>
        <v>27.908539570183244</v>
      </c>
      <c r="J21" s="23">
        <f>(H21/H$21)*100</f>
        <v>100</v>
      </c>
      <c r="K21" s="16"/>
    </row>
    <row r="22" spans="1:13">
      <c r="A22" s="14"/>
      <c r="B22" s="9" t="s">
        <v>33</v>
      </c>
      <c r="C22" s="21">
        <f>+[6]resumen_tecnologia!C2</f>
        <v>400.20852914999915</v>
      </c>
      <c r="D22" s="23">
        <f>+[6]resumen_tecnologia!D2</f>
        <v>522.63412937999965</v>
      </c>
      <c r="E22" s="22">
        <f t="shared" ref="E22:E28" si="7">IF(OR(OR(D22=0,C22=0),D22=""),"",(D22/C22-1)*100)</f>
        <v>30.590452554826754</v>
      </c>
      <c r="F22" s="22">
        <f>(D22/D$21)*100</f>
        <v>3.6190883283487727</v>
      </c>
      <c r="G22" s="22">
        <f>+[6]resumen_tecnologia!E2</f>
        <v>44.752462370000025</v>
      </c>
      <c r="H22" s="25">
        <f>+[6]resumen_tecnologia!F2</f>
        <v>41.99658862999997</v>
      </c>
      <c r="I22" s="22">
        <f t="shared" ref="I22:I28" si="8">IF(OR(OR(H22=0,G22=0),H22=""),"",(H22/G22-1)*100)</f>
        <v>-6.1580382264003974</v>
      </c>
      <c r="J22" s="22">
        <f>(H22/H$21)*100</f>
        <v>2.5934708367741752</v>
      </c>
      <c r="K22" s="16"/>
    </row>
    <row r="23" spans="1:13">
      <c r="A23" s="14"/>
      <c r="B23" s="9" t="s">
        <v>34</v>
      </c>
      <c r="C23" s="21">
        <f>SUM(C24:C27)</f>
        <v>11069.852517100157</v>
      </c>
      <c r="D23" s="23">
        <f>SUM(D24:D27)</f>
        <v>13831.708163960082</v>
      </c>
      <c r="E23" s="22">
        <f t="shared" si="7"/>
        <v>24.949344560765809</v>
      </c>
      <c r="F23" s="22">
        <f t="shared" ref="F23:F28" si="9">(D23/D$21)*100</f>
        <v>95.780529367070471</v>
      </c>
      <c r="G23" s="22">
        <f t="shared" ref="G23:H23" si="10">SUM(G24:G27)</f>
        <v>1215.4024998699997</v>
      </c>
      <c r="H23" s="25">
        <f t="shared" si="10"/>
        <v>1569.9305732199948</v>
      </c>
      <c r="I23" s="22">
        <f t="shared" si="8"/>
        <v>29.169602118468219</v>
      </c>
      <c r="J23" s="22">
        <f t="shared" ref="J23:J28" si="11">(H23/H$21)*100</f>
        <v>96.949997374256327</v>
      </c>
      <c r="K23" s="16"/>
    </row>
    <row r="24" spans="1:13">
      <c r="A24" s="14"/>
      <c r="B24" s="9" t="s">
        <v>43</v>
      </c>
      <c r="C24" s="21">
        <f>+[6]resumen_tecnologia!C3</f>
        <v>1010.4224253200019</v>
      </c>
      <c r="D24" s="23">
        <f>+[6]resumen_tecnologia!D3</f>
        <v>1497.6884720299772</v>
      </c>
      <c r="E24" s="22">
        <f t="shared" si="7"/>
        <v>48.223993698047394</v>
      </c>
      <c r="F24" s="22">
        <f t="shared" si="9"/>
        <v>10.37105417332055</v>
      </c>
      <c r="G24" s="22">
        <f>+[6]resumen_tecnologia!E3</f>
        <v>113.91360245999954</v>
      </c>
      <c r="H24" s="23">
        <f>+[6]resumen_tecnologia!F3</f>
        <v>232.46101542000031</v>
      </c>
      <c r="I24" s="22">
        <f t="shared" si="8"/>
        <v>104.06782895100557</v>
      </c>
      <c r="J24" s="22">
        <f t="shared" si="11"/>
        <v>14.355472285861307</v>
      </c>
      <c r="K24" s="16"/>
    </row>
    <row r="25" spans="1:13">
      <c r="A25" s="14"/>
      <c r="B25" s="9" t="s">
        <v>44</v>
      </c>
      <c r="C25" s="21">
        <f>+[6]resumen_tecnologia!C5</f>
        <v>1379.7552921000304</v>
      </c>
      <c r="D25" s="23">
        <f>+[6]resumen_tecnologia!D5</f>
        <v>1966.0594319099987</v>
      </c>
      <c r="E25" s="22">
        <f t="shared" si="7"/>
        <v>42.49334234606161</v>
      </c>
      <c r="F25" s="22">
        <f t="shared" si="9"/>
        <v>13.614385940134484</v>
      </c>
      <c r="G25" s="22">
        <f>+[6]resumen_tecnologia!E5</f>
        <v>157.7697077399994</v>
      </c>
      <c r="H25" s="25">
        <f>+[6]resumen_tecnologia!F5</f>
        <v>259.15973022000111</v>
      </c>
      <c r="I25" s="22">
        <f t="shared" si="8"/>
        <v>64.264568865837006</v>
      </c>
      <c r="J25" s="22">
        <f t="shared" si="11"/>
        <v>16.004233303647649</v>
      </c>
      <c r="K25" s="16"/>
    </row>
    <row r="26" spans="1:13">
      <c r="A26" s="14"/>
      <c r="B26" s="9" t="s">
        <v>45</v>
      </c>
      <c r="C26" s="21">
        <f>+[6]resumen_tecnologia!C6</f>
        <v>3248.0194565200459</v>
      </c>
      <c r="D26" s="23">
        <f>+[6]resumen_tecnologia!D6</f>
        <v>4500.398285900108</v>
      </c>
      <c r="E26" s="22">
        <f t="shared" si="7"/>
        <v>38.558230520018832</v>
      </c>
      <c r="F26" s="22">
        <f t="shared" si="9"/>
        <v>31.163940496468452</v>
      </c>
      <c r="G26" s="22">
        <f>+[6]resumen_tecnologia!E6</f>
        <v>381.15545859000008</v>
      </c>
      <c r="H26" s="25">
        <f>+[6]resumen_tecnologia!F6</f>
        <v>620.93736435999563</v>
      </c>
      <c r="I26" s="22">
        <f t="shared" si="8"/>
        <v>62.909214696023355</v>
      </c>
      <c r="J26" s="22">
        <f t="shared" si="11"/>
        <v>38.345565639126768</v>
      </c>
      <c r="K26" s="16"/>
    </row>
    <row r="27" spans="1:13">
      <c r="A27" s="14"/>
      <c r="B27" s="9" t="s">
        <v>46</v>
      </c>
      <c r="C27" s="21">
        <f>+[6]resumen_tecnologia!C4</f>
        <v>5431.6553431600787</v>
      </c>
      <c r="D27" s="23">
        <f>+[6]resumen_tecnologia!D4</f>
        <v>5867.561974119998</v>
      </c>
      <c r="E27" s="22">
        <f t="shared" si="7"/>
        <v>8.025299902521299</v>
      </c>
      <c r="F27" s="22">
        <f t="shared" si="9"/>
        <v>40.631148757146981</v>
      </c>
      <c r="G27" s="22">
        <f>+[6]resumen_tecnologia!E4</f>
        <v>562.56373108000082</v>
      </c>
      <c r="H27" s="25">
        <f>+[6]resumen_tecnologia!F4</f>
        <v>457.37246321999783</v>
      </c>
      <c r="I27" s="22">
        <f t="shared" si="8"/>
        <v>-18.698551301566933</v>
      </c>
      <c r="J27" s="22">
        <f t="shared" si="11"/>
        <v>28.244726145620607</v>
      </c>
      <c r="K27" s="16"/>
    </row>
    <row r="28" spans="1:13">
      <c r="A28" s="14"/>
      <c r="B28" s="9" t="s">
        <v>47</v>
      </c>
      <c r="C28" s="21">
        <f>+[6]resumen_tecnologia!C7</f>
        <v>61.025808760000174</v>
      </c>
      <c r="D28" s="23">
        <f>+[6]resumen_tecnologia!D7</f>
        <v>86.45691414000018</v>
      </c>
      <c r="E28" s="22">
        <f t="shared" si="7"/>
        <v>41.672705199228787</v>
      </c>
      <c r="F28" s="22">
        <f t="shared" si="9"/>
        <v>0.59868881743393576</v>
      </c>
      <c r="G28" s="22">
        <f>+[6]resumen_tecnologia!E7</f>
        <v>5.8411268099999942</v>
      </c>
      <c r="H28" s="25">
        <f>+[6]resumen_tecnologia!F7</f>
        <v>7.1481527600000119</v>
      </c>
      <c r="I28" s="22">
        <f t="shared" si="8"/>
        <v>22.376263904464324</v>
      </c>
      <c r="J28" s="22">
        <f t="shared" si="11"/>
        <v>0.44142932377664579</v>
      </c>
      <c r="K28" s="16"/>
    </row>
    <row r="29" spans="1:13">
      <c r="A29" s="14"/>
      <c r="B29" s="9"/>
      <c r="C29" s="4"/>
      <c r="D29" s="4"/>
      <c r="E29" s="4"/>
      <c r="F29" s="5"/>
      <c r="G29" s="5"/>
      <c r="H29" s="5"/>
      <c r="I29" s="6"/>
      <c r="J29" s="6"/>
      <c r="K29" s="16"/>
      <c r="M29" s="7" t="str">
        <f>IF(F29="","",1)</f>
        <v/>
      </c>
    </row>
    <row r="30" spans="1:1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</row>
    <row r="31" spans="1:1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>
      <c r="A40" s="14"/>
      <c r="B40" s="91" t="s">
        <v>25</v>
      </c>
      <c r="C40" s="4"/>
      <c r="D40" s="4"/>
      <c r="E40" s="4"/>
      <c r="F40" s="5"/>
      <c r="G40" s="5"/>
      <c r="H40" s="5"/>
      <c r="I40" s="6"/>
      <c r="J40" s="6"/>
      <c r="K40" s="16"/>
    </row>
    <row r="41" spans="1:11">
      <c r="A41" s="17"/>
      <c r="B41" s="39" t="s">
        <v>35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>
      <c r="B42" s="20"/>
      <c r="C42" s="20" t="s">
        <v>36</v>
      </c>
      <c r="D42" s="89">
        <f>D22</f>
        <v>522.63412937999965</v>
      </c>
      <c r="E42" s="20"/>
      <c r="G42" s="20"/>
      <c r="H42" s="89"/>
    </row>
    <row r="43" spans="1:11">
      <c r="B43" s="20"/>
      <c r="C43" s="20" t="s">
        <v>37</v>
      </c>
      <c r="D43" s="89">
        <f>D23</f>
        <v>13831.708163960082</v>
      </c>
      <c r="E43" s="20"/>
      <c r="G43" s="20"/>
      <c r="H43" s="89"/>
    </row>
    <row r="44" spans="1:11">
      <c r="C44" s="20" t="s">
        <v>96</v>
      </c>
      <c r="D44" s="89">
        <f>D28</f>
        <v>86.45691414000018</v>
      </c>
      <c r="G44" s="20"/>
      <c r="H44" s="89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zoomScaleNormal="100" zoomScaleSheetLayoutView="100" workbookViewId="0">
      <pane ySplit="11" topLeftCell="A12" activePane="bottomLeft" state="frozen"/>
      <selection pane="bottomLeft" activeCell="C13" sqref="C13"/>
    </sheetView>
  </sheetViews>
  <sheetFormatPr baseColWidth="10" defaultColWidth="10.85546875" defaultRowHeight="15.75"/>
  <cols>
    <col min="1" max="1" width="1.85546875" style="7" customWidth="1"/>
    <col min="2" max="2" width="24.42578125" style="7" customWidth="1"/>
    <col min="3" max="4" width="13" style="7" customWidth="1"/>
    <col min="5" max="5" width="11" style="7" customWidth="1"/>
    <col min="6" max="6" width="9.5703125" style="7" customWidth="1"/>
    <col min="7" max="8" width="7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58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57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40"/>
      <c r="D9" s="40"/>
      <c r="E9" s="40"/>
      <c r="F9" s="40"/>
      <c r="G9" s="40"/>
      <c r="H9" s="40"/>
      <c r="I9" s="8"/>
      <c r="J9" s="8"/>
      <c r="K9" s="16"/>
    </row>
    <row r="10" spans="1:14" ht="15.75" customHeight="1">
      <c r="A10" s="14"/>
      <c r="B10" s="9"/>
      <c r="C10" s="114" t="s">
        <v>140</v>
      </c>
      <c r="D10" s="114"/>
      <c r="E10" s="113" t="s">
        <v>1</v>
      </c>
      <c r="F10" s="113" t="s">
        <v>4</v>
      </c>
      <c r="G10" s="114" t="s">
        <v>141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40">
        <v>2009</v>
      </c>
      <c r="D11" s="40">
        <v>2010</v>
      </c>
      <c r="E11" s="113"/>
      <c r="F11" s="113"/>
      <c r="G11" s="40">
        <v>2009</v>
      </c>
      <c r="H11" s="40">
        <v>2010</v>
      </c>
      <c r="I11" s="113"/>
      <c r="J11" s="113"/>
      <c r="K11" s="16"/>
      <c r="N11" s="2"/>
    </row>
    <row r="12" spans="1:14" ht="12" customHeight="1">
      <c r="A12" s="14"/>
      <c r="B12" s="9"/>
      <c r="C12" s="40"/>
      <c r="D12" s="40"/>
      <c r="E12" s="40"/>
      <c r="F12" s="40"/>
      <c r="G12" s="40"/>
      <c r="H12" s="40"/>
      <c r="I12" s="40"/>
      <c r="J12" s="40"/>
      <c r="K12" s="16"/>
    </row>
    <row r="13" spans="1:14">
      <c r="A13" s="14"/>
      <c r="B13" s="10" t="s">
        <v>61</v>
      </c>
      <c r="C13" s="23">
        <f>+'Resumen importaciones totales'!C13</f>
        <v>11531.093251530019</v>
      </c>
      <c r="D13" s="23">
        <f>+'Resumen importaciones totales'!D13</f>
        <v>14441.043764700104</v>
      </c>
      <c r="E13" s="25">
        <f>IF(OR(OR(D13=0,C13=0),D13=""),"",(D13/C13-1)*100)</f>
        <v>25.235686241492971</v>
      </c>
      <c r="F13" s="25">
        <f>(D13/D$13)*100</f>
        <v>100</v>
      </c>
      <c r="G13" s="23">
        <f>+'Resumen importaciones totales'!G13</f>
        <v>1265.9982494300002</v>
      </c>
      <c r="H13" s="23">
        <f>+'Resumen importaciones totales'!H13</f>
        <v>1619.3198718299989</v>
      </c>
      <c r="I13" s="25">
        <f>IF(OR(OR(H13=0,G13=0),H13=""),"",(H13/G13-1)*100)</f>
        <v>27.908539570183244</v>
      </c>
      <c r="J13" s="25">
        <f>(H13/H$13)*100</f>
        <v>100</v>
      </c>
      <c r="K13" s="16"/>
    </row>
    <row r="14" spans="1:14">
      <c r="A14" s="14"/>
      <c r="B14" s="9"/>
      <c r="C14" s="84"/>
      <c r="D14" s="84"/>
      <c r="E14" s="85"/>
      <c r="F14" s="85"/>
      <c r="G14" s="85"/>
      <c r="H14" s="85"/>
      <c r="I14" s="85"/>
      <c r="J14" s="85"/>
      <c r="K14" s="16"/>
    </row>
    <row r="15" spans="1:14">
      <c r="A15" s="14"/>
      <c r="B15" s="10" t="s">
        <v>62</v>
      </c>
      <c r="C15" s="86"/>
      <c r="D15" s="86"/>
      <c r="E15" s="87"/>
      <c r="F15" s="87"/>
      <c r="G15" s="87"/>
      <c r="H15" s="87"/>
      <c r="I15" s="87"/>
      <c r="J15" s="87"/>
      <c r="K15" s="16"/>
    </row>
    <row r="16" spans="1:14">
      <c r="A16" s="14"/>
      <c r="B16" s="9" t="str">
        <f>+[6]Disminuyeron!B2</f>
        <v>Francia</v>
      </c>
      <c r="C16" s="22">
        <f>+[6]Disminuyeron!C2</f>
        <v>995.38984245000506</v>
      </c>
      <c r="D16" s="25">
        <f>+[6]Disminuyeron!D2</f>
        <v>548.33145943999557</v>
      </c>
      <c r="E16" s="22">
        <f>IF(OR(OR(D16=0,C16=0),D16=""),"",(D16/C16-1)*100)</f>
        <v>-44.912893817525934</v>
      </c>
      <c r="F16" s="22">
        <f>(D16/D$13)*100</f>
        <v>3.7970348153112377</v>
      </c>
      <c r="G16" s="22">
        <f>+[6]Disminuyeron!E2</f>
        <v>73.104957399999961</v>
      </c>
      <c r="H16" s="25">
        <f>+[6]Disminuyeron!F2</f>
        <v>18.830515249999998</v>
      </c>
      <c r="I16" s="22">
        <f t="shared" ref="I16" si="0">IF(OR(OR(H16=0,G16=0),H16=""),"",(H16/G16-1)*100)</f>
        <v>-74.241808052814747</v>
      </c>
      <c r="J16" s="22">
        <f t="shared" ref="J16" si="1">(H16/H$13)*100</f>
        <v>1.1628656930344201</v>
      </c>
      <c r="K16" s="16"/>
    </row>
    <row r="17" spans="1:11">
      <c r="A17" s="14"/>
      <c r="B17" s="9" t="str">
        <f>+[6]Disminuyeron!B3</f>
        <v>Venezuela</v>
      </c>
      <c r="C17" s="22">
        <f>+[6]Disminuyeron!C3</f>
        <v>163.28899771999997</v>
      </c>
      <c r="D17" s="25">
        <f>+[6]Disminuyeron!D3</f>
        <v>66.676693869999824</v>
      </c>
      <c r="E17" s="22">
        <f t="shared" ref="E17:E37" si="2">IF(OR(OR(D17=0,C17=0),D17=""),"",(D17/C17-1)*100)</f>
        <v>-59.166450403269799</v>
      </c>
      <c r="F17" s="22">
        <f t="shared" ref="F17:F37" si="3">(D17/D$13)*100</f>
        <v>0.46171658334687204</v>
      </c>
      <c r="G17" s="22">
        <f>+[6]Disminuyeron!E3</f>
        <v>8.2716994400000043</v>
      </c>
      <c r="H17" s="25">
        <f>+[6]Disminuyeron!F3</f>
        <v>8.9794796100000021</v>
      </c>
      <c r="I17" s="22">
        <f t="shared" ref="I17:I36" si="4">IF(OR(OR(H17=0,G17=0),H17=""),"",(H17/G17-1)*100)</f>
        <v>8.5566475805121556</v>
      </c>
      <c r="J17" s="22">
        <f t="shared" ref="J17:J37" si="5">(H17/H$13)*100</f>
        <v>0.55452167086989812</v>
      </c>
      <c r="K17" s="16"/>
    </row>
    <row r="18" spans="1:11">
      <c r="A18" s="14"/>
      <c r="B18" s="9" t="str">
        <f>+[6]Disminuyeron!B4</f>
        <v>Irlanda (Eire)</v>
      </c>
      <c r="C18" s="22">
        <f>+[6]Disminuyeron!C4</f>
        <v>81.850944249999941</v>
      </c>
      <c r="D18" s="25">
        <f>+[6]Disminuyeron!D4</f>
        <v>28.712670410000008</v>
      </c>
      <c r="E18" s="22">
        <f t="shared" si="2"/>
        <v>-64.920782926703964</v>
      </c>
      <c r="F18" s="22">
        <f t="shared" si="3"/>
        <v>0.19882683605035306</v>
      </c>
      <c r="G18" s="22">
        <f>+[6]Disminuyeron!E4</f>
        <v>2.9559857299999992</v>
      </c>
      <c r="H18" s="25">
        <f>+[6]Disminuyeron!F4</f>
        <v>2.8514909100000021</v>
      </c>
      <c r="I18" s="22">
        <f t="shared" si="4"/>
        <v>-3.5350245077129361</v>
      </c>
      <c r="J18" s="22">
        <f t="shared" si="5"/>
        <v>0.17609188645215121</v>
      </c>
      <c r="K18" s="16"/>
    </row>
    <row r="19" spans="1:11">
      <c r="A19" s="14"/>
      <c r="B19" s="9" t="str">
        <f>+[6]Disminuyeron!B5</f>
        <v>Zona Franca Palmaseca</v>
      </c>
      <c r="C19" s="22">
        <f>+[6]Disminuyeron!C5</f>
        <v>45.389878029999998</v>
      </c>
      <c r="D19" s="25">
        <f>+[6]Disminuyeron!D5</f>
        <v>6.0529763100000009</v>
      </c>
      <c r="E19" s="22">
        <f t="shared" si="2"/>
        <v>-86.664479895717392</v>
      </c>
      <c r="F19" s="22">
        <f t="shared" si="3"/>
        <v>4.1915088747227422E-2</v>
      </c>
      <c r="G19" s="22">
        <f>+[6]Disminuyeron!E5</f>
        <v>9.1248319300000009</v>
      </c>
      <c r="H19" s="25">
        <f>+[6]Disminuyeron!F5</f>
        <v>0.19471035</v>
      </c>
      <c r="I19" s="22">
        <f t="shared" si="4"/>
        <v>-97.866148642586552</v>
      </c>
      <c r="J19" s="22">
        <f t="shared" si="5"/>
        <v>1.2024205556123831E-2</v>
      </c>
      <c r="K19" s="16"/>
    </row>
    <row r="20" spans="1:11">
      <c r="A20" s="14"/>
      <c r="B20" s="9" t="str">
        <f>+[6]Disminuyeron!B6</f>
        <v>Rusia</v>
      </c>
      <c r="C20" s="22">
        <f>+[6]Disminuyeron!C6</f>
        <v>57.533168509999982</v>
      </c>
      <c r="D20" s="25">
        <f>+[6]Disminuyeron!D6</f>
        <v>22.54970569000001</v>
      </c>
      <c r="E20" s="22">
        <f t="shared" si="2"/>
        <v>-60.805729505266882</v>
      </c>
      <c r="F20" s="22">
        <f t="shared" si="3"/>
        <v>0.15615010976644803</v>
      </c>
      <c r="G20" s="22">
        <f>+[6]Disminuyeron!E6</f>
        <v>0.16590969</v>
      </c>
      <c r="H20" s="25">
        <f>+[6]Disminuyeron!F6</f>
        <v>6.337596999999999E-2</v>
      </c>
      <c r="I20" s="22">
        <f t="shared" si="4"/>
        <v>-61.800923140776163</v>
      </c>
      <c r="J20" s="22">
        <f t="shared" si="5"/>
        <v>3.913740027680794E-3</v>
      </c>
      <c r="K20" s="16"/>
    </row>
    <row r="21" spans="1:11">
      <c r="A21" s="14"/>
      <c r="B21" s="9" t="str">
        <f>+[6]Disminuyeron!B7</f>
        <v>Reino Unido</v>
      </c>
      <c r="C21" s="22">
        <f>+[6]Disminuyeron!C7</f>
        <v>224.46819310000083</v>
      </c>
      <c r="D21" s="25">
        <f>+[6]Disminuyeron!D7</f>
        <v>210.05727164000049</v>
      </c>
      <c r="E21" s="22">
        <f t="shared" si="2"/>
        <v>-6.4200282725937257</v>
      </c>
      <c r="F21" s="22">
        <f t="shared" si="3"/>
        <v>1.4545851052225707</v>
      </c>
      <c r="G21" s="22">
        <f>+[6]Disminuyeron!E7</f>
        <v>22.357932829999942</v>
      </c>
      <c r="H21" s="25">
        <f>+[6]Disminuyeron!F7</f>
        <v>18.833132570000004</v>
      </c>
      <c r="I21" s="22">
        <f t="shared" si="4"/>
        <v>-15.765322701347195</v>
      </c>
      <c r="J21" s="22">
        <f t="shared" si="5"/>
        <v>1.1630273238552071</v>
      </c>
      <c r="K21" s="16"/>
    </row>
    <row r="22" spans="1:11">
      <c r="A22" s="14"/>
      <c r="B22" s="9" t="str">
        <f>+[6]Disminuyeron!B8</f>
        <v>Zona Franca de Bogotá</v>
      </c>
      <c r="C22" s="22">
        <f>+[6]Disminuyeron!C8</f>
        <v>126.80127934000097</v>
      </c>
      <c r="D22" s="25">
        <f>+[6]Disminuyeron!D8</f>
        <v>119.85054085000014</v>
      </c>
      <c r="E22" s="22">
        <f t="shared" si="2"/>
        <v>-5.4815996543405081</v>
      </c>
      <c r="F22" s="22">
        <f t="shared" si="3"/>
        <v>0.82992990536435141</v>
      </c>
      <c r="G22" s="22">
        <f>+[6]Disminuyeron!E8</f>
        <v>8.3713891500000024</v>
      </c>
      <c r="H22" s="25">
        <f>+[6]Disminuyeron!F8</f>
        <v>11.625379239999994</v>
      </c>
      <c r="I22" s="22">
        <f t="shared" si="4"/>
        <v>38.870371830701366</v>
      </c>
      <c r="J22" s="22">
        <f t="shared" si="5"/>
        <v>0.71791740731632681</v>
      </c>
      <c r="K22" s="16"/>
    </row>
    <row r="23" spans="1:11">
      <c r="A23" s="14"/>
      <c r="B23" s="9" t="str">
        <f>+[6]Disminuyeron!B9</f>
        <v>Martinica</v>
      </c>
      <c r="C23" s="22">
        <f>+[6]Disminuyeron!C9</f>
        <v>6.5656791500000002</v>
      </c>
      <c r="D23" s="25">
        <f>+[6]Disminuyeron!D9</f>
        <v>0</v>
      </c>
      <c r="E23" s="22" t="str">
        <f t="shared" si="2"/>
        <v/>
      </c>
      <c r="F23" s="22">
        <f t="shared" si="3"/>
        <v>0</v>
      </c>
      <c r="G23" s="22">
        <f>+[6]Disminuyeron!E9</f>
        <v>0</v>
      </c>
      <c r="H23" s="25">
        <f>+[6]Disminuyeron!F9</f>
        <v>0</v>
      </c>
      <c r="I23" s="22" t="str">
        <f t="shared" si="4"/>
        <v/>
      </c>
      <c r="J23" s="22">
        <f t="shared" si="5"/>
        <v>0</v>
      </c>
      <c r="K23" s="16"/>
    </row>
    <row r="24" spans="1:11">
      <c r="A24" s="14"/>
      <c r="B24" s="9" t="str">
        <f>+[6]Disminuyeron!B10</f>
        <v>Sudáfrica</v>
      </c>
      <c r="C24" s="22">
        <f>+[6]Disminuyeron!C10</f>
        <v>9.2140901000000106</v>
      </c>
      <c r="D24" s="25">
        <f>+[6]Disminuyeron!D10</f>
        <v>5.0718904600000005</v>
      </c>
      <c r="E24" s="22">
        <f t="shared" si="2"/>
        <v>-44.955058991663265</v>
      </c>
      <c r="F24" s="22">
        <f t="shared" si="3"/>
        <v>3.5121356479770549E-2</v>
      </c>
      <c r="G24" s="22">
        <f>+[6]Disminuyeron!E10</f>
        <v>0.38860443</v>
      </c>
      <c r="H24" s="25">
        <f>+[6]Disminuyeron!F10</f>
        <v>0.36056228999999995</v>
      </c>
      <c r="I24" s="22">
        <f t="shared" si="4"/>
        <v>-7.2161143402302619</v>
      </c>
      <c r="J24" s="22">
        <f t="shared" si="5"/>
        <v>2.2266279582706983E-2</v>
      </c>
      <c r="K24" s="16"/>
    </row>
    <row r="25" spans="1:11">
      <c r="A25" s="14"/>
      <c r="B25" s="9" t="str">
        <f>+[6]Disminuyeron!B11</f>
        <v>Pakistan</v>
      </c>
      <c r="C25" s="22">
        <f>+[6]Disminuyeron!C11</f>
        <v>9.0063701200000033</v>
      </c>
      <c r="D25" s="25">
        <f>+[6]Disminuyeron!D11</f>
        <v>5.503067320000004</v>
      </c>
      <c r="E25" s="22">
        <f t="shared" si="2"/>
        <v>-38.89805496911999</v>
      </c>
      <c r="F25" s="22">
        <f t="shared" si="3"/>
        <v>3.8107129994659955E-2</v>
      </c>
      <c r="G25" s="22">
        <f>+[6]Disminuyeron!E11</f>
        <v>0.60236083000000007</v>
      </c>
      <c r="H25" s="25">
        <f>+[6]Disminuyeron!F11</f>
        <v>0.50847871999999994</v>
      </c>
      <c r="I25" s="22">
        <f t="shared" si="4"/>
        <v>-15.585693047139227</v>
      </c>
      <c r="J25" s="22">
        <f t="shared" si="5"/>
        <v>3.1400758358221495E-2</v>
      </c>
      <c r="K25" s="16"/>
    </row>
    <row r="26" spans="1:11">
      <c r="A26" s="14"/>
      <c r="B26" s="9" t="str">
        <f>+[6]Disminuyeron!B12</f>
        <v>Reunion</v>
      </c>
      <c r="C26" s="22">
        <f>+[6]Disminuyeron!C12</f>
        <v>5.7766614700000041</v>
      </c>
      <c r="D26" s="25">
        <f>+[6]Disminuyeron!D12</f>
        <v>2.8045997100000006</v>
      </c>
      <c r="E26" s="22">
        <f t="shared" si="2"/>
        <v>-51.449470865392456</v>
      </c>
      <c r="F26" s="22">
        <f t="shared" si="3"/>
        <v>1.9421031856821907E-2</v>
      </c>
      <c r="G26" s="22">
        <f>+[6]Disminuyeron!E12</f>
        <v>0.68680810999999997</v>
      </c>
      <c r="H26" s="25">
        <f>+[6]Disminuyeron!F12</f>
        <v>9.9554000000000004E-2</v>
      </c>
      <c r="I26" s="22">
        <f t="shared" si="4"/>
        <v>-85.504830454025949</v>
      </c>
      <c r="J26" s="22">
        <f t="shared" si="5"/>
        <v>6.1478897240662949E-3</v>
      </c>
      <c r="K26" s="16"/>
    </row>
    <row r="27" spans="1:11">
      <c r="A27" s="14"/>
      <c r="B27" s="9" t="str">
        <f>+[6]Disminuyeron!B13</f>
        <v>Bulgaria</v>
      </c>
      <c r="C27" s="22">
        <f>+[6]Disminuyeron!C13</f>
        <v>4.5359485699999995</v>
      </c>
      <c r="D27" s="25">
        <f>+[6]Disminuyeron!D13</f>
        <v>3.2755965699999998</v>
      </c>
      <c r="E27" s="22">
        <f t="shared" si="2"/>
        <v>-27.785852959968626</v>
      </c>
      <c r="F27" s="22">
        <f t="shared" si="3"/>
        <v>2.2682547213151692E-2</v>
      </c>
      <c r="G27" s="22">
        <f>+[6]Disminuyeron!E13</f>
        <v>1.9447760000000001E-2</v>
      </c>
      <c r="H27" s="25">
        <f>+[6]Disminuyeron!F13</f>
        <v>8.6843160000000003E-2</v>
      </c>
      <c r="I27" s="22">
        <f t="shared" si="4"/>
        <v>346.54582327219174</v>
      </c>
      <c r="J27" s="22">
        <f t="shared" si="5"/>
        <v>5.3629404239854258E-3</v>
      </c>
      <c r="K27" s="16"/>
    </row>
    <row r="28" spans="1:11">
      <c r="A28" s="14"/>
      <c r="B28" s="9" t="str">
        <f>+[6]Disminuyeron!B14</f>
        <v>Sri Lanka</v>
      </c>
      <c r="C28" s="22">
        <f>+[6]Disminuyeron!C14</f>
        <v>3.3355291099999991</v>
      </c>
      <c r="D28" s="25">
        <f>+[6]Disminuyeron!D14</f>
        <v>2.2000736799999996</v>
      </c>
      <c r="E28" s="22">
        <f t="shared" si="2"/>
        <v>-34.041238812633232</v>
      </c>
      <c r="F28" s="22">
        <f t="shared" si="3"/>
        <v>1.5234866093113655E-2</v>
      </c>
      <c r="G28" s="22">
        <f>+[6]Disminuyeron!E14</f>
        <v>0.94481954000000001</v>
      </c>
      <c r="H28" s="25">
        <f>+[6]Disminuyeron!F14</f>
        <v>0.58225520000000008</v>
      </c>
      <c r="I28" s="22">
        <f t="shared" si="4"/>
        <v>-38.373924823781678</v>
      </c>
      <c r="J28" s="22">
        <f t="shared" si="5"/>
        <v>3.5956774824358294E-2</v>
      </c>
      <c r="K28" s="16"/>
    </row>
    <row r="29" spans="1:11">
      <c r="A29" s="14"/>
      <c r="B29" s="9" t="str">
        <f>+[6]Disminuyeron!B15</f>
        <v>Paises Bajos</v>
      </c>
      <c r="C29" s="22">
        <f>+[6]Disminuyeron!C15</f>
        <v>186.44263838000117</v>
      </c>
      <c r="D29" s="25">
        <f>+[6]Disminuyeron!D15</f>
        <v>185.3075601599997</v>
      </c>
      <c r="E29" s="22">
        <f t="shared" si="2"/>
        <v>-0.60880828005018817</v>
      </c>
      <c r="F29" s="22">
        <f t="shared" si="3"/>
        <v>1.2832005994813767</v>
      </c>
      <c r="G29" s="22">
        <f>+[6]Disminuyeron!E15</f>
        <v>22.321100499999979</v>
      </c>
      <c r="H29" s="25">
        <f>+[6]Disminuyeron!F15</f>
        <v>18.986434999999979</v>
      </c>
      <c r="I29" s="22">
        <f t="shared" si="4"/>
        <v>-14.939521015104084</v>
      </c>
      <c r="J29" s="22">
        <f t="shared" si="5"/>
        <v>1.1724944114063975</v>
      </c>
      <c r="K29" s="16"/>
    </row>
    <row r="30" spans="1:11">
      <c r="A30" s="14"/>
      <c r="B30" s="9" t="str">
        <f>+[6]Disminuyeron!B16</f>
        <v>Corea del Norte</v>
      </c>
      <c r="C30" s="22">
        <f>+[6]Disminuyeron!C16</f>
        <v>6.4166363700000018</v>
      </c>
      <c r="D30" s="25">
        <f>+[6]Disminuyeron!D16</f>
        <v>5.5992528700000026</v>
      </c>
      <c r="E30" s="22">
        <f t="shared" si="2"/>
        <v>-12.738504301436659</v>
      </c>
      <c r="F30" s="22">
        <f t="shared" si="3"/>
        <v>3.8773186767059716E-2</v>
      </c>
      <c r="G30" s="22">
        <f>+[6]Disminuyeron!E16</f>
        <v>0.74973272000000002</v>
      </c>
      <c r="H30" s="25">
        <f>+[6]Disminuyeron!F16</f>
        <v>0.13111281999999999</v>
      </c>
      <c r="I30" s="22">
        <f t="shared" si="4"/>
        <v>-82.512058430636458</v>
      </c>
      <c r="J30" s="22">
        <f t="shared" si="5"/>
        <v>8.0967832409682555E-3</v>
      </c>
      <c r="K30" s="16"/>
    </row>
    <row r="31" spans="1:11">
      <c r="A31" s="14"/>
      <c r="B31" s="9" t="str">
        <f>+[6]Disminuyeron!B17</f>
        <v>Libia</v>
      </c>
      <c r="C31" s="22">
        <f>+[6]Disminuyeron!C17</f>
        <v>0.7511458299999999</v>
      </c>
      <c r="D31" s="25">
        <f>+[6]Disminuyeron!D17</f>
        <v>5.0228059999999998E-2</v>
      </c>
      <c r="E31" s="22">
        <f t="shared" si="2"/>
        <v>-93.313141337681387</v>
      </c>
      <c r="F31" s="22">
        <f t="shared" si="3"/>
        <v>3.4781460965292688E-4</v>
      </c>
      <c r="G31" s="22">
        <f>+[6]Disminuyeron!E17</f>
        <v>0</v>
      </c>
      <c r="H31" s="25">
        <f>+[6]Disminuyeron!F17</f>
        <v>0</v>
      </c>
      <c r="I31" s="22" t="str">
        <f t="shared" si="4"/>
        <v/>
      </c>
      <c r="J31" s="22">
        <f t="shared" si="5"/>
        <v>0</v>
      </c>
      <c r="K31" s="16"/>
    </row>
    <row r="32" spans="1:11">
      <c r="A32" s="14"/>
      <c r="B32" s="9" t="str">
        <f>+[6]Disminuyeron!B18</f>
        <v>Zona Franca Santa Marta</v>
      </c>
      <c r="C32" s="22">
        <f>+[6]Disminuyeron!C18</f>
        <v>0.69477241000000001</v>
      </c>
      <c r="D32" s="25">
        <f>+[6]Disminuyeron!D18</f>
        <v>3.1062399999999997E-3</v>
      </c>
      <c r="E32" s="22">
        <f t="shared" si="2"/>
        <v>-99.552912586151777</v>
      </c>
      <c r="F32" s="22">
        <f t="shared" si="3"/>
        <v>2.1509802550373384E-5</v>
      </c>
      <c r="G32" s="22">
        <f>+[6]Disminuyeron!E18</f>
        <v>1.0021459999999999E-2</v>
      </c>
      <c r="H32" s="25">
        <f>+[6]Disminuyeron!F18</f>
        <v>0</v>
      </c>
      <c r="I32" s="22" t="str">
        <f t="shared" si="4"/>
        <v/>
      </c>
      <c r="J32" s="22">
        <f t="shared" si="5"/>
        <v>0</v>
      </c>
      <c r="K32" s="16"/>
    </row>
    <row r="33" spans="1:13">
      <c r="A33" s="14"/>
      <c r="B33" s="9" t="str">
        <f>+[6]Disminuyeron!B19</f>
        <v>Liberia</v>
      </c>
      <c r="C33" s="22">
        <f>+[6]Disminuyeron!C19</f>
        <v>1.0321919799999999</v>
      </c>
      <c r="D33" s="25">
        <f>+[6]Disminuyeron!D19</f>
        <v>0.36388063999999998</v>
      </c>
      <c r="E33" s="22">
        <f t="shared" si="2"/>
        <v>-64.746806112560577</v>
      </c>
      <c r="F33" s="22">
        <f t="shared" si="3"/>
        <v>2.5197668944780503E-3</v>
      </c>
      <c r="G33" s="22">
        <f>+[6]Disminuyeron!E19</f>
        <v>0</v>
      </c>
      <c r="H33" s="25">
        <f>+[6]Disminuyeron!F19</f>
        <v>2.6076799999999998E-3</v>
      </c>
      <c r="I33" s="22" t="str">
        <f t="shared" si="4"/>
        <v/>
      </c>
      <c r="J33" s="22">
        <f t="shared" si="5"/>
        <v>1.6103550912723944E-4</v>
      </c>
      <c r="K33" s="16"/>
    </row>
    <row r="34" spans="1:13">
      <c r="A34" s="14"/>
      <c r="B34" s="9" t="str">
        <f>+[6]Disminuyeron!B20</f>
        <v>Bangladesh</v>
      </c>
      <c r="C34" s="22">
        <f>+[6]Disminuyeron!C20</f>
        <v>1.5197123700000004</v>
      </c>
      <c r="D34" s="25">
        <f>+[6]Disminuyeron!D20</f>
        <v>0.85481238000000015</v>
      </c>
      <c r="E34" s="22">
        <f t="shared" si="2"/>
        <v>-43.751699540354473</v>
      </c>
      <c r="F34" s="22">
        <f t="shared" si="3"/>
        <v>5.9193254582436475E-3</v>
      </c>
      <c r="G34" s="22">
        <f>+[6]Disminuyeron!E20</f>
        <v>0.16681342000000002</v>
      </c>
      <c r="H34" s="25">
        <f>+[6]Disminuyeron!F20</f>
        <v>0.29936027999999998</v>
      </c>
      <c r="I34" s="22">
        <f t="shared" si="4"/>
        <v>79.458151508433758</v>
      </c>
      <c r="J34" s="22">
        <f t="shared" si="5"/>
        <v>1.8486790979826112E-2</v>
      </c>
      <c r="K34" s="16"/>
    </row>
    <row r="35" spans="1:13">
      <c r="A35" s="14"/>
      <c r="B35" s="9" t="str">
        <f>+[6]Disminuyeron!B21</f>
        <v>Zona Franca La Cayena</v>
      </c>
      <c r="C35" s="22">
        <f>+[6]Disminuyeron!C21</f>
        <v>1.9231623</v>
      </c>
      <c r="D35" s="25">
        <f>+[6]Disminuyeron!D21</f>
        <v>1.2592082299999998</v>
      </c>
      <c r="E35" s="22">
        <f t="shared" si="2"/>
        <v>-34.524078908992763</v>
      </c>
      <c r="F35" s="22">
        <f t="shared" si="3"/>
        <v>8.719648319867478E-3</v>
      </c>
      <c r="G35" s="22">
        <f>+[6]Disminuyeron!E21</f>
        <v>0</v>
      </c>
      <c r="H35" s="25">
        <f>+[6]Disminuyeron!F21</f>
        <v>0</v>
      </c>
      <c r="I35" s="22" t="str">
        <f t="shared" si="4"/>
        <v/>
      </c>
      <c r="J35" s="22">
        <f t="shared" si="5"/>
        <v>0</v>
      </c>
      <c r="K35" s="16"/>
    </row>
    <row r="36" spans="1:13">
      <c r="A36" s="14"/>
      <c r="B36" s="9" t="str">
        <f>+[7]XX!A20</f>
        <v>Los demás</v>
      </c>
      <c r="C36" s="22">
        <f>+[6]Disminuyeron!C22</f>
        <v>11.142672209999994</v>
      </c>
      <c r="D36" s="25">
        <f>+[6]Disminuyeron!D22</f>
        <v>6.5526025699999995</v>
      </c>
      <c r="E36" s="22">
        <f t="shared" si="2"/>
        <v>-41.193616338104569</v>
      </c>
      <c r="F36" s="22">
        <f t="shared" si="3"/>
        <v>4.5374854316398351E-2</v>
      </c>
      <c r="G36" s="22">
        <f>+[6]Disminuyeron!E22</f>
        <v>1.2558000000000002</v>
      </c>
      <c r="H36" s="25">
        <f>+[6]Disminuyeron!F22</f>
        <v>0.40255104999999997</v>
      </c>
      <c r="I36" s="22">
        <f t="shared" si="4"/>
        <v>-67.944652810957166</v>
      </c>
      <c r="J36" s="22">
        <f t="shared" si="5"/>
        <v>2.4859266967747127E-2</v>
      </c>
      <c r="K36" s="16"/>
    </row>
    <row r="37" spans="1:13">
      <c r="A37" s="14"/>
      <c r="B37" s="10" t="s">
        <v>27</v>
      </c>
      <c r="C37" s="23">
        <f>SUM(C16:C36)</f>
        <v>1943.0795137700084</v>
      </c>
      <c r="D37" s="23">
        <f>SUM(D16:D36)</f>
        <v>1221.0771970999961</v>
      </c>
      <c r="E37" s="25">
        <f t="shared" si="2"/>
        <v>-37.157631046666054</v>
      </c>
      <c r="F37" s="25">
        <f t="shared" si="3"/>
        <v>8.4556020810962078</v>
      </c>
      <c r="G37" s="23">
        <f t="shared" ref="G37:H37" si="6">SUM(G16:G36)</f>
        <v>151.49821493999988</v>
      </c>
      <c r="H37" s="23">
        <f t="shared" si="6"/>
        <v>82.83784409999997</v>
      </c>
      <c r="I37" s="25">
        <f>IF(OR(OR(H37=0,G37=0),H37=""),"",(H37/G37-1)*100)</f>
        <v>-45.320910789075974</v>
      </c>
      <c r="J37" s="25">
        <f t="shared" si="5"/>
        <v>5.1155948581292119</v>
      </c>
      <c r="K37" s="16"/>
    </row>
    <row r="38" spans="1:1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tr">
        <f>IF(F38="","",1)</f>
        <v/>
      </c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>
      <c r="A45" s="17"/>
      <c r="B45" s="39" t="s">
        <v>25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1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3" style="7" customWidth="1"/>
    <col min="5" max="5" width="11.5703125" style="7" customWidth="1"/>
    <col min="6" max="6" width="9.5703125" style="7" customWidth="1"/>
    <col min="7" max="7" width="7.140625" style="7" customWidth="1"/>
    <col min="8" max="8" width="7.57031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58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57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3"/>
      <c r="D9" s="103"/>
      <c r="E9" s="103"/>
      <c r="F9" s="103"/>
      <c r="G9" s="103"/>
      <c r="H9" s="103"/>
      <c r="I9" s="8"/>
      <c r="J9" s="8"/>
      <c r="K9" s="16"/>
    </row>
    <row r="10" spans="1:14" ht="15.75" customHeight="1">
      <c r="A10" s="14"/>
      <c r="B10" s="9"/>
      <c r="C10" s="114" t="s">
        <v>140</v>
      </c>
      <c r="D10" s="114"/>
      <c r="E10" s="113" t="s">
        <v>1</v>
      </c>
      <c r="F10" s="113" t="s">
        <v>4</v>
      </c>
      <c r="G10" s="114" t="s">
        <v>141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103">
        <v>2009</v>
      </c>
      <c r="D11" s="103">
        <v>2010</v>
      </c>
      <c r="E11" s="113"/>
      <c r="F11" s="113"/>
      <c r="G11" s="103">
        <v>2009</v>
      </c>
      <c r="H11" s="103">
        <v>2010</v>
      </c>
      <c r="I11" s="113"/>
      <c r="J11" s="113"/>
      <c r="K11" s="16"/>
      <c r="N11" s="2"/>
    </row>
    <row r="12" spans="1:14">
      <c r="A12" s="14"/>
      <c r="B12" s="9"/>
      <c r="C12" s="103"/>
      <c r="D12" s="103"/>
      <c r="E12" s="103"/>
      <c r="F12" s="103"/>
      <c r="G12" s="103"/>
      <c r="H12" s="103"/>
      <c r="I12" s="103"/>
      <c r="J12" s="103"/>
      <c r="K12" s="16"/>
    </row>
    <row r="13" spans="1:14">
      <c r="A13" s="14"/>
      <c r="B13" s="10" t="s">
        <v>61</v>
      </c>
      <c r="C13" s="23">
        <f>+'Resumen importaciones totales'!C13</f>
        <v>11531.093251530019</v>
      </c>
      <c r="D13" s="23">
        <f>+'Resumen importaciones totales'!D13</f>
        <v>14441.043764700104</v>
      </c>
      <c r="E13" s="25">
        <f>IF(OR(OR(D13=0,C13=0),D13=""),"",(D13/C13-1)*100)</f>
        <v>25.235686241492971</v>
      </c>
      <c r="F13" s="25">
        <f>(D13/D$13)*100</f>
        <v>100</v>
      </c>
      <c r="G13" s="23">
        <f>+'Resumen importaciones totales'!G13</f>
        <v>1265.9982494300002</v>
      </c>
      <c r="H13" s="23">
        <f>+'Resumen importaciones totales'!H13</f>
        <v>1619.3198718299989</v>
      </c>
      <c r="I13" s="25">
        <f>IF(OR(OR(H13=0,G13=0),H13=""),"",(H13/G13-1)*100)</f>
        <v>27.908539570183244</v>
      </c>
      <c r="J13" s="25">
        <f>(H13/H$13)*100</f>
        <v>100</v>
      </c>
      <c r="K13" s="16"/>
    </row>
    <row r="14" spans="1:14">
      <c r="A14" s="14"/>
      <c r="B14" s="9"/>
      <c r="C14" s="84"/>
      <c r="D14" s="84"/>
      <c r="E14" s="85"/>
      <c r="F14" s="85"/>
      <c r="G14" s="85"/>
      <c r="H14" s="85"/>
      <c r="I14" s="85"/>
      <c r="J14" s="85"/>
      <c r="K14" s="16"/>
    </row>
    <row r="15" spans="1:14">
      <c r="A15" s="14"/>
      <c r="B15" s="10" t="s">
        <v>63</v>
      </c>
      <c r="C15" s="86"/>
      <c r="D15" s="86"/>
      <c r="E15" s="87"/>
      <c r="F15" s="87"/>
      <c r="G15" s="87"/>
      <c r="H15" s="87"/>
      <c r="I15" s="87"/>
      <c r="J15" s="87"/>
      <c r="K15" s="16"/>
    </row>
    <row r="16" spans="1:14">
      <c r="A16" s="14"/>
      <c r="B16" s="9" t="str">
        <f>+[6]Aumentaron!B2</f>
        <v>Estados Unidos</v>
      </c>
      <c r="C16" s="21">
        <f>+[6]Aumentaron!C2</f>
        <v>3156.2814957801343</v>
      </c>
      <c r="D16" s="23">
        <f>+[6]Aumentaron!D2</f>
        <v>3830.1523513202592</v>
      </c>
      <c r="E16" s="22">
        <f t="shared" ref="E16:E37" si="0">IF(OR(OR(D16=0,C16=0),D16=""),"",(D16/C16-1)*100)</f>
        <v>21.350150689698388</v>
      </c>
      <c r="F16" s="22">
        <f t="shared" ref="F16:F37" si="1">(D16/D$13)*100</f>
        <v>26.522683635117421</v>
      </c>
      <c r="G16" s="21">
        <f>+[6]Aumentaron!E2</f>
        <v>353.44477575999798</v>
      </c>
      <c r="H16" s="23">
        <f>+[6]Aumentaron!F2</f>
        <v>440.31103086999906</v>
      </c>
      <c r="I16" s="22">
        <f t="shared" ref="I16:I36" si="2">IF(OR(OR(H16=0,G16=0),H16=""),"",(H16/G16-1)*100)</f>
        <v>24.57703750839606</v>
      </c>
      <c r="J16" s="22">
        <f t="shared" ref="J16:J37" si="3">(H16/H$13)*100</f>
        <v>27.191108966778877</v>
      </c>
      <c r="K16" s="16"/>
    </row>
    <row r="17" spans="1:11">
      <c r="A17" s="14"/>
      <c r="B17" s="9" t="str">
        <f>+[6]Aumentaron!B3</f>
        <v>Mexico</v>
      </c>
      <c r="C17" s="21">
        <f>+[6]Aumentaron!C3</f>
        <v>693.01816691999795</v>
      </c>
      <c r="D17" s="23">
        <f>+[6]Aumentaron!D3</f>
        <v>1334.4701917100074</v>
      </c>
      <c r="E17" s="22">
        <f t="shared" si="0"/>
        <v>92.559193309582994</v>
      </c>
      <c r="F17" s="22">
        <f t="shared" si="1"/>
        <v>9.2408153693987529</v>
      </c>
      <c r="G17" s="21">
        <f>+[6]Aumentaron!E3</f>
        <v>129.07881555999987</v>
      </c>
      <c r="H17" s="23">
        <f>+[6]Aumentaron!F3</f>
        <v>182.06529470999988</v>
      </c>
      <c r="I17" s="22">
        <f t="shared" si="2"/>
        <v>41.049709760754837</v>
      </c>
      <c r="J17" s="22">
        <f t="shared" si="3"/>
        <v>11.243318746175039</v>
      </c>
      <c r="K17" s="16"/>
    </row>
    <row r="18" spans="1:11">
      <c r="A18" s="14"/>
      <c r="B18" s="9" t="str">
        <f>+[6]Aumentaron!B4</f>
        <v>China</v>
      </c>
      <c r="C18" s="21">
        <f>+[6]Aumentaron!C4</f>
        <v>947.08100767002554</v>
      </c>
      <c r="D18" s="23">
        <f>+[6]Aumentaron!D4</f>
        <v>1465.6045422900204</v>
      </c>
      <c r="E18" s="22">
        <f t="shared" si="0"/>
        <v>54.749649757590177</v>
      </c>
      <c r="F18" s="22">
        <f t="shared" si="1"/>
        <v>10.148882353452631</v>
      </c>
      <c r="G18" s="21">
        <f>+[6]Aumentaron!E4</f>
        <v>117.40006634000021</v>
      </c>
      <c r="H18" s="23">
        <f>+[6]Aumentaron!F4</f>
        <v>211.85620134000033</v>
      </c>
      <c r="I18" s="22">
        <f t="shared" si="2"/>
        <v>80.456628300743375</v>
      </c>
      <c r="J18" s="22">
        <f t="shared" si="3"/>
        <v>13.083035972416058</v>
      </c>
      <c r="K18" s="16"/>
    </row>
    <row r="19" spans="1:11">
      <c r="A19" s="14"/>
      <c r="B19" s="9" t="str">
        <f>+[6]Aumentaron!B5</f>
        <v>Corea del Sur</v>
      </c>
      <c r="C19" s="21">
        <f>+[6]Aumentaron!C5</f>
        <v>342.91103929000161</v>
      </c>
      <c r="D19" s="23">
        <f>+[6]Aumentaron!D5</f>
        <v>530.73787748000029</v>
      </c>
      <c r="E19" s="22">
        <f t="shared" si="0"/>
        <v>54.774217411867163</v>
      </c>
      <c r="F19" s="22">
        <f t="shared" si="1"/>
        <v>3.6752044113137003</v>
      </c>
      <c r="G19" s="21">
        <f>+[6]Aumentaron!E5</f>
        <v>43.734521489999949</v>
      </c>
      <c r="H19" s="23">
        <f>+[6]Aumentaron!F5</f>
        <v>47.638530089999996</v>
      </c>
      <c r="I19" s="22">
        <f t="shared" si="2"/>
        <v>8.9266064129516423</v>
      </c>
      <c r="J19" s="22">
        <f t="shared" si="3"/>
        <v>2.9418851036616709</v>
      </c>
      <c r="K19" s="16"/>
    </row>
    <row r="20" spans="1:11">
      <c r="A20" s="14"/>
      <c r="B20" s="9" t="str">
        <f>+[6]Aumentaron!B6</f>
        <v>Panama</v>
      </c>
      <c r="C20" s="21">
        <f>+[6]Aumentaron!C6</f>
        <v>298.61566057999863</v>
      </c>
      <c r="D20" s="23">
        <f>+[6]Aumentaron!D6</f>
        <v>486.12565784999367</v>
      </c>
      <c r="E20" s="22">
        <f t="shared" si="0"/>
        <v>62.79308891763948</v>
      </c>
      <c r="F20" s="22">
        <f t="shared" si="1"/>
        <v>3.3662778520087739</v>
      </c>
      <c r="G20" s="21">
        <f>+[6]Aumentaron!E6</f>
        <v>24.495274549999998</v>
      </c>
      <c r="H20" s="23">
        <f>+[6]Aumentaron!F6</f>
        <v>34.806388509999934</v>
      </c>
      <c r="I20" s="22">
        <f t="shared" si="2"/>
        <v>42.094298387849413</v>
      </c>
      <c r="J20" s="22">
        <f t="shared" si="3"/>
        <v>2.1494449068092467</v>
      </c>
      <c r="K20" s="16"/>
    </row>
    <row r="21" spans="1:11">
      <c r="A21" s="14"/>
      <c r="B21" s="9" t="str">
        <f>+[6]Aumentaron!B7</f>
        <v>Alemania</v>
      </c>
      <c r="C21" s="21">
        <f>+[6]Aumentaron!C7</f>
        <v>443.60360479999673</v>
      </c>
      <c r="D21" s="23">
        <f>+[6]Aumentaron!D7</f>
        <v>597.43877094000641</v>
      </c>
      <c r="E21" s="22">
        <f t="shared" si="0"/>
        <v>34.67852029952909</v>
      </c>
      <c r="F21" s="22">
        <f t="shared" si="1"/>
        <v>4.1370885697361732</v>
      </c>
      <c r="G21" s="21">
        <f>+[6]Aumentaron!E7</f>
        <v>90.055988329999821</v>
      </c>
      <c r="H21" s="23">
        <f>+[6]Aumentaron!F7</f>
        <v>53.04433387999989</v>
      </c>
      <c r="I21" s="22">
        <f t="shared" si="2"/>
        <v>-41.098493433190662</v>
      </c>
      <c r="J21" s="22">
        <f t="shared" si="3"/>
        <v>3.2757168489542652</v>
      </c>
      <c r="K21" s="16"/>
    </row>
    <row r="22" spans="1:11">
      <c r="A22" s="14"/>
      <c r="B22" s="9" t="str">
        <f>+[6]Aumentaron!B8</f>
        <v>Japon</v>
      </c>
      <c r="C22" s="21">
        <f>+[6]Aumentaron!C8</f>
        <v>292.88589739999981</v>
      </c>
      <c r="D22" s="23">
        <f>+[6]Aumentaron!D8</f>
        <v>429.23011618999641</v>
      </c>
      <c r="E22" s="22">
        <f t="shared" si="0"/>
        <v>46.551991748441445</v>
      </c>
      <c r="F22" s="22">
        <f t="shared" si="1"/>
        <v>2.9722928839756908</v>
      </c>
      <c r="G22" s="21">
        <f>+[6]Aumentaron!E8</f>
        <v>32.753042430000121</v>
      </c>
      <c r="H22" s="23">
        <f>+[6]Aumentaron!F8</f>
        <v>55.08171762000012</v>
      </c>
      <c r="I22" s="22">
        <f t="shared" si="2"/>
        <v>68.172827723472992</v>
      </c>
      <c r="J22" s="22">
        <f t="shared" si="3"/>
        <v>3.4015340994828946</v>
      </c>
      <c r="K22" s="16"/>
    </row>
    <row r="23" spans="1:11">
      <c r="A23" s="14"/>
      <c r="B23" s="9" t="str">
        <f>+[6]Aumentaron!B9</f>
        <v>Belgica</v>
      </c>
      <c r="C23" s="21">
        <f>+[6]Aumentaron!C9</f>
        <v>280.69137483999691</v>
      </c>
      <c r="D23" s="23">
        <f>+[6]Aumentaron!D9</f>
        <v>400.55002604000157</v>
      </c>
      <c r="E23" s="22">
        <f t="shared" si="0"/>
        <v>42.701223458799873</v>
      </c>
      <c r="F23" s="22">
        <f t="shared" si="1"/>
        <v>2.7736916566869758</v>
      </c>
      <c r="G23" s="21">
        <f>+[6]Aumentaron!E9</f>
        <v>35.367110990000093</v>
      </c>
      <c r="H23" s="23">
        <f>+[6]Aumentaron!F9</f>
        <v>50.788982489999938</v>
      </c>
      <c r="I23" s="22">
        <f t="shared" si="2"/>
        <v>43.605120882959071</v>
      </c>
      <c r="J23" s="22">
        <f t="shared" si="3"/>
        <v>3.1364391540877676</v>
      </c>
      <c r="K23" s="16"/>
    </row>
    <row r="24" spans="1:11">
      <c r="A24" s="14"/>
      <c r="B24" s="9" t="str">
        <f>+[6]Aumentaron!B10</f>
        <v>El Salvador</v>
      </c>
      <c r="C24" s="21">
        <f>+[6]Aumentaron!C10</f>
        <v>2.1867102299999992</v>
      </c>
      <c r="D24" s="23">
        <f>+[6]Aumentaron!D10</f>
        <v>100.84491432000006</v>
      </c>
      <c r="E24" s="22">
        <f t="shared" si="0"/>
        <v>4511.7182302659321</v>
      </c>
      <c r="F24" s="22">
        <f t="shared" si="1"/>
        <v>0.69832150614006749</v>
      </c>
      <c r="G24" s="21">
        <f>+[6]Aumentaron!E10</f>
        <v>0.1601043</v>
      </c>
      <c r="H24" s="23">
        <f>+[6]Aumentaron!F10</f>
        <v>0.41210184999999994</v>
      </c>
      <c r="I24" s="22">
        <f t="shared" si="2"/>
        <v>157.39586631964281</v>
      </c>
      <c r="J24" s="22">
        <f t="shared" si="3"/>
        <v>2.5449070141668938E-2</v>
      </c>
      <c r="K24" s="16"/>
    </row>
    <row r="25" spans="1:11">
      <c r="A25" s="14"/>
      <c r="B25" s="9" t="str">
        <f>+[6]Aumentaron!B11</f>
        <v>Chile</v>
      </c>
      <c r="C25" s="21">
        <f>+[6]Aumentaron!C11</f>
        <v>301.00626257000249</v>
      </c>
      <c r="D25" s="23">
        <f>+[6]Aumentaron!D11</f>
        <v>393.7296583400007</v>
      </c>
      <c r="E25" s="22">
        <f t="shared" si="0"/>
        <v>30.804473959552347</v>
      </c>
      <c r="F25" s="22">
        <f t="shared" si="1"/>
        <v>2.7264626072419995</v>
      </c>
      <c r="G25" s="21">
        <f>+[6]Aumentaron!E11</f>
        <v>21.59145208000001</v>
      </c>
      <c r="H25" s="23">
        <f>+[6]Aumentaron!F11</f>
        <v>38.529222639999972</v>
      </c>
      <c r="I25" s="22">
        <f t="shared" si="2"/>
        <v>78.446648688761812</v>
      </c>
      <c r="J25" s="22">
        <f t="shared" si="3"/>
        <v>2.3793460026188629</v>
      </c>
      <c r="K25" s="16"/>
    </row>
    <row r="26" spans="1:11">
      <c r="A26" s="14"/>
      <c r="B26" s="9" t="str">
        <f>+[6]Aumentaron!B12</f>
        <v>Argentina</v>
      </c>
      <c r="C26" s="21">
        <f>+[6]Aumentaron!C12</f>
        <v>214.60362779000025</v>
      </c>
      <c r="D26" s="23">
        <f>+[6]Aumentaron!D12</f>
        <v>292.26070448000104</v>
      </c>
      <c r="E26" s="22">
        <f t="shared" si="0"/>
        <v>36.18628328407938</v>
      </c>
      <c r="F26" s="22">
        <f t="shared" si="1"/>
        <v>2.0238198099946718</v>
      </c>
      <c r="G26" s="21">
        <f>+[6]Aumentaron!E12</f>
        <v>17.582803219999992</v>
      </c>
      <c r="H26" s="23">
        <f>+[6]Aumentaron!F12</f>
        <v>21.935889700000001</v>
      </c>
      <c r="I26" s="22">
        <f t="shared" si="2"/>
        <v>24.757636342357991</v>
      </c>
      <c r="J26" s="22">
        <f t="shared" si="3"/>
        <v>1.3546359852430006</v>
      </c>
      <c r="K26" s="16"/>
    </row>
    <row r="27" spans="1:11">
      <c r="A27" s="14"/>
      <c r="B27" s="9" t="str">
        <f>+[6]Aumentaron!B13</f>
        <v>Costa Rica</v>
      </c>
      <c r="C27" s="21">
        <f>+[6]Aumentaron!C13</f>
        <v>13.631259580000002</v>
      </c>
      <c r="D27" s="23">
        <f>+[6]Aumentaron!D13</f>
        <v>77.157584540000244</v>
      </c>
      <c r="E27" s="22">
        <f t="shared" si="0"/>
        <v>466.03415177572487</v>
      </c>
      <c r="F27" s="22">
        <f t="shared" si="1"/>
        <v>0.53429368262566568</v>
      </c>
      <c r="G27" s="21">
        <f>+[6]Aumentaron!E13</f>
        <v>1.5620463999999992</v>
      </c>
      <c r="H27" s="23">
        <f>+[6]Aumentaron!F13</f>
        <v>7.4450133999999979</v>
      </c>
      <c r="I27" s="22">
        <f t="shared" si="2"/>
        <v>376.61922206664292</v>
      </c>
      <c r="J27" s="22">
        <f t="shared" si="3"/>
        <v>0.45976175118424029</v>
      </c>
      <c r="K27" s="16"/>
    </row>
    <row r="28" spans="1:11">
      <c r="A28" s="14"/>
      <c r="B28" s="9" t="str">
        <f>+[6]Aumentaron!B14</f>
        <v>India</v>
      </c>
      <c r="C28" s="21">
        <f>+[6]Aumentaron!C14</f>
        <v>101.25992952000009</v>
      </c>
      <c r="D28" s="23">
        <f>+[6]Aumentaron!D14</f>
        <v>164.53729064000007</v>
      </c>
      <c r="E28" s="22">
        <f t="shared" si="0"/>
        <v>62.49003077520603</v>
      </c>
      <c r="F28" s="22">
        <f t="shared" si="1"/>
        <v>1.1393725642061787</v>
      </c>
      <c r="G28" s="21">
        <f>+[6]Aumentaron!E14</f>
        <v>11.700442419999991</v>
      </c>
      <c r="H28" s="23">
        <f>+[6]Aumentaron!F14</f>
        <v>18.440713999999989</v>
      </c>
      <c r="I28" s="22">
        <f t="shared" si="2"/>
        <v>57.606980471769241</v>
      </c>
      <c r="J28" s="22">
        <f t="shared" si="3"/>
        <v>1.1387937813151194</v>
      </c>
      <c r="K28" s="16"/>
    </row>
    <row r="29" spans="1:11">
      <c r="A29" s="14"/>
      <c r="B29" s="9" t="str">
        <f>+[6]Aumentaron!B15</f>
        <v>Hong Kong</v>
      </c>
      <c r="C29" s="21">
        <f>+[6]Aumentaron!C15</f>
        <v>182.71335990000009</v>
      </c>
      <c r="D29" s="23">
        <f>+[6]Aumentaron!D15</f>
        <v>244.22766529000123</v>
      </c>
      <c r="E29" s="22">
        <f t="shared" si="0"/>
        <v>33.667108646936498</v>
      </c>
      <c r="F29" s="22">
        <f t="shared" si="1"/>
        <v>1.6912050767894968</v>
      </c>
      <c r="G29" s="21">
        <f>+[6]Aumentaron!E15</f>
        <v>21.979945909999987</v>
      </c>
      <c r="H29" s="23">
        <f>+[6]Aumentaron!F15</f>
        <v>23.499340849999989</v>
      </c>
      <c r="I29" s="22">
        <f t="shared" si="2"/>
        <v>6.9126418519016353</v>
      </c>
      <c r="J29" s="22">
        <f t="shared" si="3"/>
        <v>1.4511858502324995</v>
      </c>
      <c r="K29" s="16"/>
    </row>
    <row r="30" spans="1:11">
      <c r="A30" s="14"/>
      <c r="B30" s="9" t="str">
        <f>+[6]Aumentaron!B16</f>
        <v>Canada</v>
      </c>
      <c r="C30" s="21">
        <f>+[6]Aumentaron!C16</f>
        <v>136.03105163000001</v>
      </c>
      <c r="D30" s="23">
        <f>+[6]Aumentaron!D16</f>
        <v>196.2052192899998</v>
      </c>
      <c r="E30" s="22">
        <f t="shared" si="0"/>
        <v>44.235611604085491</v>
      </c>
      <c r="F30" s="22">
        <f t="shared" si="1"/>
        <v>1.3586636983235705</v>
      </c>
      <c r="G30" s="21">
        <f>+[6]Aumentaron!E16</f>
        <v>12.080241619999999</v>
      </c>
      <c r="H30" s="23">
        <f>+[6]Aumentaron!F16</f>
        <v>12.594841329999998</v>
      </c>
      <c r="I30" s="22">
        <f t="shared" si="2"/>
        <v>4.2598461701960577</v>
      </c>
      <c r="J30" s="22">
        <f t="shared" si="3"/>
        <v>0.77778588091842071</v>
      </c>
      <c r="K30" s="16"/>
    </row>
    <row r="31" spans="1:11">
      <c r="A31" s="14"/>
      <c r="B31" s="9" t="str">
        <f>+[6]Aumentaron!B17</f>
        <v>Italia</v>
      </c>
      <c r="C31" s="21">
        <f>+[6]Aumentaron!C17</f>
        <v>175.86842775999878</v>
      </c>
      <c r="D31" s="23">
        <f>+[6]Aumentaron!D17</f>
        <v>227.18918825999987</v>
      </c>
      <c r="E31" s="22">
        <f t="shared" si="0"/>
        <v>29.181338091016904</v>
      </c>
      <c r="F31" s="22">
        <f t="shared" si="1"/>
        <v>1.5732186119077101</v>
      </c>
      <c r="G31" s="21">
        <f>+[6]Aumentaron!E17</f>
        <v>16.01444149000001</v>
      </c>
      <c r="H31" s="23">
        <f>+[6]Aumentaron!F17</f>
        <v>23.233726679999979</v>
      </c>
      <c r="I31" s="22">
        <f t="shared" si="2"/>
        <v>45.079843680517669</v>
      </c>
      <c r="J31" s="22">
        <f t="shared" si="3"/>
        <v>1.4347830273794804</v>
      </c>
      <c r="K31" s="16"/>
    </row>
    <row r="32" spans="1:11">
      <c r="A32" s="14"/>
      <c r="B32" s="9" t="str">
        <f>+[6]Aumentaron!B18</f>
        <v>Trinidad y Tobago</v>
      </c>
      <c r="C32" s="21">
        <f>+[6]Aumentaron!C18</f>
        <v>2.9029367799999992</v>
      </c>
      <c r="D32" s="23">
        <f>+[6]Aumentaron!D18</f>
        <v>46.48259067</v>
      </c>
      <c r="E32" s="22">
        <f t="shared" si="0"/>
        <v>1501.2264197500026</v>
      </c>
      <c r="F32" s="22">
        <f t="shared" si="1"/>
        <v>0.32187833114682968</v>
      </c>
      <c r="G32" s="21">
        <f>+[6]Aumentaron!E18</f>
        <v>0.14414831</v>
      </c>
      <c r="H32" s="23">
        <f>+[6]Aumentaron!F18</f>
        <v>32.965943709999998</v>
      </c>
      <c r="I32" s="22">
        <f t="shared" si="2"/>
        <v>22769.462507052631</v>
      </c>
      <c r="J32" s="22">
        <f t="shared" si="3"/>
        <v>2.0357894869001436</v>
      </c>
      <c r="K32" s="16"/>
    </row>
    <row r="33" spans="1:13">
      <c r="A33" s="14"/>
      <c r="B33" s="9" t="str">
        <f>+[6]Aumentaron!B19</f>
        <v>Otros</v>
      </c>
      <c r="C33" s="21">
        <f>+[6]Aumentaron!C19</f>
        <v>3.5448850000000004E-2</v>
      </c>
      <c r="D33" s="23">
        <f>+[6]Aumentaron!D19</f>
        <v>41.594844389999999</v>
      </c>
      <c r="E33" s="22">
        <f t="shared" si="0"/>
        <v>117237.64110824469</v>
      </c>
      <c r="F33" s="22">
        <f t="shared" si="1"/>
        <v>0.28803211919954874</v>
      </c>
      <c r="G33" s="21">
        <f>+[6]Aumentaron!E19</f>
        <v>0</v>
      </c>
      <c r="H33" s="23">
        <f>+[6]Aumentaron!F19</f>
        <v>2.5943899999999998E-3</v>
      </c>
      <c r="I33" s="22" t="str">
        <f t="shared" si="2"/>
        <v/>
      </c>
      <c r="J33" s="22">
        <f t="shared" si="3"/>
        <v>1.6021479419431016E-4</v>
      </c>
      <c r="K33" s="16"/>
    </row>
    <row r="34" spans="1:13">
      <c r="A34" s="14"/>
      <c r="B34" s="9" t="str">
        <f>+[6]Aumentaron!B20</f>
        <v>Tailandia</v>
      </c>
      <c r="C34" s="21">
        <f>+[6]Aumentaron!C20</f>
        <v>46.988682749999882</v>
      </c>
      <c r="D34" s="23">
        <f>+[6]Aumentaron!D20</f>
        <v>86.226018029999963</v>
      </c>
      <c r="E34" s="22">
        <f t="shared" si="0"/>
        <v>83.503799178112061</v>
      </c>
      <c r="F34" s="22">
        <f t="shared" si="1"/>
        <v>0.59708992947429529</v>
      </c>
      <c r="G34" s="21">
        <f>+[6]Aumentaron!E20</f>
        <v>6.0034183900000055</v>
      </c>
      <c r="H34" s="23">
        <f>+[6]Aumentaron!F20</f>
        <v>22.138080739999946</v>
      </c>
      <c r="I34" s="22">
        <f t="shared" si="2"/>
        <v>268.75791926939019</v>
      </c>
      <c r="J34" s="22">
        <f t="shared" si="3"/>
        <v>1.3671221557345323</v>
      </c>
      <c r="K34" s="16"/>
    </row>
    <row r="35" spans="1:13">
      <c r="A35" s="14"/>
      <c r="B35" s="9" t="str">
        <f>+[6]Aumentaron!B21</f>
        <v>Ecuador</v>
      </c>
      <c r="C35" s="21">
        <f>+[6]Aumentaron!C21</f>
        <v>104.32482323999999</v>
      </c>
      <c r="D35" s="23">
        <f>+[6]Aumentaron!D21</f>
        <v>135.0873852900001</v>
      </c>
      <c r="E35" s="22">
        <f t="shared" si="0"/>
        <v>29.487288925695676</v>
      </c>
      <c r="F35" s="22">
        <f t="shared" si="1"/>
        <v>0.93544059204508234</v>
      </c>
      <c r="G35" s="21">
        <f>+[6]Aumentaron!E21</f>
        <v>6.926395170000001</v>
      </c>
      <c r="H35" s="23">
        <f>+[6]Aumentaron!F21</f>
        <v>28.060537030000006</v>
      </c>
      <c r="I35" s="22">
        <f t="shared" si="2"/>
        <v>305.12469100142317</v>
      </c>
      <c r="J35" s="22">
        <f t="shared" si="3"/>
        <v>1.7328594256234686</v>
      </c>
      <c r="K35" s="16"/>
    </row>
    <row r="36" spans="1:13">
      <c r="A36" s="14"/>
      <c r="B36" s="9" t="s">
        <v>5</v>
      </c>
      <c r="C36" s="21">
        <f>+[6]Aumentaron!C22</f>
        <v>218.94968342999945</v>
      </c>
      <c r="D36" s="23">
        <f>+[6]Aumentaron!D22</f>
        <v>247.0352709000004</v>
      </c>
      <c r="E36" s="22">
        <f t="shared" si="0"/>
        <v>12.827416340604202</v>
      </c>
      <c r="F36" s="22">
        <f t="shared" si="1"/>
        <v>1.7106469236237412</v>
      </c>
      <c r="G36" s="21">
        <f>+[6]Aumentaron!E22</f>
        <v>23.505914520000008</v>
      </c>
      <c r="H36" s="23">
        <f>+[6]Aumentaron!F22</f>
        <v>29.547329010000009</v>
      </c>
      <c r="I36" s="22">
        <f t="shared" si="2"/>
        <v>25.701678123859683</v>
      </c>
      <c r="J36" s="22">
        <f t="shared" si="3"/>
        <v>1.8246752555817445</v>
      </c>
      <c r="K36" s="16"/>
    </row>
    <row r="37" spans="1:13">
      <c r="A37" s="14"/>
      <c r="B37" s="10" t="s">
        <v>27</v>
      </c>
      <c r="C37" s="23">
        <f>SUM(C16:C36)</f>
        <v>7955.5904513101523</v>
      </c>
      <c r="D37" s="23">
        <f>SUM(D16:D36)</f>
        <v>11326.887868260288</v>
      </c>
      <c r="E37" s="25">
        <f t="shared" si="0"/>
        <v>42.376457631688915</v>
      </c>
      <c r="F37" s="25">
        <f t="shared" si="1"/>
        <v>78.435382184408979</v>
      </c>
      <c r="G37" s="25">
        <f>SUM(G16:G36)</f>
        <v>965.58094927999775</v>
      </c>
      <c r="H37" s="25">
        <f>SUM(H16:H36)</f>
        <v>1334.397814839999</v>
      </c>
      <c r="I37" s="25">
        <f>IF(OR(OR(H37=0,G37=0),H37=""),"",(H37/G37-1)*100)</f>
        <v>38.196369329264002</v>
      </c>
      <c r="J37" s="25">
        <f t="shared" si="3"/>
        <v>82.404831686033191</v>
      </c>
      <c r="K37" s="16"/>
    </row>
    <row r="38" spans="1:1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tr">
        <f>IF(F38="","",1)</f>
        <v/>
      </c>
    </row>
    <row r="39" spans="1:13">
      <c r="A39" s="17"/>
      <c r="B39" s="39" t="s">
        <v>25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3">
      <c r="B40" s="20"/>
      <c r="C40" s="20"/>
      <c r="D40" s="20"/>
      <c r="E40" s="20"/>
    </row>
    <row r="41" spans="1:13">
      <c r="B41" s="20"/>
      <c r="C41" s="20"/>
      <c r="D41" s="20"/>
      <c r="E41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Normal="100" zoomScaleSheetLayoutView="100" workbookViewId="0">
      <pane ySplit="11" topLeftCell="A12" activePane="bottomLeft" state="frozen"/>
      <selection pane="bottomLeft" activeCell="C13" sqref="C13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58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57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3"/>
      <c r="D9" s="103"/>
      <c r="E9" s="103"/>
      <c r="F9" s="103"/>
      <c r="G9" s="103"/>
      <c r="H9" s="103"/>
      <c r="I9" s="8"/>
      <c r="J9" s="8"/>
      <c r="K9" s="16"/>
    </row>
    <row r="10" spans="1:14" ht="15.75" customHeight="1">
      <c r="A10" s="14"/>
      <c r="B10" s="9"/>
      <c r="C10" s="114" t="s">
        <v>140</v>
      </c>
      <c r="D10" s="114"/>
      <c r="E10" s="113" t="s">
        <v>1</v>
      </c>
      <c r="F10" s="113" t="s">
        <v>4</v>
      </c>
      <c r="G10" s="114" t="s">
        <v>141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103">
        <v>2009</v>
      </c>
      <c r="D11" s="103">
        <v>2010</v>
      </c>
      <c r="E11" s="113"/>
      <c r="F11" s="113"/>
      <c r="G11" s="103">
        <v>2009</v>
      </c>
      <c r="H11" s="103">
        <v>2010</v>
      </c>
      <c r="I11" s="113"/>
      <c r="J11" s="113"/>
      <c r="K11" s="16"/>
      <c r="N11" s="2"/>
    </row>
    <row r="12" spans="1:14">
      <c r="A12" s="14"/>
      <c r="B12" s="9"/>
      <c r="C12" s="103"/>
      <c r="D12" s="103"/>
      <c r="E12" s="103"/>
      <c r="F12" s="103"/>
      <c r="G12" s="103"/>
      <c r="H12" s="103"/>
      <c r="I12" s="103"/>
      <c r="J12" s="103"/>
      <c r="K12" s="16"/>
    </row>
    <row r="13" spans="1:14">
      <c r="A13" s="14"/>
      <c r="B13" s="10" t="s">
        <v>26</v>
      </c>
      <c r="C13" s="25">
        <f>+'Resumen importaciones totales'!C13</f>
        <v>11531.093251530019</v>
      </c>
      <c r="D13" s="25">
        <f>+'Resumen importaciones totales'!D13</f>
        <v>14441.043764700104</v>
      </c>
      <c r="E13" s="25">
        <f>IF(OR(OR(D13=0,C13=0),D13=""),"",(D13/C13-1)*100)</f>
        <v>25.235686241492971</v>
      </c>
      <c r="F13" s="23">
        <f>(D13/D$13)*100</f>
        <v>100</v>
      </c>
      <c r="G13" s="25">
        <f>+'Resumen importaciones totales'!G13</f>
        <v>1265.9982494300002</v>
      </c>
      <c r="H13" s="25">
        <f>+'Resumen importaciones totales'!H13</f>
        <v>1619.3198718299989</v>
      </c>
      <c r="I13" s="25">
        <f>IF(OR(OR(H13=0,G13=0),H13=""),"",(H13/G13-1)*100)</f>
        <v>27.908539570183244</v>
      </c>
      <c r="J13" s="23">
        <f>(H13/H$13)*100</f>
        <v>100</v>
      </c>
      <c r="K13" s="16"/>
    </row>
    <row r="14" spans="1:14">
      <c r="A14" s="14"/>
      <c r="B14" s="10" t="s">
        <v>38</v>
      </c>
      <c r="C14" s="22">
        <f>+C15+C19</f>
        <v>2376.4558729999999</v>
      </c>
      <c r="D14" s="25">
        <f>+D15+D19</f>
        <v>3158.177103</v>
      </c>
      <c r="E14" s="22">
        <f t="shared" ref="E14:E45" si="0">IF(OR(OR(D14=0,C14=0),D14=""),"",(D14/C14-1)*100)</f>
        <v>32.894413857269214</v>
      </c>
      <c r="F14" s="22">
        <f t="shared" ref="F14:F45" si="1">(D14/D$13)*100</f>
        <v>21.869451782425131</v>
      </c>
      <c r="G14" s="22">
        <f>+G15+G19</f>
        <v>260.95071000000002</v>
      </c>
      <c r="H14" s="25">
        <f t="shared" ref="H14" si="2">+H15+H19</f>
        <v>45.785381000000001</v>
      </c>
      <c r="I14" s="22">
        <f t="shared" ref="I14:I45" si="3">IF(OR(OR(H14=0,G14=0),H14=""),"",(H14/G14-1)*100)</f>
        <v>-82.454394931517911</v>
      </c>
      <c r="J14" s="22">
        <f>(H14/H$13)*100</f>
        <v>2.8274451389432893</v>
      </c>
      <c r="K14" s="16"/>
    </row>
    <row r="15" spans="1:14">
      <c r="A15" s="14"/>
      <c r="B15" s="10" t="s">
        <v>41</v>
      </c>
      <c r="C15" s="22">
        <f>+SUM(C16:C18)</f>
        <v>238.20245199999999</v>
      </c>
      <c r="D15" s="25">
        <f>+SUM(D16:D18)</f>
        <v>294.89809400000001</v>
      </c>
      <c r="E15" s="22">
        <f t="shared" si="0"/>
        <v>23.801451884298828</v>
      </c>
      <c r="F15" s="22">
        <f>(D15/D$13)*100</f>
        <v>2.042082960241788</v>
      </c>
      <c r="G15" s="22">
        <f t="shared" ref="G15:H15" si="4">+SUM(G16:G18)</f>
        <v>20.514488</v>
      </c>
      <c r="H15" s="25">
        <f t="shared" si="4"/>
        <v>45.783371000000002</v>
      </c>
      <c r="I15" s="22">
        <f t="shared" si="3"/>
        <v>123.17579166489558</v>
      </c>
      <c r="J15" s="22">
        <f t="shared" ref="J15:J45" si="5">(H15/H$13)*100</f>
        <v>2.8273210127570447</v>
      </c>
      <c r="K15" s="16"/>
    </row>
    <row r="16" spans="1:14">
      <c r="A16" s="14" t="s">
        <v>48</v>
      </c>
      <c r="B16" s="9" t="str">
        <f>CONCATENATE(A16,[8]resumen_pais_origen!B7)</f>
        <v xml:space="preserve">   Bolivia</v>
      </c>
      <c r="C16" s="22">
        <f>[8]resumen_pais_origen!C7/1000000</f>
        <v>2.8706369999999999</v>
      </c>
      <c r="D16" s="25">
        <f>[8]resumen_pais_origen!D7/1000000</f>
        <v>5.1195560000000002</v>
      </c>
      <c r="E16" s="22">
        <f t="shared" si="0"/>
        <v>78.342158900620333</v>
      </c>
      <c r="F16" s="22">
        <f t="shared" si="1"/>
        <v>3.5451426388681942E-2</v>
      </c>
      <c r="G16" s="22">
        <f>[8]resumen_pais_origen!E7/1000000</f>
        <v>0.38379999999999997</v>
      </c>
      <c r="H16" s="25">
        <f>[8]resumen_pais_origen!F7/1000000</f>
        <v>0.98256600000000005</v>
      </c>
      <c r="I16" s="22">
        <f t="shared" si="3"/>
        <v>156.00990099009903</v>
      </c>
      <c r="J16" s="22">
        <f t="shared" si="5"/>
        <v>6.0677696673332303E-2</v>
      </c>
      <c r="K16" s="16"/>
    </row>
    <row r="17" spans="1:11">
      <c r="A17" s="14" t="s">
        <v>48</v>
      </c>
      <c r="B17" s="9" t="str">
        <f>CONCATENATE(A17,[8]resumen_pais_origen!B8)</f>
        <v xml:space="preserve">   Ecuador</v>
      </c>
      <c r="C17" s="22">
        <f>[8]resumen_pais_origen!C8/1000000</f>
        <v>104.32482299999999</v>
      </c>
      <c r="D17" s="25">
        <f>[8]resumen_pais_origen!D8/1000000</f>
        <v>135.08738500000001</v>
      </c>
      <c r="E17" s="22">
        <f t="shared" si="0"/>
        <v>29.487288945604085</v>
      </c>
      <c r="F17" s="22">
        <f t="shared" si="1"/>
        <v>0.9354405900369166</v>
      </c>
      <c r="G17" s="22">
        <f>[8]resumen_pais_origen!E8/1000000</f>
        <v>6.9263950000000003</v>
      </c>
      <c r="H17" s="25">
        <f>[8]resumen_pais_origen!F8/1000000</f>
        <v>28.060537</v>
      </c>
      <c r="I17" s="22">
        <f t="shared" si="3"/>
        <v>305.12470051159369</v>
      </c>
      <c r="J17" s="22">
        <f t="shared" si="5"/>
        <v>1.7328594237708388</v>
      </c>
      <c r="K17" s="16"/>
    </row>
    <row r="18" spans="1:11">
      <c r="A18" s="14" t="s">
        <v>48</v>
      </c>
      <c r="B18" s="9" t="str">
        <f>CONCATENATE(A18,[8]resumen_pais_origen!B9)</f>
        <v xml:space="preserve">   Perú </v>
      </c>
      <c r="C18" s="22">
        <f>[8]resumen_pais_origen!C9/1000000</f>
        <v>131.006992</v>
      </c>
      <c r="D18" s="25">
        <f>[8]resumen_pais_origen!D9/1000000</f>
        <v>154.69115300000001</v>
      </c>
      <c r="E18" s="22">
        <f t="shared" si="0"/>
        <v>18.078547288529467</v>
      </c>
      <c r="F18" s="22">
        <f t="shared" si="1"/>
        <v>1.0711909438161895</v>
      </c>
      <c r="G18" s="22">
        <f>[8]resumen_pais_origen!E9/1000000</f>
        <v>13.204293</v>
      </c>
      <c r="H18" s="25">
        <f>[8]resumen_pais_origen!F9/1000000</f>
        <v>16.740268</v>
      </c>
      <c r="I18" s="22">
        <f t="shared" si="3"/>
        <v>26.778980139262298</v>
      </c>
      <c r="J18" s="22">
        <f t="shared" si="5"/>
        <v>1.0337838923128737</v>
      </c>
      <c r="K18" s="16"/>
    </row>
    <row r="19" spans="1:11">
      <c r="A19" s="14"/>
      <c r="B19" s="10" t="s">
        <v>42</v>
      </c>
      <c r="C19" s="22">
        <f>SUM(C20:C27)</f>
        <v>2138.2534209999999</v>
      </c>
      <c r="D19" s="25">
        <f>SUM(D20:D27)</f>
        <v>2863.2790089999999</v>
      </c>
      <c r="E19" s="22">
        <f t="shared" si="0"/>
        <v>33.907374162456684</v>
      </c>
      <c r="F19" s="22">
        <f t="shared" si="1"/>
        <v>19.827368822183342</v>
      </c>
      <c r="G19" s="22">
        <f>SUM(G20:G27)</f>
        <v>240.43622200000001</v>
      </c>
      <c r="H19" s="25">
        <f>+[9]resumen_pais_destino!F22/1000000</f>
        <v>2.0100000000000001E-3</v>
      </c>
      <c r="I19" s="22">
        <f t="shared" si="3"/>
        <v>-99.999164019471237</v>
      </c>
      <c r="J19" s="22">
        <f t="shared" si="5"/>
        <v>1.2412618624438248E-4</v>
      </c>
      <c r="K19" s="16"/>
    </row>
    <row r="20" spans="1:11">
      <c r="A20" s="14" t="s">
        <v>48</v>
      </c>
      <c r="B20" s="9" t="str">
        <f>CONCATENATE(A20,[8]resumen_pais_origen!B23)</f>
        <v xml:space="preserve">   Argentina</v>
      </c>
      <c r="C20" s="22">
        <f>[8]resumen_pais_origen!C23/1000000</f>
        <v>214.60362799999999</v>
      </c>
      <c r="D20" s="25">
        <f>[8]resumen_pais_origen!D23/1000000</f>
        <v>292.26070399999998</v>
      </c>
      <c r="E20" s="22">
        <f t="shared" si="0"/>
        <v>36.186282927146031</v>
      </c>
      <c r="F20" s="22">
        <f t="shared" si="1"/>
        <v>2.0238198066708053</v>
      </c>
      <c r="G20" s="22">
        <f>[8]resumen_pais_origen!E23/1000000</f>
        <v>17.582802999999998</v>
      </c>
      <c r="H20" s="25">
        <f>[8]resumen_pais_origen!F23/1000000</f>
        <v>21.935890000000001</v>
      </c>
      <c r="I20" s="22">
        <f t="shared" si="3"/>
        <v>24.757639609566251</v>
      </c>
      <c r="J20" s="22">
        <f t="shared" si="5"/>
        <v>1.354636003769297</v>
      </c>
      <c r="K20" s="16"/>
    </row>
    <row r="21" spans="1:11">
      <c r="A21" s="14" t="s">
        <v>48</v>
      </c>
      <c r="B21" s="9" t="str">
        <f>CONCATENATE(A21,[8]resumen_pais_origen!B24)</f>
        <v xml:space="preserve">   Brasil </v>
      </c>
      <c r="C21" s="22">
        <f>[8]resumen_pais_origen!C24/1000000</f>
        <v>706.11268500000006</v>
      </c>
      <c r="D21" s="25">
        <f>[8]resumen_pais_origen!D24/1000000</f>
        <v>709.20161399999995</v>
      </c>
      <c r="E21" s="22">
        <f t="shared" si="0"/>
        <v>0.43745553161955719</v>
      </c>
      <c r="F21" s="22">
        <f t="shared" si="1"/>
        <v>4.9110135358330718</v>
      </c>
      <c r="G21" s="22">
        <f>[8]resumen_pais_origen!E24/1000000</f>
        <v>59.084651999999998</v>
      </c>
      <c r="H21" s="25">
        <f>[8]resumen_pais_origen!F24/1000000</f>
        <v>81.690736000000001</v>
      </c>
      <c r="I21" s="22">
        <f t="shared" si="3"/>
        <v>38.260501221197018</v>
      </c>
      <c r="J21" s="22">
        <f t="shared" si="5"/>
        <v>5.0447559757097915</v>
      </c>
      <c r="K21" s="16"/>
    </row>
    <row r="22" spans="1:11">
      <c r="A22" s="14" t="s">
        <v>48</v>
      </c>
      <c r="B22" s="9" t="str">
        <f>CONCATENATE(A22,[8]resumen_pais_origen!B25)</f>
        <v xml:space="preserve">   Cuba </v>
      </c>
      <c r="C22" s="22">
        <f>[8]resumen_pais_origen!C25/1000000</f>
        <v>2.2112539999999998</v>
      </c>
      <c r="D22" s="25">
        <f>[8]resumen_pais_origen!D25/1000000</f>
        <v>3.2407879999999998</v>
      </c>
      <c r="E22" s="22">
        <f t="shared" si="0"/>
        <v>46.558830419300534</v>
      </c>
      <c r="F22" s="22">
        <f t="shared" si="1"/>
        <v>2.2441508057207255E-2</v>
      </c>
      <c r="G22" s="22">
        <f>[8]resumen_pais_origen!E25/1000000</f>
        <v>8.0037999999999998E-2</v>
      </c>
      <c r="H22" s="25">
        <f>[8]resumen_pais_origen!F25/1000000</f>
        <v>0.57760599999999995</v>
      </c>
      <c r="I22" s="22">
        <f t="shared" si="3"/>
        <v>621.66470926310001</v>
      </c>
      <c r="J22" s="22">
        <f t="shared" si="5"/>
        <v>3.5669666632772525E-2</v>
      </c>
      <c r="K22" s="16"/>
    </row>
    <row r="23" spans="1:11">
      <c r="A23" s="14" t="s">
        <v>48</v>
      </c>
      <c r="B23" s="9" t="str">
        <f>CONCATENATE(A23,[8]resumen_pais_origen!B26)</f>
        <v xml:space="preserve">   Chile </v>
      </c>
      <c r="C23" s="22">
        <f>[8]resumen_pais_origen!C26/1000000</f>
        <v>301.00626299999999</v>
      </c>
      <c r="D23" s="25">
        <f>[8]resumen_pais_origen!D26/1000000</f>
        <v>393.72965799999997</v>
      </c>
      <c r="E23" s="22">
        <f t="shared" si="0"/>
        <v>30.804473659739084</v>
      </c>
      <c r="F23" s="22">
        <f t="shared" si="1"/>
        <v>2.7264626048875944</v>
      </c>
      <c r="G23" s="22">
        <f>[8]resumen_pais_origen!E26/1000000</f>
        <v>21.591452</v>
      </c>
      <c r="H23" s="25">
        <f>[8]resumen_pais_origen!F26/1000000</f>
        <v>38.529223000000002</v>
      </c>
      <c r="I23" s="22">
        <f t="shared" si="3"/>
        <v>78.44665101726369</v>
      </c>
      <c r="J23" s="22">
        <f t="shared" si="5"/>
        <v>2.3793460248504203</v>
      </c>
      <c r="K23" s="16"/>
    </row>
    <row r="24" spans="1:11">
      <c r="A24" s="14" t="s">
        <v>48</v>
      </c>
      <c r="B24" s="9" t="str">
        <f>CONCATENATE(A24,[8]resumen_pais_origen!B27)</f>
        <v xml:space="preserve">   México </v>
      </c>
      <c r="C24" s="22">
        <f>[8]resumen_pais_origen!C27/1000000</f>
        <v>693.01816699999995</v>
      </c>
      <c r="D24" s="25">
        <f>[8]resumen_pais_origen!D27/1000000</f>
        <v>1334.470192</v>
      </c>
      <c r="E24" s="22">
        <f t="shared" si="0"/>
        <v>92.559193329198848</v>
      </c>
      <c r="F24" s="22">
        <f t="shared" si="1"/>
        <v>9.2408153714068657</v>
      </c>
      <c r="G24" s="22">
        <f>[8]resumen_pais_origen!E27/1000000</f>
        <v>129.07881599999999</v>
      </c>
      <c r="H24" s="25">
        <f>[8]resumen_pais_origen!F27/1000000</f>
        <v>182.06529499999999</v>
      </c>
      <c r="I24" s="22">
        <f t="shared" si="3"/>
        <v>41.049709504617702</v>
      </c>
      <c r="J24" s="22">
        <f t="shared" si="5"/>
        <v>11.243318764083799</v>
      </c>
      <c r="K24" s="16"/>
    </row>
    <row r="25" spans="1:11">
      <c r="A25" s="14" t="s">
        <v>48</v>
      </c>
      <c r="B25" s="9" t="str">
        <f>CONCATENATE(A25,[8]resumen_pais_origen!B28)</f>
        <v xml:space="preserve">   Paraguay </v>
      </c>
      <c r="C25" s="22">
        <f>[8]resumen_pais_origen!C28/1000000</f>
        <v>2.3640569999999999</v>
      </c>
      <c r="D25" s="25">
        <f>[8]resumen_pais_origen!D28/1000000</f>
        <v>2.6402990000000002</v>
      </c>
      <c r="E25" s="22">
        <f t="shared" si="0"/>
        <v>11.685082043284091</v>
      </c>
      <c r="F25" s="22">
        <f t="shared" si="1"/>
        <v>1.8283297544281287E-2</v>
      </c>
      <c r="G25" s="22">
        <f>[8]resumen_pais_origen!E28/1000000</f>
        <v>0.18065100000000001</v>
      </c>
      <c r="H25" s="25">
        <f>[8]resumen_pais_origen!F28/1000000</f>
        <v>0.22356799999999999</v>
      </c>
      <c r="I25" s="22">
        <f t="shared" si="3"/>
        <v>23.756857144438715</v>
      </c>
      <c r="J25" s="22">
        <f t="shared" si="5"/>
        <v>1.3806290152380149E-2</v>
      </c>
      <c r="K25" s="16"/>
    </row>
    <row r="26" spans="1:11">
      <c r="A26" s="14" t="s">
        <v>48</v>
      </c>
      <c r="B26" s="9" t="str">
        <f>CONCATENATE(A26,[8]resumen_pais_origen!B29)</f>
        <v xml:space="preserve">   Uruguay </v>
      </c>
      <c r="C26" s="22">
        <f>[8]resumen_pais_origen!C29/1000000</f>
        <v>55.648369000000002</v>
      </c>
      <c r="D26" s="25">
        <f>[8]resumen_pais_origen!D29/1000000</f>
        <v>61.059060000000002</v>
      </c>
      <c r="E26" s="22">
        <f t="shared" si="0"/>
        <v>9.7230001475874239</v>
      </c>
      <c r="F26" s="22">
        <f t="shared" si="1"/>
        <v>0.4228161135364305</v>
      </c>
      <c r="G26" s="22">
        <f>[8]resumen_pais_origen!E29/1000000</f>
        <v>4.5661110000000003</v>
      </c>
      <c r="H26" s="25">
        <f>[8]resumen_pais_origen!F29/1000000</f>
        <v>7.338635</v>
      </c>
      <c r="I26" s="22">
        <f t="shared" si="3"/>
        <v>60.719592668684562</v>
      </c>
      <c r="J26" s="22">
        <f t="shared" si="5"/>
        <v>0.45319242526842979</v>
      </c>
      <c r="K26" s="16"/>
    </row>
    <row r="27" spans="1:11">
      <c r="A27" s="14" t="s">
        <v>48</v>
      </c>
      <c r="B27" s="9" t="str">
        <f>CONCATENATE(A27,[8]resumen_pais_origen!B30)</f>
        <v xml:space="preserve">   Venezuela</v>
      </c>
      <c r="C27" s="22">
        <f>[8]resumen_pais_origen!C30/1000000</f>
        <v>163.28899799999999</v>
      </c>
      <c r="D27" s="25">
        <f>[8]resumen_pais_origen!D30/1000000</f>
        <v>66.676693999999998</v>
      </c>
      <c r="E27" s="22">
        <f t="shared" si="0"/>
        <v>-59.166450393675632</v>
      </c>
      <c r="F27" s="22">
        <f>(D27/D$13)*100</f>
        <v>0.46171658424708523</v>
      </c>
      <c r="G27" s="22">
        <f>[8]resumen_pais_origen!E30/1000000</f>
        <v>8.2716989999999999</v>
      </c>
      <c r="H27" s="25">
        <f>[8]resumen_pais_origen!F30/1000000</f>
        <v>8.9794800000000006</v>
      </c>
      <c r="I27" s="22">
        <f t="shared" si="3"/>
        <v>8.5566580698838379</v>
      </c>
      <c r="J27" s="22">
        <f t="shared" si="5"/>
        <v>0.55452169495408343</v>
      </c>
      <c r="K27" s="16"/>
    </row>
    <row r="28" spans="1:11">
      <c r="A28" s="14" t="s">
        <v>48</v>
      </c>
      <c r="B28" s="9" t="str">
        <f>+[8]resumen_pais_origen!B44</f>
        <v xml:space="preserve">Canadá </v>
      </c>
      <c r="C28" s="22">
        <f>+[8]resumen_pais_origen!C44/1000000</f>
        <v>136.03105199999999</v>
      </c>
      <c r="D28" s="25">
        <f>+[8]resumen_pais_origen!D44/1000000</f>
        <v>196.205219</v>
      </c>
      <c r="E28" s="22">
        <f t="shared" si="0"/>
        <v>44.235610998582885</v>
      </c>
      <c r="F28" s="22">
        <f>(D28/D$13)*100</f>
        <v>1.3586636963154068</v>
      </c>
      <c r="G28" s="22">
        <f>+[8]resumen_pais_origen!E44/1000000</f>
        <v>12.080242</v>
      </c>
      <c r="H28" s="25">
        <f>+[8]resumen_pais_origen!F44/1000000</f>
        <v>12.594841000000001</v>
      </c>
      <c r="I28" s="22">
        <f t="shared" si="3"/>
        <v>4.2598401588312518</v>
      </c>
      <c r="J28" s="22">
        <f t="shared" si="5"/>
        <v>0.77778586053949483</v>
      </c>
      <c r="K28" s="16"/>
    </row>
    <row r="29" spans="1:11">
      <c r="A29" s="14" t="s">
        <v>48</v>
      </c>
      <c r="B29" s="9" t="str">
        <f>+[8]resumen_pais_origen!B45</f>
        <v>Estados Unidos</v>
      </c>
      <c r="C29" s="22">
        <f>+[8]resumen_pais_origen!C45/1000000</f>
        <v>3156.2814960000001</v>
      </c>
      <c r="D29" s="25">
        <f>+[8]resumen_pais_origen!D45/1000000</f>
        <v>3830.1523510000002</v>
      </c>
      <c r="E29" s="22">
        <f t="shared" si="0"/>
        <v>21.350150671098444</v>
      </c>
      <c r="F29" s="22">
        <f t="shared" si="1"/>
        <v>26.522683632899724</v>
      </c>
      <c r="G29" s="22">
        <f>+[8]resumen_pais_origen!E45/1000000</f>
        <v>353.44477599999999</v>
      </c>
      <c r="H29" s="25">
        <f>+[8]resumen_pais_origen!F45/1000000</f>
        <v>440.31103100000001</v>
      </c>
      <c r="I29" s="22">
        <f t="shared" si="3"/>
        <v>24.577037460584794</v>
      </c>
      <c r="J29" s="22">
        <f t="shared" si="5"/>
        <v>27.191108974806998</v>
      </c>
      <c r="K29" s="16"/>
    </row>
    <row r="30" spans="1:11">
      <c r="A30" s="14"/>
      <c r="B30" s="10" t="s">
        <v>39</v>
      </c>
      <c r="C30" s="22">
        <f>SUM(C31:C41)</f>
        <v>2735.7719730000003</v>
      </c>
      <c r="D30" s="25">
        <f>SUM(D31:D41)</f>
        <v>2601.445455</v>
      </c>
      <c r="E30" s="22">
        <f t="shared" si="0"/>
        <v>-4.9100041716086507</v>
      </c>
      <c r="F30" s="22">
        <f t="shared" si="1"/>
        <v>18.014248120755724</v>
      </c>
      <c r="G30" s="22">
        <f>SUM(G31:G41)</f>
        <v>293.37158099999999</v>
      </c>
      <c r="H30" s="25">
        <f>SUM(H31:H41)</f>
        <v>221.688738</v>
      </c>
      <c r="I30" s="22">
        <f t="shared" si="3"/>
        <v>-24.434146878050878</v>
      </c>
      <c r="J30" s="22">
        <f t="shared" si="5"/>
        <v>13.690237602621947</v>
      </c>
      <c r="K30" s="16"/>
    </row>
    <row r="31" spans="1:11">
      <c r="A31" s="14" t="s">
        <v>48</v>
      </c>
      <c r="B31" s="9" t="str">
        <f>CONCATENATE(A31,[8]resumen_pais_origen!B59)</f>
        <v xml:space="preserve">   Alemania </v>
      </c>
      <c r="C31" s="22">
        <f>[8]resumen_pais_origen!C59/1000000</f>
        <v>443.60360500000002</v>
      </c>
      <c r="D31" s="25">
        <f>[8]resumen_pais_origen!D59/1000000</f>
        <v>597.43877099999997</v>
      </c>
      <c r="E31" s="22">
        <f t="shared" si="0"/>
        <v>34.678520252332021</v>
      </c>
      <c r="F31" s="22">
        <f t="shared" si="1"/>
        <v>4.1370885701516116</v>
      </c>
      <c r="G31" s="22">
        <f>[8]resumen_pais_origen!E59/1000000</f>
        <v>90.055987999999999</v>
      </c>
      <c r="H31" s="25">
        <f>[8]resumen_pais_origen!F59/1000000</f>
        <v>53.044333999999999</v>
      </c>
      <c r="I31" s="22">
        <f t="shared" si="3"/>
        <v>-41.098493084102309</v>
      </c>
      <c r="J31" s="22">
        <f t="shared" si="5"/>
        <v>3.2757168563647907</v>
      </c>
      <c r="K31" s="16"/>
    </row>
    <row r="32" spans="1:11">
      <c r="A32" s="14" t="s">
        <v>48</v>
      </c>
      <c r="B32" s="9" t="str">
        <f>CONCATENATE(A32,[8]resumen_pais_origen!B60)</f>
        <v xml:space="preserve">   Bélgica </v>
      </c>
      <c r="C32" s="22">
        <f>[8]resumen_pais_origen!C60/1000000</f>
        <v>280.69137499999999</v>
      </c>
      <c r="D32" s="25">
        <f>[8]resumen_pais_origen!D60/1000000</f>
        <v>400.550026</v>
      </c>
      <c r="E32" s="22">
        <f t="shared" si="0"/>
        <v>42.70122336320452</v>
      </c>
      <c r="F32" s="22">
        <f t="shared" si="1"/>
        <v>2.7736916564099769</v>
      </c>
      <c r="G32" s="22">
        <f>[8]resumen_pais_origen!E60/1000000</f>
        <v>35.367111000000001</v>
      </c>
      <c r="H32" s="25">
        <f>[8]resumen_pais_origen!F60/1000000</f>
        <v>50.788981999999997</v>
      </c>
      <c r="I32" s="22">
        <f t="shared" si="3"/>
        <v>43.6051194568875</v>
      </c>
      <c r="J32" s="22">
        <f t="shared" si="5"/>
        <v>3.1364391238281537</v>
      </c>
      <c r="K32" s="16"/>
    </row>
    <row r="33" spans="1:11">
      <c r="A33" s="14" t="s">
        <v>48</v>
      </c>
      <c r="B33" s="9" t="str">
        <f>CONCATENATE(A33,[8]resumen_pais_origen!B61)</f>
        <v xml:space="preserve">   Dinamarca </v>
      </c>
      <c r="C33" s="22">
        <f>[8]resumen_pais_origen!C61/1000000</f>
        <v>19.068017999999999</v>
      </c>
      <c r="D33" s="25">
        <f>[8]resumen_pais_origen!D61/1000000</f>
        <v>31.769131999999999</v>
      </c>
      <c r="E33" s="22">
        <f t="shared" si="0"/>
        <v>66.609513374698935</v>
      </c>
      <c r="F33" s="22">
        <f t="shared" si="1"/>
        <v>0.21999193768567427</v>
      </c>
      <c r="G33" s="22">
        <f>[8]resumen_pais_origen!E61/1000000</f>
        <v>1.853318</v>
      </c>
      <c r="H33" s="25">
        <f>[8]resumen_pais_origen!F61/1000000</f>
        <v>3.259153</v>
      </c>
      <c r="I33" s="22">
        <f t="shared" si="3"/>
        <v>75.855034052440004</v>
      </c>
      <c r="J33" s="22">
        <f t="shared" si="5"/>
        <v>0.2012667822273323</v>
      </c>
      <c r="K33" s="16"/>
    </row>
    <row r="34" spans="1:11">
      <c r="A34" s="14" t="s">
        <v>48</v>
      </c>
      <c r="B34" s="9" t="str">
        <f>CONCATENATE(A34,[8]resumen_pais_origen!B62)</f>
        <v xml:space="preserve">   España </v>
      </c>
      <c r="C34" s="22">
        <f>[8]resumen_pais_origen!C62/1000000</f>
        <v>205.28650300000001</v>
      </c>
      <c r="D34" s="25">
        <f>[8]resumen_pais_origen!D62/1000000</f>
        <v>211.49149499999999</v>
      </c>
      <c r="E34" s="22">
        <f t="shared" si="0"/>
        <v>3.0226010523448643</v>
      </c>
      <c r="F34" s="22">
        <f t="shared" si="1"/>
        <v>1.4645166820764914</v>
      </c>
      <c r="G34" s="22">
        <f>[8]resumen_pais_origen!E62/1000000</f>
        <v>18.526188000000001</v>
      </c>
      <c r="H34" s="25">
        <f>[8]resumen_pais_origen!F62/1000000</f>
        <v>16.230626999999998</v>
      </c>
      <c r="I34" s="22">
        <f t="shared" si="3"/>
        <v>-12.390897684942004</v>
      </c>
      <c r="J34" s="22">
        <f t="shared" si="5"/>
        <v>1.0023113581418421</v>
      </c>
      <c r="K34" s="16"/>
    </row>
    <row r="35" spans="1:11">
      <c r="A35" s="14" t="s">
        <v>48</v>
      </c>
      <c r="B35" s="9" t="str">
        <f>CONCATENATE(A35,[8]resumen_pais_origen!B63)</f>
        <v xml:space="preserve">   Finlandia </v>
      </c>
      <c r="C35" s="22">
        <f>[8]resumen_pais_origen!C63/1000000</f>
        <v>40.910561999999999</v>
      </c>
      <c r="D35" s="25">
        <f>[8]resumen_pais_origen!D63/1000000</f>
        <v>48.646596000000002</v>
      </c>
      <c r="E35" s="22">
        <f t="shared" si="0"/>
        <v>18.909625343205995</v>
      </c>
      <c r="F35" s="22">
        <f t="shared" si="1"/>
        <v>0.33686343447633921</v>
      </c>
      <c r="G35" s="22">
        <f>[8]resumen_pais_origen!E63/1000000</f>
        <v>3.0731850000000001</v>
      </c>
      <c r="H35" s="25">
        <f>[8]resumen_pais_origen!F63/1000000</f>
        <v>4.5315240000000001</v>
      </c>
      <c r="I35" s="22">
        <f t="shared" si="3"/>
        <v>47.453667774637708</v>
      </c>
      <c r="J35" s="22">
        <f t="shared" si="5"/>
        <v>0.27984119004720848</v>
      </c>
      <c r="K35" s="16"/>
    </row>
    <row r="36" spans="1:11">
      <c r="A36" s="14" t="s">
        <v>48</v>
      </c>
      <c r="B36" s="9" t="str">
        <f>CONCATENATE(A36,[8]resumen_pais_origen!B64)</f>
        <v xml:space="preserve">   Francia </v>
      </c>
      <c r="C36" s="22">
        <f>[8]resumen_pais_origen!C64/1000000</f>
        <v>995.38984200000004</v>
      </c>
      <c r="D36" s="25">
        <f>[8]resumen_pais_origen!D64/1000000</f>
        <v>548.331459</v>
      </c>
      <c r="E36" s="22">
        <f t="shared" si="0"/>
        <v>-44.912893836824999</v>
      </c>
      <c r="F36" s="22">
        <f t="shared" si="1"/>
        <v>3.7970348122643971</v>
      </c>
      <c r="G36" s="22">
        <f>[8]resumen_pais_origen!E64/1000000</f>
        <v>73.104956999999999</v>
      </c>
      <c r="H36" s="25">
        <f>[8]resumen_pais_origen!F64/1000000</f>
        <v>18.830514999999998</v>
      </c>
      <c r="I36" s="22">
        <f t="shared" si="3"/>
        <v>-74.241808253850692</v>
      </c>
      <c r="J36" s="22">
        <f t="shared" si="5"/>
        <v>1.1628656775958395</v>
      </c>
      <c r="K36" s="16"/>
    </row>
    <row r="37" spans="1:11">
      <c r="A37" s="14" t="s">
        <v>48</v>
      </c>
      <c r="B37" s="7" t="str">
        <f>CONCATENATE(A37,[8]resumen_pais_origen!B65)</f>
        <v xml:space="preserve">   Italia </v>
      </c>
      <c r="C37" s="22">
        <f>[8]resumen_pais_origen!C65/1000000</f>
        <v>175.86842799999999</v>
      </c>
      <c r="D37" s="25">
        <f>[8]resumen_pais_origen!D65/1000000</f>
        <v>227.189188</v>
      </c>
      <c r="E37" s="22">
        <f t="shared" si="0"/>
        <v>29.181337766890159</v>
      </c>
      <c r="F37" s="22">
        <f t="shared" si="1"/>
        <v>1.5732186101072871</v>
      </c>
      <c r="G37" s="22">
        <f>[8]resumen_pais_origen!E65/1000000</f>
        <v>16.014441000000001</v>
      </c>
      <c r="H37" s="25">
        <f>[8]resumen_pais_origen!F65/1000000</f>
        <v>23.233726999999998</v>
      </c>
      <c r="I37" s="22">
        <f t="shared" si="3"/>
        <v>45.079850117778044</v>
      </c>
      <c r="J37" s="22">
        <f t="shared" si="5"/>
        <v>1.4347830471408645</v>
      </c>
      <c r="K37" s="16"/>
    </row>
    <row r="38" spans="1:11">
      <c r="A38" s="14" t="s">
        <v>48</v>
      </c>
      <c r="B38" s="7" t="str">
        <f>CONCATENATE(A38,[8]resumen_pais_origen!B66)</f>
        <v xml:space="preserve">   Países Bajos </v>
      </c>
      <c r="C38" s="22">
        <f>[8]resumen_pais_origen!C66/1000000</f>
        <v>186.44263799999999</v>
      </c>
      <c r="D38" s="25">
        <f>[8]resumen_pais_origen!D66/1000000</f>
        <v>185.30756</v>
      </c>
      <c r="E38" s="22">
        <f t="shared" si="0"/>
        <v>-0.60880816329148546</v>
      </c>
      <c r="F38" s="22">
        <f t="shared" si="1"/>
        <v>1.2832005983734256</v>
      </c>
      <c r="G38" s="22">
        <f>[8]resumen_pais_origen!E66/1000000</f>
        <v>22.321100000000001</v>
      </c>
      <c r="H38" s="25">
        <f>[8]resumen_pais_origen!F66/1000000</f>
        <v>18.986435</v>
      </c>
      <c r="I38" s="22">
        <f t="shared" si="3"/>
        <v>-14.939519109721299</v>
      </c>
      <c r="J38" s="22">
        <f t="shared" si="5"/>
        <v>1.1724944114063991</v>
      </c>
      <c r="K38" s="16"/>
    </row>
    <row r="39" spans="1:11">
      <c r="A39" s="14" t="s">
        <v>48</v>
      </c>
      <c r="B39" s="7" t="str">
        <f>CONCATENATE(A39,[8]resumen_pais_origen!B67)</f>
        <v xml:space="preserve">   Reino Unido </v>
      </c>
      <c r="C39" s="22">
        <f>[8]resumen_pais_origen!C67/1000000</f>
        <v>224.46819300000001</v>
      </c>
      <c r="D39" s="25">
        <f>[8]resumen_pais_origen!D67/1000000</f>
        <v>210.05727200000001</v>
      </c>
      <c r="E39" s="22">
        <f t="shared" si="0"/>
        <v>-6.4200280705248964</v>
      </c>
      <c r="F39" s="22">
        <f t="shared" si="1"/>
        <v>1.4545851077154619</v>
      </c>
      <c r="G39" s="22">
        <f>[8]resumen_pais_origen!E67/1000000</f>
        <v>22.357932999999999</v>
      </c>
      <c r="H39" s="25">
        <f>[8]resumen_pais_origen!F67/1000000</f>
        <v>18.833133</v>
      </c>
      <c r="I39" s="22">
        <f t="shared" si="3"/>
        <v>-15.765321418576573</v>
      </c>
      <c r="J39" s="22">
        <f t="shared" si="5"/>
        <v>1.163027350409565</v>
      </c>
      <c r="K39" s="16"/>
    </row>
    <row r="40" spans="1:11">
      <c r="A40" s="14" t="s">
        <v>48</v>
      </c>
      <c r="B40" s="9" t="str">
        <f>CONCATENATE(A40,[8]resumen_pais_origen!B68)</f>
        <v xml:space="preserve">   Suecia </v>
      </c>
      <c r="C40" s="22">
        <f>[8]resumen_pais_origen!C68/1000000</f>
        <v>42.454303000000003</v>
      </c>
      <c r="D40" s="25">
        <f>[8]resumen_pais_origen!D68/1000000</f>
        <v>53.957219000000002</v>
      </c>
      <c r="E40" s="22">
        <f t="shared" si="0"/>
        <v>27.09481769138926</v>
      </c>
      <c r="F40" s="22">
        <f t="shared" si="1"/>
        <v>0.37363794389913701</v>
      </c>
      <c r="G40" s="22">
        <f>[8]resumen_pais_origen!E68/1000000</f>
        <v>3.6978949999999999</v>
      </c>
      <c r="H40" s="25">
        <f>[8]resumen_pais_origen!F68/1000000</f>
        <v>5.667859</v>
      </c>
      <c r="I40" s="22">
        <f t="shared" si="3"/>
        <v>53.272578047781252</v>
      </c>
      <c r="J40" s="22">
        <f t="shared" si="5"/>
        <v>0.35001478698552213</v>
      </c>
      <c r="K40" s="16"/>
    </row>
    <row r="41" spans="1:11">
      <c r="A41" s="14" t="s">
        <v>48</v>
      </c>
      <c r="B41" s="9" t="str">
        <f>CONCATENATE(A41,[8]resumen_pais_origen!B69)</f>
        <v xml:space="preserve">   Resto </v>
      </c>
      <c r="C41" s="22">
        <f>[8]resumen_pais_origen!C69/1000000</f>
        <v>121.588506</v>
      </c>
      <c r="D41" s="25">
        <f>[8]resumen_pais_origen!D69/1000000</f>
        <v>86.706737000000004</v>
      </c>
      <c r="E41" s="22">
        <f t="shared" si="0"/>
        <v>-28.68837700826754</v>
      </c>
      <c r="F41" s="22">
        <f t="shared" si="1"/>
        <v>0.60041876759592139</v>
      </c>
      <c r="G41" s="22">
        <f>[8]resumen_pais_origen!E69/1000000</f>
        <v>6.9994649999999998</v>
      </c>
      <c r="H41" s="25">
        <f>[8]resumen_pais_origen!F69/1000000</f>
        <v>8.2824489999999997</v>
      </c>
      <c r="I41" s="22">
        <f t="shared" si="3"/>
        <v>18.3297437732741</v>
      </c>
      <c r="J41" s="22">
        <f t="shared" si="5"/>
        <v>0.51147701847442761</v>
      </c>
      <c r="K41" s="16"/>
    </row>
    <row r="42" spans="1:11">
      <c r="A42" s="14"/>
      <c r="B42" s="9" t="str">
        <f>+[8]resumen_pais_origen!B83</f>
        <v>Corea del Sur</v>
      </c>
      <c r="C42" s="22">
        <f>+[8]resumen_pais_origen!C83/1000000</f>
        <v>342.91103900000002</v>
      </c>
      <c r="D42" s="25">
        <f>+[8]resumen_pais_origen!D83/1000000</f>
        <v>530.73787700000003</v>
      </c>
      <c r="E42" s="22">
        <f t="shared" si="0"/>
        <v>54.774217402782412</v>
      </c>
      <c r="F42" s="22">
        <f t="shared" si="1"/>
        <v>3.6752044079898392</v>
      </c>
      <c r="G42" s="22">
        <f>+[8]resumen_pais_origen!E83/1000000</f>
        <v>43.734521000000001</v>
      </c>
      <c r="H42" s="25">
        <f>+[8]resumen_pais_origen!F83/1000000</f>
        <v>47.638530000000003</v>
      </c>
      <c r="I42" s="22">
        <f t="shared" si="3"/>
        <v>8.9266074275742078</v>
      </c>
      <c r="J42" s="22">
        <f t="shared" si="5"/>
        <v>2.9418850981037825</v>
      </c>
      <c r="K42" s="16"/>
    </row>
    <row r="43" spans="1:11">
      <c r="A43" s="14"/>
      <c r="B43" s="9" t="str">
        <f>+[8]resumen_pais_origen!B84</f>
        <v xml:space="preserve">China </v>
      </c>
      <c r="C43" s="22">
        <f>+[8]resumen_pais_origen!C84/1000000</f>
        <v>947.081008</v>
      </c>
      <c r="D43" s="25">
        <f>+[8]resumen_pais_origen!D84/1000000</f>
        <v>1465.604542</v>
      </c>
      <c r="E43" s="22">
        <f t="shared" ref="E43:E44" si="6">IF(OR(OR(D43=0,C43=0),D43=""),"",(D43/C43-1)*100)</f>
        <v>54.749649673050982</v>
      </c>
      <c r="F43" s="22">
        <f t="shared" ref="F43:F44" si="7">(D43/D$13)*100</f>
        <v>10.148882351444326</v>
      </c>
      <c r="G43" s="22">
        <f>+[8]resumen_pais_origen!E84/1000000</f>
        <v>117.400066</v>
      </c>
      <c r="H43" s="25">
        <f>+[8]resumen_pais_origen!F84/1000000</f>
        <v>211.856201</v>
      </c>
      <c r="I43" s="22">
        <f t="shared" ref="I43:I44" si="8">IF(OR(OR(H43=0,G43=0),H43=""),"",(H43/G43-1)*100)</f>
        <v>80.45662853375228</v>
      </c>
      <c r="J43" s="22">
        <f t="shared" ref="J43:J44" si="9">(H43/H$13)*100</f>
        <v>13.083035951419566</v>
      </c>
      <c r="K43" s="16"/>
    </row>
    <row r="44" spans="1:11">
      <c r="A44" s="14"/>
      <c r="B44" s="9" t="str">
        <f>+[8]resumen_pais_origen!B85</f>
        <v xml:space="preserve">Japón </v>
      </c>
      <c r="C44" s="22">
        <f>+[8]resumen_pais_origen!C85/1000000</f>
        <v>292.885897</v>
      </c>
      <c r="D44" s="25">
        <f>+[8]resumen_pais_origen!D85/1000000</f>
        <v>429.23011600000001</v>
      </c>
      <c r="E44" s="22">
        <f t="shared" si="6"/>
        <v>46.551991883719836</v>
      </c>
      <c r="F44" s="22">
        <f t="shared" si="7"/>
        <v>2.9722928826600215</v>
      </c>
      <c r="G44" s="22">
        <f>+[8]resumen_pais_origen!E85/1000000</f>
        <v>32.753042000000001</v>
      </c>
      <c r="H44" s="25">
        <f>+[8]resumen_pais_origen!F85/1000000</f>
        <v>55.081718000000002</v>
      </c>
      <c r="I44" s="22">
        <f t="shared" si="8"/>
        <v>68.172831091536466</v>
      </c>
      <c r="J44" s="22">
        <f t="shared" si="9"/>
        <v>3.4015341229495295</v>
      </c>
      <c r="K44" s="16"/>
    </row>
    <row r="45" spans="1:11">
      <c r="A45" s="14"/>
      <c r="B45" s="9" t="s">
        <v>5</v>
      </c>
      <c r="C45" s="22">
        <f>+C13-C14-C30-C42-C28-C29-C43-C44</f>
        <v>1543.6749135300192</v>
      </c>
      <c r="D45" s="25">
        <f>+D13-D14-D30-D42-D28-D29-D43-D44</f>
        <v>2229.4911017001027</v>
      </c>
      <c r="E45" s="22">
        <f t="shared" si="0"/>
        <v>44.427501033995817</v>
      </c>
      <c r="F45" s="22">
        <f t="shared" si="1"/>
        <v>15.438573125509828</v>
      </c>
      <c r="G45" s="22">
        <f t="shared" ref="G45:H45" si="10">+G13-G14-G30-G42-G28-G29-G43-G44</f>
        <v>152.26331143000021</v>
      </c>
      <c r="H45" s="25">
        <f t="shared" si="10"/>
        <v>584.36343182999883</v>
      </c>
      <c r="I45" s="22">
        <f t="shared" si="3"/>
        <v>283.78479118960144</v>
      </c>
      <c r="J45" s="22">
        <f t="shared" si="5"/>
        <v>36.086967250615395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25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9"/>
      <c r="E48" s="20"/>
    </row>
    <row r="49" spans="2:5">
      <c r="B49" s="20"/>
      <c r="C49" s="20"/>
      <c r="D49" s="89"/>
      <c r="E49" s="20"/>
    </row>
    <row r="50" spans="2:5">
      <c r="C50" s="20"/>
      <c r="D50" s="89"/>
    </row>
    <row r="51" spans="2:5">
      <c r="C51" s="20"/>
      <c r="D51" s="89"/>
    </row>
    <row r="52" spans="2:5">
      <c r="C52" s="20"/>
      <c r="D52" s="89"/>
      <c r="E52" s="89"/>
    </row>
    <row r="53" spans="2:5">
      <c r="C53" s="20"/>
      <c r="D53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Normal="100" zoomScaleSheetLayoutView="100" workbookViewId="0">
      <pane ySplit="11" topLeftCell="A12" activePane="bottomLeft" state="frozen"/>
      <selection pane="bottomLeft" activeCell="C13" sqref="C13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3" width="12.85546875" style="7" customWidth="1"/>
    <col min="4" max="4" width="12.140625" style="7" customWidth="1"/>
    <col min="5" max="5" width="11" style="7" customWidth="1"/>
    <col min="6" max="6" width="10" style="7" customWidth="1"/>
    <col min="7" max="8" width="9.28515625" style="7" customWidth="1"/>
    <col min="9" max="9" width="12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59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57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4" t="s">
        <v>140</v>
      </c>
      <c r="D10" s="114"/>
      <c r="E10" s="113" t="s">
        <v>1</v>
      </c>
      <c r="F10" s="113" t="s">
        <v>4</v>
      </c>
      <c r="G10" s="114" t="s">
        <v>141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104">
        <v>2009</v>
      </c>
      <c r="D11" s="104">
        <v>2010</v>
      </c>
      <c r="E11" s="113"/>
      <c r="F11" s="113"/>
      <c r="G11" s="104">
        <v>2009</v>
      </c>
      <c r="H11" s="104">
        <v>2010</v>
      </c>
      <c r="I11" s="113"/>
      <c r="J11" s="113"/>
      <c r="K11" s="16"/>
      <c r="N11" s="2"/>
    </row>
    <row r="12" spans="1:14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61</v>
      </c>
      <c r="C13" s="25">
        <f>+'Resumen importaciones totales'!C22</f>
        <v>400.20852914999915</v>
      </c>
      <c r="D13" s="25">
        <f>+'Resumen importaciones totales'!D22</f>
        <v>522.63412937999965</v>
      </c>
      <c r="E13" s="25">
        <f>IF(OR(OR(D13=0,C13=0),D13=""),"",(D13/C13-1)*100)</f>
        <v>30.590452554826754</v>
      </c>
      <c r="F13" s="23">
        <f>(D13/D$13)*100</f>
        <v>100</v>
      </c>
      <c r="G13" s="25">
        <f>+'Resumen importaciones totales'!G22</f>
        <v>44.752462370000025</v>
      </c>
      <c r="H13" s="25">
        <f>+'Resumen importaciones totales'!H22</f>
        <v>41.99658862999997</v>
      </c>
      <c r="I13" s="25">
        <f>IF(OR(OR(H13=0,G13=0),H13=""),"",(H13/G13-1)*100)</f>
        <v>-6.1580382264003974</v>
      </c>
      <c r="J13" s="23">
        <f>(H13/H$13)*100</f>
        <v>100</v>
      </c>
      <c r="K13" s="16"/>
    </row>
    <row r="14" spans="1:14">
      <c r="A14" s="14"/>
      <c r="B14" s="10" t="s">
        <v>38</v>
      </c>
      <c r="C14" s="22">
        <f>+C15+C19</f>
        <v>182.47561999999999</v>
      </c>
      <c r="D14" s="25">
        <f>+D15+D19</f>
        <v>250.31999799999994</v>
      </c>
      <c r="E14" s="22">
        <f t="shared" ref="E14:E45" si="0">IF(OR(OR(D14=0,C14=0),D14=""),"",(D14/C14-1)*100)</f>
        <v>37.179968480172846</v>
      </c>
      <c r="F14" s="22">
        <f t="shared" ref="F14:F45" si="1">(D14/D$13)*100</f>
        <v>47.895838394050976</v>
      </c>
      <c r="G14" s="22">
        <f>+G15+G19</f>
        <v>19.046091999999998</v>
      </c>
      <c r="H14" s="25">
        <f t="shared" ref="H14" si="2">+H15+H19</f>
        <v>3.8407559999999998</v>
      </c>
      <c r="I14" s="22">
        <f t="shared" ref="I14:I45" si="3">IF(OR(OR(H14=0,G14=0),H14=""),"",(H14/G14-1)*100)</f>
        <v>-79.83441432499643</v>
      </c>
      <c r="J14" s="22">
        <f>(H14/H$13)*100</f>
        <v>9.1453999605491347</v>
      </c>
      <c r="K14" s="16"/>
    </row>
    <row r="15" spans="1:14">
      <c r="A15" s="14"/>
      <c r="B15" s="10" t="s">
        <v>41</v>
      </c>
      <c r="C15" s="22">
        <f>+SUM(C16:C18)</f>
        <v>28.604153</v>
      </c>
      <c r="D15" s="25">
        <f>+SUM(D16:D18)</f>
        <v>32.084626999999998</v>
      </c>
      <c r="E15" s="22">
        <f t="shared" si="0"/>
        <v>12.167722638037892</v>
      </c>
      <c r="F15" s="22">
        <f>(D15/D$13)*100</f>
        <v>6.1390225391636708</v>
      </c>
      <c r="G15" s="22">
        <f t="shared" ref="G15:H15" si="4">+SUM(G16:G18)</f>
        <v>3.0886680000000002</v>
      </c>
      <c r="H15" s="25">
        <f t="shared" si="4"/>
        <v>3.838746</v>
      </c>
      <c r="I15" s="22">
        <f t="shared" si="3"/>
        <v>24.284837347361375</v>
      </c>
      <c r="J15" s="22">
        <f t="shared" ref="J15:J45" si="5">(H15/H$13)*100</f>
        <v>9.1406138575213198</v>
      </c>
      <c r="K15" s="16"/>
    </row>
    <row r="16" spans="1:14">
      <c r="A16" s="14" t="s">
        <v>48</v>
      </c>
      <c r="B16" s="9" t="str">
        <f>CONCATENATE(A16,[10]resumen_pais_primarios!B7)</f>
        <v xml:space="preserve">   Bolivia</v>
      </c>
      <c r="C16" s="22">
        <f>[10]resumen_pais_primarios!C7/1000000</f>
        <v>1.249053</v>
      </c>
      <c r="D16" s="25">
        <f>[10]resumen_pais_primarios!D7/1000000</f>
        <v>0.94926200000000005</v>
      </c>
      <c r="E16" s="22">
        <f t="shared" si="0"/>
        <v>-24.001463508754227</v>
      </c>
      <c r="F16" s="22">
        <f t="shared" si="1"/>
        <v>0.18163031203609084</v>
      </c>
      <c r="G16" s="22">
        <f>[10]resumen_pais_primarios!E7/1000000</f>
        <v>0.20547799999999999</v>
      </c>
      <c r="H16" s="25">
        <f>[10]resumen_pais_primarios!F7/1000000</f>
        <v>6.6326999999999997E-2</v>
      </c>
      <c r="I16" s="22">
        <f t="shared" si="3"/>
        <v>-67.720631892465377</v>
      </c>
      <c r="J16" s="22">
        <f t="shared" si="5"/>
        <v>0.15793425648058415</v>
      </c>
      <c r="K16" s="16"/>
    </row>
    <row r="17" spans="1:11">
      <c r="A17" s="14" t="s">
        <v>48</v>
      </c>
      <c r="B17" s="9" t="str">
        <f>CONCATENATE(A17,[10]resumen_pais_primarios!B8)</f>
        <v xml:space="preserve">   Ecuador</v>
      </c>
      <c r="C17" s="22">
        <f>[10]resumen_pais_primarios!C8/1000000</f>
        <v>5.5539120000000004</v>
      </c>
      <c r="D17" s="25">
        <f>[10]resumen_pais_primarios!D8/1000000</f>
        <v>8.3752659999999999</v>
      </c>
      <c r="E17" s="22">
        <f t="shared" si="0"/>
        <v>50.799400494642335</v>
      </c>
      <c r="F17" s="22">
        <f t="shared" si="1"/>
        <v>1.6025103469487478</v>
      </c>
      <c r="G17" s="22">
        <f>[10]resumen_pais_primarios!E8/1000000</f>
        <v>0.63888199999999995</v>
      </c>
      <c r="H17" s="25">
        <f>[10]resumen_pais_primarios!F8/1000000</f>
        <v>1.0319469999999999</v>
      </c>
      <c r="I17" s="22">
        <f t="shared" si="3"/>
        <v>61.523880779236229</v>
      </c>
      <c r="J17" s="22">
        <f t="shared" si="5"/>
        <v>2.457216249376112</v>
      </c>
      <c r="K17" s="16"/>
    </row>
    <row r="18" spans="1:11">
      <c r="A18" s="14" t="s">
        <v>48</v>
      </c>
      <c r="B18" s="9" t="str">
        <f>CONCATENATE(A18,[10]resumen_pais_primarios!B9)</f>
        <v xml:space="preserve">   Perú </v>
      </c>
      <c r="C18" s="22">
        <f>[10]resumen_pais_primarios!C9/1000000</f>
        <v>21.801188</v>
      </c>
      <c r="D18" s="25">
        <f>[10]resumen_pais_primarios!D9/1000000</f>
        <v>22.760099</v>
      </c>
      <c r="E18" s="22">
        <f t="shared" si="0"/>
        <v>4.3984346174162692</v>
      </c>
      <c r="F18" s="22">
        <f t="shared" si="1"/>
        <v>4.3548818801788327</v>
      </c>
      <c r="G18" s="22">
        <f>[10]resumen_pais_primarios!E9/1000000</f>
        <v>2.2443080000000002</v>
      </c>
      <c r="H18" s="25">
        <f>[10]resumen_pais_primarios!F9/1000000</f>
        <v>2.740472</v>
      </c>
      <c r="I18" s="22">
        <f t="shared" si="3"/>
        <v>22.107660802349759</v>
      </c>
      <c r="J18" s="22">
        <f t="shared" si="5"/>
        <v>6.525463351664623</v>
      </c>
      <c r="K18" s="16"/>
    </row>
    <row r="19" spans="1:11">
      <c r="A19" s="14"/>
      <c r="B19" s="10" t="s">
        <v>42</v>
      </c>
      <c r="C19" s="22">
        <f>SUM(C20:C26)</f>
        <v>153.871467</v>
      </c>
      <c r="D19" s="25">
        <f>SUM(D20:D26)</f>
        <v>218.23537099999996</v>
      </c>
      <c r="E19" s="22">
        <f t="shared" si="0"/>
        <v>41.829655136777212</v>
      </c>
      <c r="F19" s="22">
        <f t="shared" si="1"/>
        <v>41.756815854887314</v>
      </c>
      <c r="G19" s="22">
        <f>SUM(G20:G26)</f>
        <v>15.957423999999998</v>
      </c>
      <c r="H19" s="25">
        <f>+[9]resumen_pais_destino!F22/1000000</f>
        <v>2.0100000000000001E-3</v>
      </c>
      <c r="I19" s="22">
        <f t="shared" si="3"/>
        <v>-99.987403981996096</v>
      </c>
      <c r="J19" s="22">
        <f t="shared" si="5"/>
        <v>4.7861030278163368E-3</v>
      </c>
      <c r="K19" s="16"/>
    </row>
    <row r="20" spans="1:11">
      <c r="A20" s="14" t="s">
        <v>48</v>
      </c>
      <c r="B20" s="9" t="str">
        <f>CONCATENATE(A20,[10]resumen_pais_primarios!B23)</f>
        <v xml:space="preserve">   Argentina</v>
      </c>
      <c r="C20" s="22">
        <f>[10]resumen_pais_primarios!C23/1000000</f>
        <v>61.050291000000001</v>
      </c>
      <c r="D20" s="25">
        <f>[10]resumen_pais_primarios!D23/1000000</f>
        <v>110.72428499999999</v>
      </c>
      <c r="E20" s="22">
        <f t="shared" si="0"/>
        <v>81.365695701597858</v>
      </c>
      <c r="F20" s="22">
        <f t="shared" si="1"/>
        <v>21.18581217253303</v>
      </c>
      <c r="G20" s="22">
        <f>[10]resumen_pais_primarios!E23/1000000</f>
        <v>2.5389629999999999</v>
      </c>
      <c r="H20" s="25">
        <f>[10]resumen_pais_primarios!F23/1000000</f>
        <v>4.8749029999999998</v>
      </c>
      <c r="I20" s="22">
        <f t="shared" si="3"/>
        <v>92.003703874377067</v>
      </c>
      <c r="J20" s="22">
        <f t="shared" si="5"/>
        <v>11.60785473065221</v>
      </c>
      <c r="K20" s="16"/>
    </row>
    <row r="21" spans="1:11">
      <c r="A21" s="14" t="s">
        <v>48</v>
      </c>
      <c r="B21" s="9" t="str">
        <f>CONCATENATE(A21,[10]resumen_pais_primarios!B24)</f>
        <v xml:space="preserve">   Brasil </v>
      </c>
      <c r="C21" s="22">
        <f>[10]resumen_pais_primarios!C24/1000000</f>
        <v>24.997664</v>
      </c>
      <c r="D21" s="25">
        <f>[10]resumen_pais_primarios!D24/1000000</f>
        <v>26.762674000000001</v>
      </c>
      <c r="E21" s="22">
        <f t="shared" si="0"/>
        <v>7.0606997517848047</v>
      </c>
      <c r="F21" s="22">
        <f t="shared" si="1"/>
        <v>5.1207283442718392</v>
      </c>
      <c r="G21" s="22">
        <f>[10]resumen_pais_primarios!E24/1000000</f>
        <v>8.2883929999999992</v>
      </c>
      <c r="H21" s="25">
        <f>[10]resumen_pais_primarios!F24/1000000</f>
        <v>3.2064360000000001</v>
      </c>
      <c r="I21" s="22">
        <f t="shared" si="3"/>
        <v>-61.314141354059828</v>
      </c>
      <c r="J21" s="22">
        <f t="shared" si="5"/>
        <v>7.6349915662185586</v>
      </c>
      <c r="K21" s="16"/>
    </row>
    <row r="22" spans="1:11">
      <c r="A22" s="14" t="s">
        <v>48</v>
      </c>
      <c r="B22" s="9" t="str">
        <f>CONCATENATE(A22,[10]resumen_pais_primarios!B25)</f>
        <v xml:space="preserve">   Cuba </v>
      </c>
      <c r="C22" s="22">
        <f>[10]resumen_pais_primarios!C25/1000000</f>
        <v>0.157856</v>
      </c>
      <c r="D22" s="25">
        <f>[10]resumen_pais_primarios!D25/1000000</f>
        <v>3.4463000000000001E-2</v>
      </c>
      <c r="E22" s="22">
        <f t="shared" si="0"/>
        <v>-78.168077234948314</v>
      </c>
      <c r="F22" s="22">
        <f t="shared" si="1"/>
        <v>6.5940967232437399E-3</v>
      </c>
      <c r="G22" s="22">
        <f>[10]resumen_pais_primarios!E25/1000000</f>
        <v>0</v>
      </c>
      <c r="H22" s="25">
        <f>[10]resumen_pais_primarios!F25/1000000</f>
        <v>0</v>
      </c>
      <c r="I22" s="22" t="str">
        <f t="shared" si="3"/>
        <v/>
      </c>
      <c r="J22" s="22">
        <f t="shared" si="5"/>
        <v>0</v>
      </c>
      <c r="K22" s="16"/>
    </row>
    <row r="23" spans="1:11">
      <c r="A23" s="14" t="s">
        <v>48</v>
      </c>
      <c r="B23" s="9" t="str">
        <f>CONCATENATE(A23,[10]resumen_pais_primarios!B26)</f>
        <v xml:space="preserve">   Chile </v>
      </c>
      <c r="C23" s="22">
        <f>[10]resumen_pais_primarios!C26/1000000</f>
        <v>45.921010000000003</v>
      </c>
      <c r="D23" s="25">
        <f>[10]resumen_pais_primarios!D26/1000000</f>
        <v>59.591687999999998</v>
      </c>
      <c r="E23" s="22">
        <f t="shared" si="0"/>
        <v>29.769985459814574</v>
      </c>
      <c r="F23" s="22">
        <f t="shared" si="1"/>
        <v>11.402180732187077</v>
      </c>
      <c r="G23" s="22">
        <f>[10]resumen_pais_primarios!E26/1000000</f>
        <v>4.0149699999999999</v>
      </c>
      <c r="H23" s="25">
        <f>[10]resumen_pais_primarios!F26/1000000</f>
        <v>7.0061220000000004</v>
      </c>
      <c r="I23" s="22">
        <f t="shared" si="3"/>
        <v>74.499983810588887</v>
      </c>
      <c r="J23" s="22">
        <f t="shared" si="5"/>
        <v>16.682597869378434</v>
      </c>
      <c r="K23" s="16"/>
    </row>
    <row r="24" spans="1:11">
      <c r="A24" s="14" t="s">
        <v>48</v>
      </c>
      <c r="B24" s="9" t="str">
        <f>CONCATENATE(A24,[10]resumen_pais_primarios!B27)</f>
        <v xml:space="preserve">   México </v>
      </c>
      <c r="C24" s="22">
        <f>[10]resumen_pais_primarios!C27/1000000</f>
        <v>19.171362999999999</v>
      </c>
      <c r="D24" s="25">
        <f>[10]resumen_pais_primarios!D27/1000000</f>
        <v>18.745715000000001</v>
      </c>
      <c r="E24" s="22">
        <f t="shared" si="0"/>
        <v>-2.220228160094817</v>
      </c>
      <c r="F24" s="22">
        <f t="shared" si="1"/>
        <v>3.5867759004254132</v>
      </c>
      <c r="G24" s="22">
        <f>[10]resumen_pais_primarios!E27/1000000</f>
        <v>1.0251950000000001</v>
      </c>
      <c r="H24" s="25">
        <f>[10]resumen_pais_primarios!F27/1000000</f>
        <v>0.90635699999999997</v>
      </c>
      <c r="I24" s="22">
        <f t="shared" si="3"/>
        <v>-11.591745960524591</v>
      </c>
      <c r="J24" s="22">
        <f t="shared" si="5"/>
        <v>2.1581681502400656</v>
      </c>
      <c r="K24" s="16"/>
    </row>
    <row r="25" spans="1:11">
      <c r="A25" s="14" t="s">
        <v>48</v>
      </c>
      <c r="B25" s="9" t="str">
        <f>CONCATENATE(A25,[10]resumen_pais_primarios!B28)</f>
        <v xml:space="preserve">   Paraguay </v>
      </c>
      <c r="C25" s="22">
        <f>[10]resumen_pais_primarios!C28/1000000</f>
        <v>1.5280309999999999</v>
      </c>
      <c r="D25" s="25">
        <f>[10]resumen_pais_primarios!D28/1000000</f>
        <v>0.92662500000000003</v>
      </c>
      <c r="E25" s="22">
        <f t="shared" si="0"/>
        <v>-39.358232915431678</v>
      </c>
      <c r="F25" s="22">
        <f t="shared" si="1"/>
        <v>0.17729898372677161</v>
      </c>
      <c r="G25" s="22">
        <f>[10]resumen_pais_primarios!E28/1000000</f>
        <v>8.9898000000000006E-2</v>
      </c>
      <c r="H25" s="25">
        <f>[10]resumen_pais_primarios!F28/1000000</f>
        <v>0.117324</v>
      </c>
      <c r="I25" s="22">
        <f t="shared" si="3"/>
        <v>30.507908963491936</v>
      </c>
      <c r="J25" s="22">
        <f t="shared" si="5"/>
        <v>0.27936554807737507</v>
      </c>
      <c r="K25" s="16"/>
    </row>
    <row r="26" spans="1:11">
      <c r="A26" s="14" t="s">
        <v>48</v>
      </c>
      <c r="B26" s="9" t="str">
        <f>CONCATENATE(A26,[10]resumen_pais_primarios!B29)</f>
        <v xml:space="preserve">   Uruguay </v>
      </c>
      <c r="C26" s="22">
        <f>[10]resumen_pais_primarios!C29/1000000</f>
        <v>1.0452520000000001</v>
      </c>
      <c r="D26" s="25">
        <f>[10]resumen_pais_primarios!D29/1000000</f>
        <v>1.449921</v>
      </c>
      <c r="E26" s="22">
        <f t="shared" si="0"/>
        <v>38.714970169872906</v>
      </c>
      <c r="F26" s="22">
        <f t="shared" si="1"/>
        <v>0.27742562501994267</v>
      </c>
      <c r="G26" s="22">
        <f>[10]resumen_pais_primarios!E29/1000000</f>
        <v>5.0000000000000004E-6</v>
      </c>
      <c r="H26" s="25">
        <f>[10]resumen_pais_primarios!F29/1000000</f>
        <v>0.28703699999999999</v>
      </c>
      <c r="I26" s="22">
        <f t="shared" si="3"/>
        <v>5740639.9999999991</v>
      </c>
      <c r="J26" s="22">
        <f t="shared" si="5"/>
        <v>0.68347694268423775</v>
      </c>
      <c r="K26" s="16"/>
    </row>
    <row r="27" spans="1:11">
      <c r="A27" s="14" t="s">
        <v>48</v>
      </c>
      <c r="B27" s="9" t="str">
        <f>CONCATENATE(A27,[10]resumen_pais_primarios!B30)</f>
        <v xml:space="preserve">   Venezuela</v>
      </c>
      <c r="C27" s="22">
        <f>[10]resumen_pais_primarios!C30/1000000</f>
        <v>2.145788</v>
      </c>
      <c r="D27" s="25">
        <f>[10]resumen_pais_primarios!D30/1000000</f>
        <v>0.44968900000000001</v>
      </c>
      <c r="E27" s="22">
        <f t="shared" ref="E27" si="6">IF(OR(OR(D27=0,C27=0),D27=""),"",(D27/C27-1)*100)</f>
        <v>-79.043176679150037</v>
      </c>
      <c r="F27" s="22">
        <f t="shared" ref="F27" si="7">(D27/D$13)*100</f>
        <v>8.6042792600143747E-2</v>
      </c>
      <c r="G27" s="22">
        <f>[10]resumen_pais_primarios!E30/1000000</f>
        <v>0.34876000000000001</v>
      </c>
      <c r="H27" s="25">
        <f>[10]resumen_pais_primarios!F30/1000000</f>
        <v>1.1590000000000001E-3</v>
      </c>
      <c r="I27" s="22">
        <f t="shared" ref="I27" si="8">IF(OR(OR(H27=0,G27=0),H27=""),"",(H27/G27-1)*100)</f>
        <v>-99.667679779791257</v>
      </c>
      <c r="J27" s="22">
        <f t="shared" ref="J27" si="9">(H27/H$13)*100</f>
        <v>2.7597479647955897E-3</v>
      </c>
      <c r="K27" s="16"/>
    </row>
    <row r="28" spans="1:11">
      <c r="A28" s="14" t="s">
        <v>48</v>
      </c>
      <c r="B28" s="9" t="str">
        <f>+[10]resumen_pais_primarios!B44</f>
        <v xml:space="preserve">Canadá </v>
      </c>
      <c r="C28" s="22">
        <f>+[10]resumen_pais_primarios!C44/1000000</f>
        <v>71.117542</v>
      </c>
      <c r="D28" s="25">
        <f>+[10]resumen_pais_primarios!D44/1000000</f>
        <v>89.192590999999993</v>
      </c>
      <c r="E28" s="22">
        <f t="shared" si="0"/>
        <v>25.415739199760303</v>
      </c>
      <c r="F28" s="22">
        <f>(D28/D$13)*100</f>
        <v>17.065971391077937</v>
      </c>
      <c r="G28" s="22">
        <f>+[10]resumen_pais_primarios!E44/1000000</f>
        <v>4.4861240000000002</v>
      </c>
      <c r="H28" s="25">
        <f>+[10]resumen_pais_primarios!F44/1000000</f>
        <v>1.5643279999999999</v>
      </c>
      <c r="I28" s="22">
        <f t="shared" si="3"/>
        <v>-65.129630834992525</v>
      </c>
      <c r="J28" s="22">
        <f t="shared" si="5"/>
        <v>3.7248930235312812</v>
      </c>
      <c r="K28" s="16"/>
    </row>
    <row r="29" spans="1:11">
      <c r="A29" s="14" t="s">
        <v>48</v>
      </c>
      <c r="B29" s="9" t="str">
        <f>+[10]resumen_pais_primarios!B45</f>
        <v>Estados Unidos</v>
      </c>
      <c r="C29" s="22">
        <f>+[10]resumen_pais_primarios!C45/1000000</f>
        <v>88.471684999999994</v>
      </c>
      <c r="D29" s="25">
        <f>+[10]resumen_pais_primarios!D45/1000000</f>
        <v>94.356234000000001</v>
      </c>
      <c r="E29" s="22">
        <f t="shared" si="0"/>
        <v>6.6513359613304512</v>
      </c>
      <c r="F29" s="22">
        <f t="shared" si="1"/>
        <v>18.053974797232378</v>
      </c>
      <c r="G29" s="22">
        <f>+[10]resumen_pais_primarios!E45/1000000</f>
        <v>12.424272999999999</v>
      </c>
      <c r="H29" s="25">
        <f>+[10]resumen_pais_primarios!F45/1000000</f>
        <v>7.0806709999999997</v>
      </c>
      <c r="I29" s="22">
        <f t="shared" si="3"/>
        <v>-43.009373667175531</v>
      </c>
      <c r="J29" s="22">
        <f t="shared" si="5"/>
        <v>16.860109906503148</v>
      </c>
      <c r="K29" s="16"/>
    </row>
    <row r="30" spans="1:11">
      <c r="A30" s="14"/>
      <c r="B30" s="10" t="s">
        <v>39</v>
      </c>
      <c r="C30" s="22">
        <f>SUM(C31:C41)</f>
        <v>23.372992</v>
      </c>
      <c r="D30" s="25">
        <f>SUM(D31:D41)</f>
        <v>30.354322000000003</v>
      </c>
      <c r="E30" s="22">
        <f t="shared" si="0"/>
        <v>29.869218284077647</v>
      </c>
      <c r="F30" s="22">
        <f t="shared" si="1"/>
        <v>5.8079486764496817</v>
      </c>
      <c r="G30" s="22">
        <f>SUM(G31:G41)</f>
        <v>2.4474740000000001</v>
      </c>
      <c r="H30" s="25">
        <f>SUM(H31:H41)</f>
        <v>3.2069420000000002</v>
      </c>
      <c r="I30" s="22">
        <f t="shared" si="3"/>
        <v>31.030687149281256</v>
      </c>
      <c r="J30" s="22">
        <f t="shared" si="5"/>
        <v>7.6361964259857613</v>
      </c>
      <c r="K30" s="16"/>
    </row>
    <row r="31" spans="1:11">
      <c r="A31" s="14" t="s">
        <v>48</v>
      </c>
      <c r="B31" s="9" t="str">
        <f>CONCATENATE(A31,[10]resumen_pais_primarios!B59)</f>
        <v xml:space="preserve">   Alemania </v>
      </c>
      <c r="C31" s="22">
        <f>[10]resumen_pais_primarios!C59/1000000</f>
        <v>1.814459</v>
      </c>
      <c r="D31" s="25">
        <f>[10]resumen_pais_primarios!D59/1000000</f>
        <v>3.1988940000000001</v>
      </c>
      <c r="E31" s="22">
        <f t="shared" si="0"/>
        <v>76.300153379051267</v>
      </c>
      <c r="F31" s="22">
        <f t="shared" si="1"/>
        <v>0.61207139376734643</v>
      </c>
      <c r="G31" s="22">
        <f>[10]resumen_pais_primarios!E59/1000000</f>
        <v>0.130361</v>
      </c>
      <c r="H31" s="25">
        <f>[10]resumen_pais_primarios!F59/1000000</f>
        <v>0.26688400000000001</v>
      </c>
      <c r="I31" s="22">
        <f t="shared" si="3"/>
        <v>104.726873834966</v>
      </c>
      <c r="J31" s="22">
        <f t="shared" si="5"/>
        <v>0.63548971167947033</v>
      </c>
      <c r="K31" s="16"/>
    </row>
    <row r="32" spans="1:11">
      <c r="A32" s="14" t="s">
        <v>48</v>
      </c>
      <c r="B32" s="9" t="str">
        <f>CONCATENATE(A32,[10]resumen_pais_primarios!B60)</f>
        <v xml:space="preserve">   Bélgica </v>
      </c>
      <c r="C32" s="22">
        <f>[10]resumen_pais_primarios!C60/1000000</f>
        <v>1.6182510000000001</v>
      </c>
      <c r="D32" s="25">
        <f>[10]resumen_pais_primarios!D60/1000000</f>
        <v>3.0515880000000002</v>
      </c>
      <c r="E32" s="22">
        <f t="shared" si="0"/>
        <v>88.573218864069901</v>
      </c>
      <c r="F32" s="22">
        <f t="shared" si="1"/>
        <v>0.58388609324463669</v>
      </c>
      <c r="G32" s="22">
        <f>[10]resumen_pais_primarios!E60/1000000</f>
        <v>0.117328</v>
      </c>
      <c r="H32" s="25">
        <f>[10]resumen_pais_primarios!F60/1000000</f>
        <v>0.472549</v>
      </c>
      <c r="I32" s="22">
        <f t="shared" si="3"/>
        <v>302.75893222419199</v>
      </c>
      <c r="J32" s="22">
        <f t="shared" si="5"/>
        <v>1.1252080595480507</v>
      </c>
      <c r="K32" s="16"/>
    </row>
    <row r="33" spans="1:11">
      <c r="A33" s="14" t="s">
        <v>48</v>
      </c>
      <c r="B33" s="9" t="str">
        <f>CONCATENATE(A33,[10]resumen_pais_primarios!B61)</f>
        <v xml:space="preserve">   Chipre </v>
      </c>
      <c r="C33" s="22">
        <f>[10]resumen_pais_primarios!C61/1000000</f>
        <v>5.7755000000000001E-2</v>
      </c>
      <c r="D33" s="25">
        <f>[10]resumen_pais_primarios!D61/1000000</f>
        <v>0.24392800000000001</v>
      </c>
      <c r="E33" s="22">
        <f t="shared" si="0"/>
        <v>322.34958012293305</v>
      </c>
      <c r="F33" s="22">
        <f t="shared" si="1"/>
        <v>4.6672803456094904E-2</v>
      </c>
      <c r="G33" s="22">
        <f>[10]resumen_pais_primarios!E61/1000000</f>
        <v>0</v>
      </c>
      <c r="H33" s="25">
        <f>[10]resumen_pais_primarios!F61/1000000</f>
        <v>0</v>
      </c>
      <c r="I33" s="22" t="str">
        <f t="shared" si="3"/>
        <v/>
      </c>
      <c r="J33" s="22">
        <f t="shared" si="5"/>
        <v>0</v>
      </c>
      <c r="K33" s="16"/>
    </row>
    <row r="34" spans="1:11">
      <c r="A34" s="14" t="s">
        <v>48</v>
      </c>
      <c r="B34" s="9" t="str">
        <f>CONCATENATE(A34,[10]resumen_pais_primarios!B62)</f>
        <v xml:space="preserve">   Dinamarca </v>
      </c>
      <c r="C34" s="22">
        <f>[10]resumen_pais_primarios!C62/1000000</f>
        <v>0.39655899999999999</v>
      </c>
      <c r="D34" s="25">
        <f>[10]resumen_pais_primarios!D62/1000000</f>
        <v>0.44675799999999999</v>
      </c>
      <c r="E34" s="22">
        <f t="shared" si="0"/>
        <v>12.658646002234208</v>
      </c>
      <c r="F34" s="22">
        <f t="shared" si="1"/>
        <v>8.548197962693109E-2</v>
      </c>
      <c r="G34" s="22">
        <f>[10]resumen_pais_primarios!E62/1000000</f>
        <v>6.6064999999999999E-2</v>
      </c>
      <c r="H34" s="25">
        <f>[10]resumen_pais_primarios!F62/1000000</f>
        <v>0</v>
      </c>
      <c r="I34" s="22" t="str">
        <f t="shared" si="3"/>
        <v/>
      </c>
      <c r="J34" s="22">
        <f t="shared" si="5"/>
        <v>0</v>
      </c>
      <c r="K34" s="16"/>
    </row>
    <row r="35" spans="1:11">
      <c r="A35" s="14" t="s">
        <v>48</v>
      </c>
      <c r="B35" s="9" t="str">
        <f>CONCATENATE(A35,[10]resumen_pais_primarios!B63)</f>
        <v xml:space="preserve">   España </v>
      </c>
      <c r="C35" s="22">
        <f>[10]resumen_pais_primarios!C63/1000000</f>
        <v>3.7379380000000002</v>
      </c>
      <c r="D35" s="25">
        <f>[10]resumen_pais_primarios!D63/1000000</f>
        <v>4.9148339999999999</v>
      </c>
      <c r="E35" s="22">
        <f t="shared" si="0"/>
        <v>31.48516642063084</v>
      </c>
      <c r="F35" s="22">
        <f t="shared" si="1"/>
        <v>0.940396679763425</v>
      </c>
      <c r="G35" s="22">
        <f>[10]resumen_pais_primarios!E63/1000000</f>
        <v>0.24624799999999999</v>
      </c>
      <c r="H35" s="25">
        <f>[10]resumen_pais_primarios!F63/1000000</f>
        <v>0.75933600000000001</v>
      </c>
      <c r="I35" s="22">
        <f t="shared" si="3"/>
        <v>208.36230141970697</v>
      </c>
      <c r="J35" s="22">
        <f t="shared" si="5"/>
        <v>1.8080897157860427</v>
      </c>
      <c r="K35" s="16"/>
    </row>
    <row r="36" spans="1:11">
      <c r="A36" s="14" t="s">
        <v>48</v>
      </c>
      <c r="B36" s="9" t="str">
        <f>CONCATENATE(A36,[10]resumen_pais_primarios!B64)</f>
        <v xml:space="preserve">   Francia </v>
      </c>
      <c r="C36" s="22">
        <f>[10]resumen_pais_primarios!C64/1000000</f>
        <v>3.1522649999999999</v>
      </c>
      <c r="D36" s="25">
        <f>[10]resumen_pais_primarios!D64/1000000</f>
        <v>2.875982</v>
      </c>
      <c r="E36" s="22">
        <f t="shared" si="0"/>
        <v>-8.7645867336661016</v>
      </c>
      <c r="F36" s="22">
        <f t="shared" si="1"/>
        <v>0.55028591481612099</v>
      </c>
      <c r="G36" s="22">
        <f>[10]resumen_pais_primarios!E64/1000000</f>
        <v>0.31834400000000002</v>
      </c>
      <c r="H36" s="25">
        <f>[10]resumen_pais_primarios!F64/1000000</f>
        <v>3.8966000000000001E-2</v>
      </c>
      <c r="I36" s="22">
        <f t="shared" si="3"/>
        <v>-87.759781871183378</v>
      </c>
      <c r="J36" s="22">
        <f t="shared" si="5"/>
        <v>9.2783726657657398E-2</v>
      </c>
      <c r="K36" s="16"/>
    </row>
    <row r="37" spans="1:11">
      <c r="A37" s="14" t="s">
        <v>48</v>
      </c>
      <c r="B37" s="7" t="str">
        <f>CONCATENATE(A37,[10]resumen_pais_primarios!B65)</f>
        <v xml:space="preserve">   Italia </v>
      </c>
      <c r="C37" s="22">
        <f>[10]resumen_pais_primarios!C65/1000000</f>
        <v>1.5651280000000001</v>
      </c>
      <c r="D37" s="25">
        <f>[10]resumen_pais_primarios!D65/1000000</f>
        <v>2.5994440000000001</v>
      </c>
      <c r="E37" s="22">
        <f t="shared" si="0"/>
        <v>66.085074192014972</v>
      </c>
      <c r="F37" s="22">
        <f t="shared" si="1"/>
        <v>0.49737356476962535</v>
      </c>
      <c r="G37" s="22">
        <f>[10]resumen_pais_primarios!E65/1000000</f>
        <v>0.14727499999999999</v>
      </c>
      <c r="H37" s="25">
        <f>[10]resumen_pais_primarios!F65/1000000</f>
        <v>0.26379200000000003</v>
      </c>
      <c r="I37" s="22">
        <f t="shared" si="3"/>
        <v>79.115260566966583</v>
      </c>
      <c r="J37" s="22">
        <f t="shared" si="5"/>
        <v>0.62812720891230212</v>
      </c>
      <c r="K37" s="16"/>
    </row>
    <row r="38" spans="1:11">
      <c r="A38" s="14" t="s">
        <v>48</v>
      </c>
      <c r="B38" s="7" t="str">
        <f>CONCATENATE(A38,[10]resumen_pais_primarios!B66)</f>
        <v xml:space="preserve">   Países Bajos </v>
      </c>
      <c r="C38" s="22">
        <f>[10]resumen_pais_primarios!C66/1000000</f>
        <v>8.1893530000000005</v>
      </c>
      <c r="D38" s="25">
        <f>[10]resumen_pais_primarios!D66/1000000</f>
        <v>9.5526060000000008</v>
      </c>
      <c r="E38" s="22">
        <f t="shared" si="0"/>
        <v>16.646650840426581</v>
      </c>
      <c r="F38" s="22">
        <f t="shared" si="1"/>
        <v>1.8277807481367985</v>
      </c>
      <c r="G38" s="22">
        <f>[10]resumen_pais_primarios!E66/1000000</f>
        <v>0.89211099999999999</v>
      </c>
      <c r="H38" s="25">
        <f>[10]resumen_pais_primarios!F66/1000000</f>
        <v>1.198137</v>
      </c>
      <c r="I38" s="22">
        <f t="shared" si="3"/>
        <v>34.303578814743908</v>
      </c>
      <c r="J38" s="22">
        <f t="shared" si="5"/>
        <v>2.8529388673824787</v>
      </c>
      <c r="K38" s="16"/>
    </row>
    <row r="39" spans="1:11">
      <c r="A39" s="14" t="s">
        <v>48</v>
      </c>
      <c r="B39" s="7" t="str">
        <f>CONCATENATE(A39,[10]resumen_pais_primarios!B67)</f>
        <v xml:space="preserve">   Reino Unido </v>
      </c>
      <c r="C39" s="22">
        <f>[10]resumen_pais_primarios!C67/1000000</f>
        <v>1.455824</v>
      </c>
      <c r="D39" s="25">
        <f>[10]resumen_pais_primarios!D67/1000000</f>
        <v>2.3658329999999999</v>
      </c>
      <c r="E39" s="22">
        <f t="shared" si="0"/>
        <v>62.508174064996844</v>
      </c>
      <c r="F39" s="22">
        <f t="shared" si="1"/>
        <v>0.45267480001862587</v>
      </c>
      <c r="G39" s="22">
        <f>[10]resumen_pais_primarios!E67/1000000</f>
        <v>0.27781299999999998</v>
      </c>
      <c r="H39" s="25">
        <f>[10]resumen_pais_primarios!F67/1000000</f>
        <v>0.10424799999999999</v>
      </c>
      <c r="I39" s="22">
        <f t="shared" si="3"/>
        <v>-62.475478109375729</v>
      </c>
      <c r="J39" s="22">
        <f t="shared" si="5"/>
        <v>0.24822968579293406</v>
      </c>
      <c r="K39" s="16"/>
    </row>
    <row r="40" spans="1:11">
      <c r="A40" s="14" t="s">
        <v>48</v>
      </c>
      <c r="B40" s="9" t="str">
        <f>CONCATENATE(A40,[10]resumen_pais_primarios!B68)</f>
        <v xml:space="preserve">   República Checa</v>
      </c>
      <c r="C40" s="22">
        <f>[10]resumen_pais_primarios!C68/1000000</f>
        <v>0.50457099999999999</v>
      </c>
      <c r="D40" s="25">
        <f>[10]resumen_pais_primarios!D68/1000000</f>
        <v>0.349657</v>
      </c>
      <c r="E40" s="22">
        <f t="shared" si="0"/>
        <v>-30.702121207917223</v>
      </c>
      <c r="F40" s="22">
        <f t="shared" si="1"/>
        <v>6.6902825579875105E-2</v>
      </c>
      <c r="G40" s="22">
        <f>[10]resumen_pais_primarios!E68/1000000</f>
        <v>0.13975899999999999</v>
      </c>
      <c r="H40" s="25">
        <f>[10]resumen_pais_primarios!F68/1000000</f>
        <v>5.6342000000000003E-2</v>
      </c>
      <c r="I40" s="22">
        <f t="shared" si="3"/>
        <v>-59.686317160254433</v>
      </c>
      <c r="J40" s="22">
        <f t="shared" si="5"/>
        <v>0.13415851581752641</v>
      </c>
      <c r="K40" s="16"/>
    </row>
    <row r="41" spans="1:11">
      <c r="A41" s="14" t="s">
        <v>48</v>
      </c>
      <c r="B41" s="9" t="str">
        <f>CONCATENATE(A41,[10]resumen_pais_primarios!B69)</f>
        <v xml:space="preserve">   Resto </v>
      </c>
      <c r="C41" s="22">
        <f>[10]resumen_pais_primarios!C69/1000000</f>
        <v>0.88088900000000003</v>
      </c>
      <c r="D41" s="25">
        <f>[10]resumen_pais_primarios!D69/1000000</f>
        <v>0.75479799999999997</v>
      </c>
      <c r="E41" s="22">
        <f t="shared" si="0"/>
        <v>-14.31406227118287</v>
      </c>
      <c r="F41" s="22">
        <f t="shared" si="1"/>
        <v>0.14442187327020073</v>
      </c>
      <c r="G41" s="22">
        <f>[10]resumen_pais_primarios!E69/1000000</f>
        <v>0.11217000000000001</v>
      </c>
      <c r="H41" s="25">
        <f>[10]resumen_pais_primarios!F69/1000000</f>
        <v>4.6688E-2</v>
      </c>
      <c r="I41" s="22">
        <f t="shared" si="3"/>
        <v>-58.377462779709369</v>
      </c>
      <c r="J41" s="22">
        <f t="shared" si="5"/>
        <v>0.11117093440929807</v>
      </c>
      <c r="K41" s="16"/>
    </row>
    <row r="42" spans="1:11">
      <c r="A42" s="14"/>
      <c r="B42" s="9" t="str">
        <f>+[10]resumen_pais_primarios!B83</f>
        <v>Corea del Sur</v>
      </c>
      <c r="C42" s="22">
        <f>+[10]resumen_pais_primarios!C83/1000000</f>
        <v>7.6150000000000002E-3</v>
      </c>
      <c r="D42" s="25">
        <f>+[10]resumen_pais_primarios!D83/1000000</f>
        <v>2.6249999999999999E-2</v>
      </c>
      <c r="E42" s="22">
        <f t="shared" si="0"/>
        <v>244.71437951411684</v>
      </c>
      <c r="F42" s="22">
        <f t="shared" si="1"/>
        <v>5.0226340999085439E-3</v>
      </c>
      <c r="G42" s="22">
        <f>+[10]resumen_pais_primarios!E83/1000000</f>
        <v>0</v>
      </c>
      <c r="H42" s="25">
        <f>+[10]resumen_pais_primarios!F83/1000000</f>
        <v>0</v>
      </c>
      <c r="I42" s="22" t="str">
        <f t="shared" si="3"/>
        <v/>
      </c>
      <c r="J42" s="22">
        <f t="shared" si="5"/>
        <v>0</v>
      </c>
      <c r="K42" s="16"/>
    </row>
    <row r="43" spans="1:11">
      <c r="A43" s="14"/>
      <c r="B43" s="9" t="str">
        <f>+[10]resumen_pais_primarios!B84</f>
        <v xml:space="preserve">China </v>
      </c>
      <c r="C43" s="22">
        <f>+[10]resumen_pais_primarios!C84/1000000</f>
        <v>7.3760199999999996</v>
      </c>
      <c r="D43" s="25">
        <f>+[10]resumen_pais_primarios!D84/1000000</f>
        <v>12.904798</v>
      </c>
      <c r="E43" s="22">
        <f t="shared" ref="E43:E44" si="10">IF(OR(OR(D43=0,C43=0),D43=""),"",(D43/C43-1)*100)</f>
        <v>74.956114544157955</v>
      </c>
      <c r="F43" s="22">
        <f t="shared" ref="F43:F44" si="11">(D43/D$13)*100</f>
        <v>2.4691839423707269</v>
      </c>
      <c r="G43" s="22">
        <f>+[10]resumen_pais_primarios!E84/1000000</f>
        <v>0.91294399999999998</v>
      </c>
      <c r="H43" s="25">
        <f>+[10]resumen_pais_primarios!F84/1000000</f>
        <v>1.51241</v>
      </c>
      <c r="I43" s="22">
        <f t="shared" ref="I43:I44" si="12">IF(OR(OR(H43=0,G43=0),H43=""),"",(H43/G43-1)*100)</f>
        <v>65.662954135193402</v>
      </c>
      <c r="J43" s="22">
        <f t="shared" ref="J43:J44" si="13">(H43/H$13)*100</f>
        <v>3.6012686966665202</v>
      </c>
      <c r="K43" s="16"/>
    </row>
    <row r="44" spans="1:11">
      <c r="A44" s="14"/>
      <c r="B44" s="9" t="str">
        <f>+[10]resumen_pais_primarios!B85</f>
        <v xml:space="preserve">Japón </v>
      </c>
      <c r="C44" s="22">
        <f>+[10]resumen_pais_primarios!C85/1000000</f>
        <v>8.3707000000000004E-2</v>
      </c>
      <c r="D44" s="25">
        <f>+[10]resumen_pais_primarios!D85/1000000</f>
        <v>0.10957699999999999</v>
      </c>
      <c r="E44" s="22">
        <f t="shared" si="10"/>
        <v>30.905420096288228</v>
      </c>
      <c r="F44" s="22">
        <f t="shared" si="11"/>
        <v>2.0966292448216323E-2</v>
      </c>
      <c r="G44" s="22">
        <f>+[10]resumen_pais_primarios!E85/1000000</f>
        <v>5.9914000000000002E-2</v>
      </c>
      <c r="H44" s="25">
        <f>+[10]resumen_pais_primarios!F85/1000000</f>
        <v>4.1782E-2</v>
      </c>
      <c r="I44" s="22">
        <f t="shared" si="12"/>
        <v>-30.263377507761124</v>
      </c>
      <c r="J44" s="22">
        <f t="shared" si="13"/>
        <v>9.9489033188170248E-2</v>
      </c>
      <c r="K44" s="16"/>
    </row>
    <row r="45" spans="1:11">
      <c r="A45" s="14"/>
      <c r="B45" s="9" t="s">
        <v>5</v>
      </c>
      <c r="C45" s="22">
        <f>+C13-C14+C30-C28-C29-C42-C43-C44</f>
        <v>74.049332149999159</v>
      </c>
      <c r="D45" s="25">
        <f t="shared" ref="D45" si="14">+D13-D14+D30-D28-D29-D42-D43-D44</f>
        <v>106.07900337999973</v>
      </c>
      <c r="E45" s="22">
        <f t="shared" si="0"/>
        <v>43.254503855779802</v>
      </c>
      <c r="F45" s="22">
        <f t="shared" si="1"/>
        <v>20.296991225169535</v>
      </c>
      <c r="G45" s="22">
        <f t="shared" ref="G45:H45" si="15">+G13-G14+G30-G28-G29-G42-G43-G44</f>
        <v>10.270589370000028</v>
      </c>
      <c r="H45" s="25">
        <f t="shared" si="15"/>
        <v>31.163583629999962</v>
      </c>
      <c r="I45" s="22">
        <f t="shared" si="3"/>
        <v>203.42546573838808</v>
      </c>
      <c r="J45" s="22">
        <f t="shared" si="5"/>
        <v>74.205035805547496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25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9"/>
      <c r="E48" s="20"/>
    </row>
    <row r="49" spans="2:5">
      <c r="B49" s="20"/>
      <c r="C49" s="20"/>
      <c r="D49" s="89"/>
      <c r="E49" s="20"/>
    </row>
    <row r="50" spans="2:5">
      <c r="C50" s="20"/>
      <c r="D50" s="89"/>
    </row>
    <row r="51" spans="2:5">
      <c r="C51" s="20"/>
      <c r="D51" s="89"/>
    </row>
    <row r="52" spans="2:5">
      <c r="C52" s="20"/>
      <c r="D52" s="89"/>
      <c r="E52" s="89"/>
    </row>
    <row r="53" spans="2:5">
      <c r="C53" s="20"/>
      <c r="D53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60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57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4" t="s">
        <v>140</v>
      </c>
      <c r="D10" s="114"/>
      <c r="E10" s="113" t="s">
        <v>1</v>
      </c>
      <c r="F10" s="113" t="s">
        <v>4</v>
      </c>
      <c r="G10" s="114" t="s">
        <v>141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104">
        <v>2009</v>
      </c>
      <c r="D11" s="104">
        <v>2010</v>
      </c>
      <c r="E11" s="113"/>
      <c r="F11" s="113"/>
      <c r="G11" s="104">
        <v>2009</v>
      </c>
      <c r="H11" s="104">
        <v>2010</v>
      </c>
      <c r="I11" s="113"/>
      <c r="J11" s="113"/>
      <c r="K11" s="16"/>
      <c r="N11" s="2"/>
    </row>
    <row r="12" spans="1:14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61</v>
      </c>
      <c r="C13" s="25">
        <f>+'Resumen importaciones totales'!C23</f>
        <v>11069.852517100157</v>
      </c>
      <c r="D13" s="25">
        <f>+'Resumen importaciones totales'!D23</f>
        <v>13831.708163960082</v>
      </c>
      <c r="E13" s="25">
        <f>IF(OR(OR(D13=0,C13=0),D13=""),"",(D13/C13-1)*100)</f>
        <v>24.949344560765809</v>
      </c>
      <c r="F13" s="23">
        <f>(D13/D$13)*100</f>
        <v>100</v>
      </c>
      <c r="G13" s="25">
        <f>+'Resumen importaciones totales'!G23</f>
        <v>1215.4024998699997</v>
      </c>
      <c r="H13" s="25">
        <f>+'Resumen importaciones totales'!H23</f>
        <v>1569.9305732199948</v>
      </c>
      <c r="I13" s="25">
        <f>IF(OR(OR(H13=0,G13=0),H13=""),"",(H13/G13-1)*100)</f>
        <v>29.169602118468219</v>
      </c>
      <c r="J13" s="23">
        <f>(H13/H$13)*100</f>
        <v>100</v>
      </c>
      <c r="K13" s="16"/>
    </row>
    <row r="14" spans="1:14">
      <c r="A14" s="14"/>
      <c r="B14" s="10" t="s">
        <v>38</v>
      </c>
      <c r="C14" s="22">
        <f>+C15+C19</f>
        <v>2010.297566</v>
      </c>
      <c r="D14" s="25">
        <f>+D15+D19</f>
        <v>2815.96254</v>
      </c>
      <c r="E14" s="22">
        <f t="shared" ref="E14:E45" si="0">IF(OR(OR(D14=0,C14=0),D14=""),"",(D14/C14-1)*100)</f>
        <v>40.076901431218268</v>
      </c>
      <c r="F14" s="22">
        <f t="shared" ref="F14:F45" si="1">(D14/D$13)*100</f>
        <v>20.358747499728747</v>
      </c>
      <c r="G14" s="22">
        <f>+G15+G19</f>
        <v>231.48732000000001</v>
      </c>
      <c r="H14" s="25">
        <f t="shared" ref="H14" si="2">+H15+H19</f>
        <v>41.868107999999999</v>
      </c>
      <c r="I14" s="22">
        <f t="shared" ref="I14:I45" si="3">IF(OR(OR(H14=0,G14=0),H14=""),"",(H14/G14-1)*100)</f>
        <v>-81.913433530614128</v>
      </c>
      <c r="J14" s="22">
        <f>(H14/H$13)*100</f>
        <v>2.6668764029562606</v>
      </c>
      <c r="K14" s="16"/>
    </row>
    <row r="15" spans="1:14">
      <c r="A15" s="14"/>
      <c r="B15" s="10" t="s">
        <v>41</v>
      </c>
      <c r="C15" s="22">
        <f>+SUM(C16:C18)</f>
        <v>204.802423</v>
      </c>
      <c r="D15" s="25">
        <f>+SUM(D16:D18)</f>
        <v>259.41743699999995</v>
      </c>
      <c r="E15" s="22">
        <f t="shared" si="0"/>
        <v>26.667171803919508</v>
      </c>
      <c r="F15" s="22">
        <f>(D15/D$13)*100</f>
        <v>1.8755271144018089</v>
      </c>
      <c r="G15" s="22">
        <f t="shared" ref="G15:H15" si="4">+SUM(G16:G18)</f>
        <v>16.883335000000002</v>
      </c>
      <c r="H15" s="25">
        <f t="shared" si="4"/>
        <v>41.866098000000001</v>
      </c>
      <c r="I15" s="22">
        <f t="shared" si="3"/>
        <v>147.97291530375958</v>
      </c>
      <c r="J15" s="22">
        <f t="shared" ref="J15:J45" si="5">(H15/H$13)*100</f>
        <v>2.6667483718169041</v>
      </c>
      <c r="K15" s="16"/>
    </row>
    <row r="16" spans="1:14">
      <c r="A16" s="14" t="s">
        <v>48</v>
      </c>
      <c r="B16" s="9" t="str">
        <f>CONCATENATE(A16,[11]resumen_pais_manufacturas!B7)</f>
        <v xml:space="preserve">   Bolivia</v>
      </c>
      <c r="C16" s="22">
        <f>[11]resumen_pais_manufacturas!C7/1000000</f>
        <v>1.611057</v>
      </c>
      <c r="D16" s="25">
        <f>[11]resumen_pais_manufacturas!D7/1000000</f>
        <v>4.1025720000000003</v>
      </c>
      <c r="E16" s="22">
        <f t="shared" si="0"/>
        <v>154.65095275958581</v>
      </c>
      <c r="F16" s="22">
        <f t="shared" si="1"/>
        <v>2.9660631581930476E-2</v>
      </c>
      <c r="G16" s="22">
        <f>[11]resumen_pais_manufacturas!E7/1000000</f>
        <v>0.17790400000000001</v>
      </c>
      <c r="H16" s="25">
        <f>[11]resumen_pais_manufacturas!F7/1000000</f>
        <v>0.916238</v>
      </c>
      <c r="I16" s="22">
        <f t="shared" si="3"/>
        <v>415.01821206943072</v>
      </c>
      <c r="J16" s="22">
        <f t="shared" si="5"/>
        <v>5.8361689085445145E-2</v>
      </c>
      <c r="K16" s="16"/>
    </row>
    <row r="17" spans="1:11">
      <c r="A17" s="14" t="s">
        <v>48</v>
      </c>
      <c r="B17" s="9" t="str">
        <f>CONCATENATE(A17,[11]resumen_pais_manufacturas!B8)</f>
        <v xml:space="preserve">   Ecuador</v>
      </c>
      <c r="C17" s="22">
        <f>[11]resumen_pais_manufacturas!C8/1000000</f>
        <v>98.353442000000001</v>
      </c>
      <c r="D17" s="25">
        <f>[11]resumen_pais_manufacturas!D8/1000000</f>
        <v>126.43703499999999</v>
      </c>
      <c r="E17" s="22">
        <f t="shared" si="0"/>
        <v>28.55374700562081</v>
      </c>
      <c r="F17" s="22">
        <f t="shared" si="1"/>
        <v>0.91411005424076619</v>
      </c>
      <c r="G17" s="22">
        <f>[11]resumen_pais_manufacturas!E8/1000000</f>
        <v>6.251576</v>
      </c>
      <c r="H17" s="25">
        <f>[11]resumen_pais_manufacturas!F8/1000000</f>
        <v>27.011564</v>
      </c>
      <c r="I17" s="22">
        <f t="shared" si="3"/>
        <v>332.07607169776071</v>
      </c>
      <c r="J17" s="22">
        <f t="shared" si="5"/>
        <v>1.7205578680207574</v>
      </c>
      <c r="K17" s="16"/>
    </row>
    <row r="18" spans="1:11">
      <c r="A18" s="14" t="s">
        <v>48</v>
      </c>
      <c r="B18" s="9" t="str">
        <f>CONCATENATE(A18,[11]resumen_pais_manufacturas!B9)</f>
        <v xml:space="preserve">   Perú </v>
      </c>
      <c r="C18" s="22">
        <f>[11]resumen_pais_manufacturas!C9/1000000</f>
        <v>104.837924</v>
      </c>
      <c r="D18" s="25">
        <f>[11]resumen_pais_manufacturas!D9/1000000</f>
        <v>128.87782999999999</v>
      </c>
      <c r="E18" s="22">
        <f t="shared" si="0"/>
        <v>22.930543721945497</v>
      </c>
      <c r="F18" s="22">
        <f t="shared" si="1"/>
        <v>0.93175642857911234</v>
      </c>
      <c r="G18" s="22">
        <f>[11]resumen_pais_manufacturas!E9/1000000</f>
        <v>10.453855000000001</v>
      </c>
      <c r="H18" s="25">
        <f>[11]resumen_pais_manufacturas!F9/1000000</f>
        <v>13.938295999999999</v>
      </c>
      <c r="I18" s="22">
        <f t="shared" si="3"/>
        <v>33.331636989416815</v>
      </c>
      <c r="J18" s="22">
        <f t="shared" si="5"/>
        <v>0.88782881471070141</v>
      </c>
      <c r="K18" s="16"/>
    </row>
    <row r="19" spans="1:11">
      <c r="A19" s="14"/>
      <c r="B19" s="10" t="s">
        <v>42</v>
      </c>
      <c r="C19" s="22">
        <f>SUM(C20:C26)</f>
        <v>1805.4951429999999</v>
      </c>
      <c r="D19" s="25">
        <f>SUM(D20:D26)</f>
        <v>2556.5451029999999</v>
      </c>
      <c r="E19" s="22">
        <f t="shared" si="0"/>
        <v>41.598005007759809</v>
      </c>
      <c r="F19" s="22">
        <f t="shared" si="1"/>
        <v>18.483220385326938</v>
      </c>
      <c r="G19" s="22">
        <f>SUM(G20:G26)</f>
        <v>214.60398500000002</v>
      </c>
      <c r="H19" s="25">
        <f>+[9]resumen_pais_destino!F22/1000000</f>
        <v>2.0100000000000001E-3</v>
      </c>
      <c r="I19" s="22">
        <f t="shared" si="3"/>
        <v>-99.999063391110838</v>
      </c>
      <c r="J19" s="22">
        <f t="shared" si="5"/>
        <v>1.2803113935652607E-4</v>
      </c>
      <c r="K19" s="16"/>
    </row>
    <row r="20" spans="1:11">
      <c r="A20" s="14" t="s">
        <v>48</v>
      </c>
      <c r="B20" s="9" t="str">
        <f>CONCATENATE(A20,[11]resumen_pais_manufacturas!B23)</f>
        <v xml:space="preserve">   Argentina</v>
      </c>
      <c r="C20" s="22">
        <f>[11]resumen_pais_manufacturas!C23/1000000</f>
        <v>151.19477699999999</v>
      </c>
      <c r="D20" s="25">
        <f>[11]resumen_pais_manufacturas!D23/1000000</f>
        <v>177.953878</v>
      </c>
      <c r="E20" s="22">
        <f t="shared" si="0"/>
        <v>17.698429490061041</v>
      </c>
      <c r="F20" s="22">
        <f t="shared" si="1"/>
        <v>1.2865647242592702</v>
      </c>
      <c r="G20" s="22">
        <f>[11]resumen_pais_manufacturas!E23/1000000</f>
        <v>14.857569</v>
      </c>
      <c r="H20" s="25">
        <f>[11]resumen_pais_manufacturas!F23/1000000</f>
        <v>16.744419000000001</v>
      </c>
      <c r="I20" s="22">
        <f t="shared" si="3"/>
        <v>12.699587664711508</v>
      </c>
      <c r="J20" s="22">
        <f t="shared" si="5"/>
        <v>1.0665706678771456</v>
      </c>
      <c r="K20" s="16"/>
    </row>
    <row r="21" spans="1:11">
      <c r="A21" s="14" t="s">
        <v>48</v>
      </c>
      <c r="B21" s="9" t="str">
        <f>CONCATENATE(A21,[11]resumen_pais_manufacturas!B24)</f>
        <v xml:space="preserve">   Brasil </v>
      </c>
      <c r="C21" s="22">
        <f>[11]resumen_pais_manufacturas!C24/1000000</f>
        <v>680.03363400000001</v>
      </c>
      <c r="D21" s="25">
        <f>[11]resumen_pais_manufacturas!D24/1000000</f>
        <v>679.15745700000002</v>
      </c>
      <c r="E21" s="22">
        <f t="shared" si="0"/>
        <v>-0.12884318601217304</v>
      </c>
      <c r="F21" s="22">
        <f t="shared" si="1"/>
        <v>4.9101488330242073</v>
      </c>
      <c r="G21" s="22">
        <f>[11]resumen_pais_manufacturas!E24/1000000</f>
        <v>50.648727000000001</v>
      </c>
      <c r="H21" s="25">
        <f>[11]resumen_pais_manufacturas!F24/1000000</f>
        <v>78.352825999999993</v>
      </c>
      <c r="I21" s="22">
        <f t="shared" si="3"/>
        <v>54.698509994140608</v>
      </c>
      <c r="J21" s="22">
        <f t="shared" si="5"/>
        <v>4.9908465594943472</v>
      </c>
      <c r="K21" s="16"/>
    </row>
    <row r="22" spans="1:11">
      <c r="A22" s="14" t="s">
        <v>48</v>
      </c>
      <c r="B22" s="9" t="str">
        <f>CONCATENATE(A22,[11]resumen_pais_manufacturas!B25)</f>
        <v xml:space="preserve">   Cuba </v>
      </c>
      <c r="C22" s="22">
        <f>[11]resumen_pais_manufacturas!C25/1000000</f>
        <v>2.0418790000000002</v>
      </c>
      <c r="D22" s="25">
        <f>[11]resumen_pais_manufacturas!D25/1000000</f>
        <v>3.033728</v>
      </c>
      <c r="E22" s="22">
        <f t="shared" si="0"/>
        <v>48.575307351708872</v>
      </c>
      <c r="F22" s="22">
        <f t="shared" si="1"/>
        <v>2.1933140607352356E-2</v>
      </c>
      <c r="G22" s="22">
        <f>[11]resumen_pais_manufacturas!E25/1000000</f>
        <v>7.1159E-2</v>
      </c>
      <c r="H22" s="25">
        <f>[11]resumen_pais_manufacturas!F25/1000000</f>
        <v>0.41039700000000001</v>
      </c>
      <c r="I22" s="22">
        <f t="shared" si="3"/>
        <v>476.73238803243441</v>
      </c>
      <c r="J22" s="22">
        <f t="shared" si="5"/>
        <v>2.6141092287811057E-2</v>
      </c>
      <c r="K22" s="16"/>
    </row>
    <row r="23" spans="1:11">
      <c r="A23" s="14" t="s">
        <v>48</v>
      </c>
      <c r="B23" s="9" t="str">
        <f>CONCATENATE(A23,[11]resumen_pais_manufacturas!B26)</f>
        <v xml:space="preserve">   Chile </v>
      </c>
      <c r="C23" s="22">
        <f>[11]resumen_pais_manufacturas!C26/1000000</f>
        <v>249.849819</v>
      </c>
      <c r="D23" s="25">
        <f>[11]resumen_pais_manufacturas!D26/1000000</f>
        <v>329.05316299999998</v>
      </c>
      <c r="E23" s="22">
        <f t="shared" si="0"/>
        <v>31.700380779543401</v>
      </c>
      <c r="F23" s="22">
        <f t="shared" si="1"/>
        <v>2.378977051130831</v>
      </c>
      <c r="G23" s="22">
        <f>[11]resumen_pais_manufacturas!E26/1000000</f>
        <v>16.842307000000002</v>
      </c>
      <c r="H23" s="25">
        <f>[11]resumen_pais_manufacturas!F26/1000000</f>
        <v>31.391366000000001</v>
      </c>
      <c r="I23" s="22">
        <f t="shared" si="3"/>
        <v>86.384003094112941</v>
      </c>
      <c r="J23" s="22">
        <f t="shared" si="5"/>
        <v>1.9995384850436388</v>
      </c>
      <c r="K23" s="16"/>
    </row>
    <row r="24" spans="1:11">
      <c r="A24" s="14" t="s">
        <v>48</v>
      </c>
      <c r="B24" s="9" t="str">
        <f>CONCATENATE(A24,[11]resumen_pais_manufacturas!B27)</f>
        <v xml:space="preserve">   México </v>
      </c>
      <c r="C24" s="22">
        <f>[11]resumen_pais_manufacturas!C27/1000000</f>
        <v>667.02576399999998</v>
      </c>
      <c r="D24" s="25">
        <f>[11]resumen_pais_manufacturas!D27/1000000</f>
        <v>1306.861778</v>
      </c>
      <c r="E24" s="22">
        <f t="shared" si="0"/>
        <v>95.923733164825691</v>
      </c>
      <c r="F24" s="22">
        <f t="shared" si="1"/>
        <v>9.4483035826707287</v>
      </c>
      <c r="G24" s="22">
        <f>[11]resumen_pais_manufacturas!E27/1000000</f>
        <v>127.568156</v>
      </c>
      <c r="H24" s="25">
        <f>[11]resumen_pais_manufacturas!F27/1000000</f>
        <v>180.231874</v>
      </c>
      <c r="I24" s="22">
        <f t="shared" si="3"/>
        <v>41.282808853958826</v>
      </c>
      <c r="J24" s="22">
        <f t="shared" si="5"/>
        <v>11.48024486397107</v>
      </c>
      <c r="K24" s="16"/>
    </row>
    <row r="25" spans="1:11">
      <c r="A25" s="14" t="s">
        <v>48</v>
      </c>
      <c r="B25" s="9" t="str">
        <f>CONCATENATE(A25,[11]resumen_pais_manufacturas!B28)</f>
        <v xml:space="preserve">   Paraguay </v>
      </c>
      <c r="C25" s="22">
        <f>[11]resumen_pais_manufacturas!C28/1000000</f>
        <v>0.82686499999999996</v>
      </c>
      <c r="D25" s="25">
        <f>[11]resumen_pais_manufacturas!D28/1000000</f>
        <v>1.683872</v>
      </c>
      <c r="E25" s="22">
        <f t="shared" si="0"/>
        <v>103.64533509097615</v>
      </c>
      <c r="F25" s="22">
        <f t="shared" si="1"/>
        <v>1.2173998901939671E-2</v>
      </c>
      <c r="G25" s="22">
        <f>[11]resumen_pais_manufacturas!E28/1000000</f>
        <v>9.0753E-2</v>
      </c>
      <c r="H25" s="25">
        <f>[11]resumen_pais_manufacturas!F28/1000000</f>
        <v>0.10624400000000001</v>
      </c>
      <c r="I25" s="22">
        <f t="shared" si="3"/>
        <v>17.069408173834489</v>
      </c>
      <c r="J25" s="22">
        <f t="shared" si="5"/>
        <v>6.7674330197983849E-3</v>
      </c>
      <c r="K25" s="16"/>
    </row>
    <row r="26" spans="1:11">
      <c r="A26" s="14" t="s">
        <v>48</v>
      </c>
      <c r="B26" s="9" t="str">
        <f>CONCATENATE(A26,[11]resumen_pais_manufacturas!B29)</f>
        <v xml:space="preserve">   Uruguay </v>
      </c>
      <c r="C26" s="22">
        <f>[11]resumen_pais_manufacturas!C29/1000000</f>
        <v>54.522404999999999</v>
      </c>
      <c r="D26" s="25">
        <f>[11]resumen_pais_manufacturas!D29/1000000</f>
        <v>58.801226999999997</v>
      </c>
      <c r="E26" s="22">
        <f t="shared" si="0"/>
        <v>7.8478232939284354</v>
      </c>
      <c r="F26" s="22">
        <f t="shared" si="1"/>
        <v>0.42511905473260742</v>
      </c>
      <c r="G26" s="22">
        <f>[11]resumen_pais_manufacturas!E29/1000000</f>
        <v>4.5253139999999998</v>
      </c>
      <c r="H26" s="25">
        <f>[11]resumen_pais_manufacturas!F29/1000000</f>
        <v>6.9096780000000004</v>
      </c>
      <c r="I26" s="22">
        <f t="shared" si="3"/>
        <v>52.689470830090478</v>
      </c>
      <c r="J26" s="22">
        <f t="shared" si="5"/>
        <v>0.4401263417545882</v>
      </c>
      <c r="K26" s="16"/>
    </row>
    <row r="27" spans="1:11">
      <c r="A27" s="14" t="s">
        <v>48</v>
      </c>
      <c r="B27" s="9" t="str">
        <f>CONCATENATE(A27,[11]resumen_pais_manufacturas!B30)</f>
        <v xml:space="preserve">   Venezuela</v>
      </c>
      <c r="C27" s="22">
        <f>[11]resumen_pais_manufacturas!C30/1000000</f>
        <v>160.06481299999999</v>
      </c>
      <c r="D27" s="25">
        <f>[11]resumen_pais_manufacturas!D30/1000000</f>
        <v>65.979911000000001</v>
      </c>
      <c r="E27" s="22">
        <f t="shared" ref="E27" si="6">IF(OR(OR(D27=0,C27=0),D27=""),"",(D27/C27-1)*100)</f>
        <v>-58.77925337656815</v>
      </c>
      <c r="F27" s="22">
        <f t="shared" ref="F27" si="7">(D27/D$13)*100</f>
        <v>0.47701925328295569</v>
      </c>
      <c r="G27" s="22">
        <f>[11]resumen_pais_manufacturas!E30/1000000</f>
        <v>7.8988370000000003</v>
      </c>
      <c r="H27" s="25">
        <f>[11]resumen_pais_manufacturas!F30/1000000</f>
        <v>8.9644189999999995</v>
      </c>
      <c r="I27" s="22">
        <f t="shared" ref="I27" si="8">IF(OR(OR(H27=0,G27=0),H27=""),"",(H27/G27-1)*100)</f>
        <v>13.490365733588373</v>
      </c>
      <c r="J27" s="22">
        <f t="shared" ref="J27" si="9">(H27/H$13)*100</f>
        <v>0.57100735235785571</v>
      </c>
      <c r="K27" s="16"/>
    </row>
    <row r="28" spans="1:11">
      <c r="A28" s="14" t="s">
        <v>48</v>
      </c>
      <c r="B28" s="9" t="str">
        <f>+[11]resumen_pais_manufacturas!B44</f>
        <v xml:space="preserve">Canadá </v>
      </c>
      <c r="C28" s="22">
        <f>+[11]resumen_pais_manufacturas!C44/1000000</f>
        <v>64.687352000000004</v>
      </c>
      <c r="D28" s="25">
        <f>+[11]resumen_pais_manufacturas!D44/1000000</f>
        <v>106.66925999999999</v>
      </c>
      <c r="E28" s="22">
        <f t="shared" si="0"/>
        <v>64.899716408240039</v>
      </c>
      <c r="F28" s="22">
        <f t="shared" si="1"/>
        <v>0.77119368580908587</v>
      </c>
      <c r="G28" s="22">
        <f>+[11]resumen_pais_manufacturas!E44/1000000</f>
        <v>7.588527</v>
      </c>
      <c r="H28" s="25">
        <f>+[11]resumen_pais_manufacturas!F44/1000000</f>
        <v>11.017267</v>
      </c>
      <c r="I28" s="22">
        <f t="shared" si="3"/>
        <v>45.183208809825672</v>
      </c>
      <c r="J28" s="22">
        <f t="shared" si="5"/>
        <v>0.70176778438062482</v>
      </c>
      <c r="K28" s="16"/>
    </row>
    <row r="29" spans="1:11">
      <c r="A29" s="14" t="s">
        <v>48</v>
      </c>
      <c r="B29" s="9" t="str">
        <f>+[11]resumen_pais_manufacturas!B45</f>
        <v>Estados Unidos</v>
      </c>
      <c r="C29" s="22">
        <f>+[11]resumen_pais_manufacturas!C45/1000000</f>
        <v>3047.7178789999998</v>
      </c>
      <c r="D29" s="25">
        <f>+[11]resumen_pais_manufacturas!D45/1000000</f>
        <v>3717.23207</v>
      </c>
      <c r="E29" s="22">
        <f t="shared" si="0"/>
        <v>21.967721999901045</v>
      </c>
      <c r="F29" s="22">
        <f t="shared" si="1"/>
        <v>26.874714431046375</v>
      </c>
      <c r="G29" s="22">
        <f>+[11]resumen_pais_manufacturas!E45/1000000</f>
        <v>339.52808800000003</v>
      </c>
      <c r="H29" s="25">
        <f>+[11]resumen_pais_manufacturas!F45/1000000</f>
        <v>430.91703000000001</v>
      </c>
      <c r="I29" s="22">
        <f t="shared" si="3"/>
        <v>26.916460001388742</v>
      </c>
      <c r="J29" s="22">
        <f t="shared" si="5"/>
        <v>27.448158367676779</v>
      </c>
      <c r="K29" s="16"/>
    </row>
    <row r="30" spans="1:11">
      <c r="A30" s="14"/>
      <c r="B30" s="10" t="s">
        <v>39</v>
      </c>
      <c r="C30" s="22">
        <f>SUM(C31:C40)</f>
        <v>2579.8964559999999</v>
      </c>
      <c r="D30" s="25">
        <f>SUM(D31:D40)</f>
        <v>2459.3169360000002</v>
      </c>
      <c r="E30" s="22">
        <f t="shared" si="0"/>
        <v>-4.6738123818717998</v>
      </c>
      <c r="F30" s="22">
        <f t="shared" si="1"/>
        <v>17.780283583541763</v>
      </c>
      <c r="G30" s="22">
        <f>SUM(G31:G40)</f>
        <v>283.00757699999997</v>
      </c>
      <c r="H30" s="25">
        <f>SUM(H31:H40)</f>
        <v>208.976857</v>
      </c>
      <c r="I30" s="22">
        <f t="shared" si="3"/>
        <v>-26.158564652140026</v>
      </c>
      <c r="J30" s="22">
        <f t="shared" si="5"/>
        <v>13.311216468087473</v>
      </c>
      <c r="K30" s="16"/>
    </row>
    <row r="31" spans="1:11">
      <c r="A31" s="14" t="s">
        <v>48</v>
      </c>
      <c r="B31" s="9" t="str">
        <f>CONCATENATE(A31,[11]resumen_pais_manufacturas!B59)</f>
        <v xml:space="preserve">   Alemania </v>
      </c>
      <c r="C31" s="22">
        <f>[11]resumen_pais_manufacturas!C59/1000000</f>
        <v>440.67763400000001</v>
      </c>
      <c r="D31" s="25">
        <f>[11]resumen_pais_manufacturas!D59/1000000</f>
        <v>593.08089299999995</v>
      </c>
      <c r="E31" s="22">
        <f t="shared" si="0"/>
        <v>34.58384252830038</v>
      </c>
      <c r="F31" s="22">
        <f t="shared" si="1"/>
        <v>4.2878355006457722</v>
      </c>
      <c r="G31" s="22">
        <f>[11]resumen_pais_manufacturas!E59/1000000</f>
        <v>89.797006999999994</v>
      </c>
      <c r="H31" s="25">
        <f>[11]resumen_pais_manufacturas!F59/1000000</f>
        <v>52.691101000000003</v>
      </c>
      <c r="I31" s="22">
        <f t="shared" si="3"/>
        <v>-41.321985263940917</v>
      </c>
      <c r="J31" s="22">
        <f t="shared" si="5"/>
        <v>3.3562694999899452</v>
      </c>
      <c r="K31" s="16"/>
    </row>
    <row r="32" spans="1:11">
      <c r="A32" s="14" t="s">
        <v>48</v>
      </c>
      <c r="B32" s="9" t="str">
        <f>CONCATENATE(A32,[11]resumen_pais_manufacturas!B60)</f>
        <v xml:space="preserve">   Bélgica </v>
      </c>
      <c r="C32" s="22">
        <f>[11]resumen_pais_manufacturas!C60/1000000</f>
        <v>278.72024900000002</v>
      </c>
      <c r="D32" s="25">
        <f>[11]resumen_pais_manufacturas!D60/1000000</f>
        <v>397.23090200000001</v>
      </c>
      <c r="E32" s="22">
        <f t="shared" si="0"/>
        <v>42.519570582042633</v>
      </c>
      <c r="F32" s="22">
        <f t="shared" si="1"/>
        <v>2.8718860844318952</v>
      </c>
      <c r="G32" s="22">
        <f>[11]resumen_pais_manufacturas!E60/1000000</f>
        <v>35.242282000000003</v>
      </c>
      <c r="H32" s="25">
        <f>[11]resumen_pais_manufacturas!F60/1000000</f>
        <v>50.311315</v>
      </c>
      <c r="I32" s="22">
        <f t="shared" si="3"/>
        <v>42.75839175227074</v>
      </c>
      <c r="J32" s="22">
        <f t="shared" si="5"/>
        <v>3.2046840706343684</v>
      </c>
      <c r="K32" s="16"/>
    </row>
    <row r="33" spans="1:11">
      <c r="A33" s="14" t="s">
        <v>48</v>
      </c>
      <c r="B33" s="9" t="str">
        <f>CONCATENATE(A33,[11]resumen_pais_manufacturas!B61)</f>
        <v xml:space="preserve">   Dinamarca </v>
      </c>
      <c r="C33" s="22">
        <f>[11]resumen_pais_manufacturas!C61/1000000</f>
        <v>18.606978000000002</v>
      </c>
      <c r="D33" s="25">
        <f>[11]resumen_pais_manufacturas!D61/1000000</f>
        <v>31.279032000000001</v>
      </c>
      <c r="E33" s="22">
        <f t="shared" si="0"/>
        <v>68.103772681410163</v>
      </c>
      <c r="F33" s="22">
        <f t="shared" si="1"/>
        <v>0.22614005175080754</v>
      </c>
      <c r="G33" s="22">
        <f>[11]resumen_pais_manufacturas!E61/1000000</f>
        <v>1.7858270000000001</v>
      </c>
      <c r="H33" s="25">
        <f>[11]resumen_pais_manufacturas!F61/1000000</f>
        <v>3.2587830000000002</v>
      </c>
      <c r="I33" s="22">
        <f t="shared" si="3"/>
        <v>82.480329841580399</v>
      </c>
      <c r="J33" s="22">
        <f t="shared" si="5"/>
        <v>0.20757497532620803</v>
      </c>
      <c r="K33" s="16"/>
    </row>
    <row r="34" spans="1:11">
      <c r="A34" s="14" t="s">
        <v>48</v>
      </c>
      <c r="B34" s="9" t="str">
        <f>CONCATENATE(A34,[11]resumen_pais_manufacturas!B62)</f>
        <v xml:space="preserve">   España </v>
      </c>
      <c r="C34" s="22">
        <f>[11]resumen_pais_manufacturas!C62/1000000</f>
        <v>194.744642</v>
      </c>
      <c r="D34" s="25">
        <f>[11]resumen_pais_manufacturas!D62/1000000</f>
        <v>193.05991499999999</v>
      </c>
      <c r="E34" s="22">
        <f t="shared" si="0"/>
        <v>-0.86509543096955355</v>
      </c>
      <c r="F34" s="22">
        <f t="shared" si="1"/>
        <v>1.395777822315809</v>
      </c>
      <c r="G34" s="22">
        <f>[11]resumen_pais_manufacturas!E62/1000000</f>
        <v>17.647368</v>
      </c>
      <c r="H34" s="25">
        <f>[11]resumen_pais_manufacturas!F62/1000000</f>
        <v>14.708345</v>
      </c>
      <c r="I34" s="22">
        <f t="shared" si="3"/>
        <v>-16.654171885575231</v>
      </c>
      <c r="J34" s="22">
        <f t="shared" si="5"/>
        <v>0.93687869074570318</v>
      </c>
      <c r="K34" s="16"/>
    </row>
    <row r="35" spans="1:11">
      <c r="A35" s="14" t="s">
        <v>48</v>
      </c>
      <c r="B35" s="9" t="str">
        <f>CONCATENATE(A35,[11]resumen_pais_manufacturas!B63)</f>
        <v xml:space="preserve">   Finlandia </v>
      </c>
      <c r="C35" s="22">
        <f>[11]resumen_pais_manufacturas!C63/1000000</f>
        <v>40.909582999999998</v>
      </c>
      <c r="D35" s="25">
        <f>[11]resumen_pais_manufacturas!D63/1000000</f>
        <v>48.593634999999999</v>
      </c>
      <c r="E35" s="22">
        <f t="shared" si="0"/>
        <v>18.783012283454468</v>
      </c>
      <c r="F35" s="22">
        <f t="shared" si="1"/>
        <v>0.35132056304235543</v>
      </c>
      <c r="G35" s="22">
        <f>[11]resumen_pais_manufacturas!E63/1000000</f>
        <v>3.0731850000000001</v>
      </c>
      <c r="H35" s="25">
        <f>[11]resumen_pais_manufacturas!F63/1000000</f>
        <v>4.5179070000000001</v>
      </c>
      <c r="I35" s="22">
        <f t="shared" si="3"/>
        <v>47.010576974702147</v>
      </c>
      <c r="J35" s="22">
        <f t="shared" si="5"/>
        <v>0.28777750284419135</v>
      </c>
      <c r="K35" s="16"/>
    </row>
    <row r="36" spans="1:11">
      <c r="A36" s="14" t="s">
        <v>48</v>
      </c>
      <c r="B36" s="7" t="str">
        <f>CONCATENATE(A36,[11]resumen_pais_manufacturas!B64)</f>
        <v xml:space="preserve">   Francia </v>
      </c>
      <c r="C36" s="22">
        <f>[11]resumen_pais_manufacturas!C64/1000000</f>
        <v>991.30776500000002</v>
      </c>
      <c r="D36" s="25">
        <f>[11]resumen_pais_manufacturas!D64/1000000</f>
        <v>544.33002999999997</v>
      </c>
      <c r="E36" s="22">
        <f t="shared" si="0"/>
        <v>-45.089703801523243</v>
      </c>
      <c r="F36" s="22">
        <f t="shared" si="1"/>
        <v>3.9353782161071549</v>
      </c>
      <c r="G36" s="22">
        <f>[11]resumen_pais_manufacturas!E64/1000000</f>
        <v>72.697327999999999</v>
      </c>
      <c r="H36" s="25">
        <f>[11]resumen_pais_manufacturas!F64/1000000</f>
        <v>18.644915999999998</v>
      </c>
      <c r="I36" s="22">
        <f t="shared" si="3"/>
        <v>-74.352680472657823</v>
      </c>
      <c r="J36" s="22">
        <f t="shared" si="5"/>
        <v>1.1876267854162796</v>
      </c>
      <c r="K36" s="16"/>
    </row>
    <row r="37" spans="1:11">
      <c r="A37" s="14" t="s">
        <v>48</v>
      </c>
      <c r="B37" s="7" t="str">
        <f>CONCATENATE(A37,[11]resumen_pais_manufacturas!B65)</f>
        <v xml:space="preserve">   Italia </v>
      </c>
      <c r="C37" s="22">
        <f>[11]resumen_pais_manufacturas!C65/1000000</f>
        <v>172.78849500000001</v>
      </c>
      <c r="D37" s="25">
        <f>[11]resumen_pais_manufacturas!D65/1000000</f>
        <v>217.099267</v>
      </c>
      <c r="E37" s="22">
        <f t="shared" si="0"/>
        <v>25.644515278635872</v>
      </c>
      <c r="F37" s="22">
        <f t="shared" si="1"/>
        <v>1.5695766887684499</v>
      </c>
      <c r="G37" s="22">
        <f>[11]resumen_pais_manufacturas!E65/1000000</f>
        <v>15.798477999999999</v>
      </c>
      <c r="H37" s="25">
        <f>[11]resumen_pais_manufacturas!F65/1000000</f>
        <v>22.943888000000001</v>
      </c>
      <c r="I37" s="22">
        <f t="shared" si="3"/>
        <v>45.22847074256142</v>
      </c>
      <c r="J37" s="22">
        <f t="shared" si="5"/>
        <v>1.4614587671186698</v>
      </c>
      <c r="K37" s="16"/>
    </row>
    <row r="38" spans="1:11">
      <c r="A38" s="14" t="s">
        <v>48</v>
      </c>
      <c r="B38" s="7" t="str">
        <f>CONCATENATE(A38,[11]resumen_pais_manufacturas!B66)</f>
        <v xml:space="preserve">   Países Bajos </v>
      </c>
      <c r="C38" s="22">
        <f>[11]resumen_pais_manufacturas!C66/1000000</f>
        <v>177.97688600000001</v>
      </c>
      <c r="D38" s="25">
        <f>[11]resumen_pais_manufacturas!D66/1000000</f>
        <v>174.82833199999999</v>
      </c>
      <c r="E38" s="22">
        <f t="shared" si="0"/>
        <v>-1.7690802838296715</v>
      </c>
      <c r="F38" s="22">
        <f t="shared" si="1"/>
        <v>1.26396776108632</v>
      </c>
      <c r="G38" s="22">
        <f>[11]resumen_pais_manufacturas!E66/1000000</f>
        <v>21.392631999999999</v>
      </c>
      <c r="H38" s="25">
        <f>[11]resumen_pais_manufacturas!F66/1000000</f>
        <v>17.61093</v>
      </c>
      <c r="I38" s="22">
        <f t="shared" si="3"/>
        <v>-17.677591050974929</v>
      </c>
      <c r="J38" s="22">
        <f t="shared" si="5"/>
        <v>1.121764892053744</v>
      </c>
      <c r="K38" s="16"/>
    </row>
    <row r="39" spans="1:11">
      <c r="A39" s="14" t="s">
        <v>48</v>
      </c>
      <c r="B39" s="9" t="str">
        <f>CONCATENATE(A39,[11]resumen_pais_manufacturas!B67)</f>
        <v xml:space="preserve">   Reino Unido </v>
      </c>
      <c r="C39" s="22">
        <f>[11]resumen_pais_manufacturas!C67/1000000</f>
        <v>221.81100599999999</v>
      </c>
      <c r="D39" s="25">
        <f>[11]resumen_pais_manufacturas!D67/1000000</f>
        <v>205.94404</v>
      </c>
      <c r="E39" s="22">
        <f t="shared" si="0"/>
        <v>-7.1533718214144892</v>
      </c>
      <c r="F39" s="22">
        <f t="shared" si="1"/>
        <v>1.4889270186932375</v>
      </c>
      <c r="G39" s="22">
        <f>[11]resumen_pais_manufacturas!E67/1000000</f>
        <v>21.927040000000002</v>
      </c>
      <c r="H39" s="25">
        <f>[11]resumen_pais_manufacturas!F67/1000000</f>
        <v>18.637430999999999</v>
      </c>
      <c r="I39" s="22">
        <f t="shared" si="3"/>
        <v>-15.002522000233508</v>
      </c>
      <c r="J39" s="22">
        <f t="shared" si="5"/>
        <v>1.1871500127406165</v>
      </c>
      <c r="K39" s="16"/>
    </row>
    <row r="40" spans="1:11">
      <c r="A40" s="14" t="s">
        <v>48</v>
      </c>
      <c r="B40" s="9" t="str">
        <f>CONCATENATE(A40,[11]resumen_pais_manufacturas!B68)</f>
        <v xml:space="preserve">   Suecia </v>
      </c>
      <c r="C40" s="22">
        <f>[11]resumen_pais_manufacturas!C68/1000000</f>
        <v>42.353217999999998</v>
      </c>
      <c r="D40" s="25">
        <f>[11]resumen_pais_manufacturas!D68/1000000</f>
        <v>53.870890000000003</v>
      </c>
      <c r="E40" s="22">
        <f t="shared" si="0"/>
        <v>27.194325588199717</v>
      </c>
      <c r="F40" s="22">
        <f t="shared" si="1"/>
        <v>0.38947387669995864</v>
      </c>
      <c r="G40" s="22">
        <f>[11]resumen_pais_manufacturas!E68/1000000</f>
        <v>3.6464300000000001</v>
      </c>
      <c r="H40" s="25">
        <f>[11]resumen_pais_manufacturas!F68/1000000</f>
        <v>5.6522410000000001</v>
      </c>
      <c r="I40" s="22">
        <f t="shared" si="3"/>
        <v>55.007527910860766</v>
      </c>
      <c r="J40" s="22">
        <f t="shared" si="5"/>
        <v>0.36003127121774636</v>
      </c>
      <c r="K40" s="16"/>
    </row>
    <row r="41" spans="1:11">
      <c r="A41" s="14"/>
      <c r="B41" s="9" t="str">
        <f>CONCATENATE(A41,[11]resumen_pais_manufacturas!B69)</f>
        <v xml:space="preserve">Resto </v>
      </c>
      <c r="C41" s="22">
        <f>[11]resumen_pais_manufacturas!C69/1000000</f>
        <v>119.19083000000001</v>
      </c>
      <c r="D41" s="25">
        <f>[11]resumen_pais_manufacturas!D69/1000000</f>
        <v>84.569378999999998</v>
      </c>
      <c r="E41" s="22">
        <f t="shared" ref="E41:E42" si="10">IF(OR(OR(D41=0,C41=0),D41=""),"",(D41/C41-1)*100)</f>
        <v>-29.047076020865038</v>
      </c>
      <c r="F41" s="22">
        <f t="shared" ref="F41:F42" si="11">(D41/D$13)*100</f>
        <v>0.61141673897049165</v>
      </c>
      <c r="G41" s="22">
        <f>[11]resumen_pais_manufacturas!E69/1000000</f>
        <v>6.7825280000000001</v>
      </c>
      <c r="H41" s="25">
        <f>[11]resumen_pais_manufacturas!F69/1000000</f>
        <v>8.171341</v>
      </c>
      <c r="I41" s="22">
        <f t="shared" ref="I41" si="12">IF(OR(OR(H41=0,G41=0),H41=""),"",(H41/G41-1)*100)</f>
        <v>20.476332718420043</v>
      </c>
      <c r="J41" s="22">
        <f t="shared" ref="J41" si="13">(H41/H$13)*100</f>
        <v>0.5204905961695</v>
      </c>
      <c r="K41" s="16"/>
    </row>
    <row r="42" spans="1:11">
      <c r="A42" s="14"/>
      <c r="B42" s="9" t="str">
        <f>+[11]resumen_pais_manufacturas!B83</f>
        <v>Corea del Sur</v>
      </c>
      <c r="C42" s="22">
        <f>+[11]resumen_pais_manufacturas!C83/1000000</f>
        <v>342.74406599999998</v>
      </c>
      <c r="D42" s="25">
        <f>+[11]resumen_pais_manufacturas!D83/1000000</f>
        <v>530.532464</v>
      </c>
      <c r="E42" s="22">
        <f t="shared" si="10"/>
        <v>54.789686132742574</v>
      </c>
      <c r="F42" s="22">
        <f t="shared" si="11"/>
        <v>3.8356250559302292</v>
      </c>
      <c r="G42" s="22">
        <f>+[11]resumen_pais_manufacturas!E83/1000000</f>
        <v>43.723452999999999</v>
      </c>
      <c r="H42" s="25">
        <f>+[11]resumen_pais_manufacturas!F83/1000000</f>
        <v>47.636110000000002</v>
      </c>
      <c r="I42" s="22">
        <f t="shared" si="3"/>
        <v>8.9486459360837767</v>
      </c>
      <c r="J42" s="22">
        <f t="shared" si="5"/>
        <v>3.034281312344679</v>
      </c>
      <c r="K42" s="16"/>
    </row>
    <row r="43" spans="1:11">
      <c r="A43" s="14"/>
      <c r="B43" s="9" t="str">
        <f>+[11]resumen_pais_manufacturas!B84</f>
        <v xml:space="preserve">China </v>
      </c>
      <c r="C43" s="22">
        <f>+[11]resumen_pais_manufacturas!C84/1000000</f>
        <v>938.32260900000006</v>
      </c>
      <c r="D43" s="25">
        <f>+[11]resumen_pais_manufacturas!D84/1000000</f>
        <v>1449.0533740000001</v>
      </c>
      <c r="E43" s="22">
        <f t="shared" ref="E43:E44" si="14">IF(OR(OR(D43=0,C43=0),D43=""),"",(D43/C43-1)*100)</f>
        <v>54.430188519522282</v>
      </c>
      <c r="F43" s="22">
        <f t="shared" ref="F43:F44" si="15">(D43/D$13)*100</f>
        <v>10.476315411104867</v>
      </c>
      <c r="G43" s="22">
        <f>+[11]resumen_pais_manufacturas!E84/1000000</f>
        <v>116.363283</v>
      </c>
      <c r="H43" s="25">
        <f>+[11]resumen_pais_manufacturas!F84/1000000</f>
        <v>209.974627</v>
      </c>
      <c r="I43" s="22">
        <f t="shared" ref="I43:I44" si="16">IF(OR(OR(H43=0,G43=0),H43=""),"",(H43/G43-1)*100)</f>
        <v>80.447493046410528</v>
      </c>
      <c r="J43" s="22">
        <f t="shared" ref="J43:J44" si="17">(H43/H$13)*100</f>
        <v>13.374771507846559</v>
      </c>
      <c r="K43" s="16"/>
    </row>
    <row r="44" spans="1:11">
      <c r="A44" s="14"/>
      <c r="B44" s="9" t="str">
        <f>+[11]resumen_pais_manufacturas!B85</f>
        <v xml:space="preserve">Japón </v>
      </c>
      <c r="C44" s="22">
        <f>+[11]resumen_pais_manufacturas!C85/1000000</f>
        <v>292.71938399999999</v>
      </c>
      <c r="D44" s="25">
        <f>+[11]resumen_pais_manufacturas!D85/1000000</f>
        <v>428.875586</v>
      </c>
      <c r="E44" s="22">
        <f t="shared" si="14"/>
        <v>46.514241776349195</v>
      </c>
      <c r="F44" s="22">
        <f t="shared" si="15"/>
        <v>3.1006697142257442</v>
      </c>
      <c r="G44" s="22">
        <f>+[11]resumen_pais_manufacturas!E85/1000000</f>
        <v>32.673054</v>
      </c>
      <c r="H44" s="25">
        <f>+[11]resumen_pais_manufacturas!F85/1000000</f>
        <v>55.030799000000002</v>
      </c>
      <c r="I44" s="22">
        <f t="shared" si="16"/>
        <v>68.428696625665907</v>
      </c>
      <c r="J44" s="22">
        <f t="shared" si="17"/>
        <v>3.5053014406318286</v>
      </c>
      <c r="K44" s="16"/>
    </row>
    <row r="45" spans="1:11">
      <c r="A45" s="14"/>
      <c r="B45" s="9" t="s">
        <v>5</v>
      </c>
      <c r="C45" s="22">
        <f>+C13-C14-C30-C28-C29-C42-C43-C44</f>
        <v>1793.4672051001571</v>
      </c>
      <c r="D45" s="25">
        <f>+D13-D14-D30-D28-D29-D42-D43-D44</f>
        <v>2324.0659339600797</v>
      </c>
      <c r="E45" s="22">
        <f t="shared" si="0"/>
        <v>29.585081196413121</v>
      </c>
      <c r="F45" s="22">
        <f t="shared" si="1"/>
        <v>16.802450618613175</v>
      </c>
      <c r="G45" s="22">
        <f t="shared" ref="G45:H45" si="18">+G13-G14-G30-G28-G29-G42-G43-G44</f>
        <v>161.03119786999974</v>
      </c>
      <c r="H45" s="25">
        <f t="shared" si="18"/>
        <v>564.50977521999482</v>
      </c>
      <c r="I45" s="22">
        <f t="shared" si="3"/>
        <v>250.55925975022726</v>
      </c>
      <c r="J45" s="22">
        <f t="shared" si="5"/>
        <v>35.957626716075801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25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9"/>
      <c r="E48" s="20"/>
    </row>
    <row r="49" spans="2:5">
      <c r="B49" s="20"/>
      <c r="C49" s="20"/>
      <c r="D49" s="89"/>
      <c r="E49" s="20"/>
    </row>
    <row r="50" spans="2:5">
      <c r="C50" s="20"/>
      <c r="D50" s="89"/>
    </row>
    <row r="51" spans="2:5">
      <c r="C51" s="20"/>
      <c r="D51" s="89"/>
    </row>
    <row r="52" spans="2:5">
      <c r="C52" s="20"/>
      <c r="D52" s="89"/>
      <c r="E52" s="89"/>
    </row>
    <row r="53" spans="2:5">
      <c r="C53" s="20"/>
      <c r="D53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64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57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4" t="s">
        <v>140</v>
      </c>
      <c r="D10" s="114"/>
      <c r="E10" s="113" t="s">
        <v>1</v>
      </c>
      <c r="F10" s="113" t="s">
        <v>4</v>
      </c>
      <c r="G10" s="114" t="s">
        <v>141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104">
        <v>2009</v>
      </c>
      <c r="D11" s="104">
        <v>2010</v>
      </c>
      <c r="E11" s="113"/>
      <c r="F11" s="113"/>
      <c r="G11" s="104">
        <v>2009</v>
      </c>
      <c r="H11" s="104">
        <v>2010</v>
      </c>
      <c r="I11" s="113"/>
      <c r="J11" s="113"/>
      <c r="K11" s="16"/>
      <c r="N11" s="2"/>
    </row>
    <row r="12" spans="1:14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61</v>
      </c>
      <c r="C13" s="25">
        <f>+'Resumen importaciones totales'!C24</f>
        <v>1010.4224253200019</v>
      </c>
      <c r="D13" s="25">
        <f>+'Resumen importaciones totales'!D24</f>
        <v>1497.6884720299772</v>
      </c>
      <c r="E13" s="25">
        <f>IF(OR(OR(D13=0,C13=0),D13=""),"",(D13/C13-1)*100)</f>
        <v>48.223993698047394</v>
      </c>
      <c r="F13" s="23">
        <f>(D13/D$13)*100</f>
        <v>100</v>
      </c>
      <c r="G13" s="25">
        <f>+'Resumen importaciones totales'!G24</f>
        <v>113.91360245999954</v>
      </c>
      <c r="H13" s="25">
        <f>+'Resumen importaciones totales'!H24</f>
        <v>232.46101542000031</v>
      </c>
      <c r="I13" s="25">
        <f>IF(OR(OR(H13=0,G13=0),H13=""),"",(H13/G13-1)*100)</f>
        <v>104.06782895100557</v>
      </c>
      <c r="J13" s="23">
        <f>(H13/H$13)*100</f>
        <v>100</v>
      </c>
      <c r="K13" s="16"/>
    </row>
    <row r="14" spans="1:14">
      <c r="A14" s="14"/>
      <c r="B14" s="10" t="s">
        <v>38</v>
      </c>
      <c r="C14" s="22">
        <f>+C15+C19</f>
        <v>398.41548599999999</v>
      </c>
      <c r="D14" s="25">
        <f>+D15+D19</f>
        <v>590.1518759999999</v>
      </c>
      <c r="E14" s="22">
        <f t="shared" ref="E14:E45" si="0">IF(OR(OR(D14=0,C14=0),D14=""),"",(D14/C14-1)*100)</f>
        <v>48.124733284087242</v>
      </c>
      <c r="F14" s="22">
        <f t="shared" ref="F14:F45" si="1">(D14/D$13)*100</f>
        <v>39.404180977643769</v>
      </c>
      <c r="G14" s="22">
        <f>+G15+G19</f>
        <v>44.602308000000008</v>
      </c>
      <c r="H14" s="25">
        <f t="shared" ref="H14" si="2">+H15+H19</f>
        <v>11.263927000000001</v>
      </c>
      <c r="I14" s="22">
        <f t="shared" ref="I14:I45" si="3">IF(OR(OR(H14=0,G14=0),H14=""),"",(H14/G14-1)*100)</f>
        <v>-74.745865169129814</v>
      </c>
      <c r="J14" s="22">
        <f>(H14/H$13)*100</f>
        <v>4.8455122591841189</v>
      </c>
      <c r="K14" s="16"/>
    </row>
    <row r="15" spans="1:14">
      <c r="A15" s="14"/>
      <c r="B15" s="10" t="s">
        <v>41</v>
      </c>
      <c r="C15" s="22">
        <f>+SUM(C16:C18)</f>
        <v>53.203749000000002</v>
      </c>
      <c r="D15" s="25">
        <f>+SUM(D16:D18)</f>
        <v>76.553828999999993</v>
      </c>
      <c r="E15" s="22">
        <f t="shared" si="0"/>
        <v>43.888035033019925</v>
      </c>
      <c r="F15" s="22">
        <f>(D15/D$13)*100</f>
        <v>5.111465463591264</v>
      </c>
      <c r="G15" s="22">
        <f t="shared" ref="G15:H15" si="4">+SUM(G16:G18)</f>
        <v>5.4963800000000003</v>
      </c>
      <c r="H15" s="25">
        <f t="shared" si="4"/>
        <v>11.261917</v>
      </c>
      <c r="I15" s="22">
        <f t="shared" si="3"/>
        <v>104.89698674400243</v>
      </c>
      <c r="J15" s="22">
        <f t="shared" ref="J15:J45" si="5">(H15/H$13)*100</f>
        <v>4.8446475980725054</v>
      </c>
      <c r="K15" s="16"/>
    </row>
    <row r="16" spans="1:14">
      <c r="A16" s="14" t="s">
        <v>48</v>
      </c>
      <c r="B16" s="9" t="str">
        <f>CONCATENATE(A16,[12]resumen_pais_rec_nat!B7)</f>
        <v xml:space="preserve">   Bolivia</v>
      </c>
      <c r="C16" s="22">
        <f>[12]resumen_pais_rec_nat!C7/1000000</f>
        <v>1.15761</v>
      </c>
      <c r="D16" s="25">
        <f>[12]resumen_pais_rec_nat!D7/1000000</f>
        <v>3.3314180000000002</v>
      </c>
      <c r="E16" s="22">
        <f t="shared" si="0"/>
        <v>187.78414146387817</v>
      </c>
      <c r="F16" s="22">
        <f t="shared" si="1"/>
        <v>0.22243731338097125</v>
      </c>
      <c r="G16" s="22">
        <f>[12]resumen_pais_rec_nat!E7/1000000</f>
        <v>0.17666599999999999</v>
      </c>
      <c r="H16" s="25">
        <f>[12]resumen_pais_rec_nat!F7/1000000</f>
        <v>0.65017599999999998</v>
      </c>
      <c r="I16" s="22">
        <f t="shared" si="3"/>
        <v>268.02553971901784</v>
      </c>
      <c r="J16" s="22">
        <f t="shared" si="5"/>
        <v>0.27969248900736782</v>
      </c>
      <c r="K16" s="16"/>
    </row>
    <row r="17" spans="1:11">
      <c r="A17" s="14" t="s">
        <v>48</v>
      </c>
      <c r="B17" s="9" t="str">
        <f>CONCATENATE(A17,[12]resumen_pais_rec_nat!B8)</f>
        <v xml:space="preserve">   Ecuador</v>
      </c>
      <c r="C17" s="22">
        <f>[12]resumen_pais_rec_nat!C8/1000000</f>
        <v>21.425307</v>
      </c>
      <c r="D17" s="25">
        <f>[12]resumen_pais_rec_nat!D8/1000000</f>
        <v>20.464842000000001</v>
      </c>
      <c r="E17" s="22">
        <f t="shared" si="0"/>
        <v>-4.4828529178134957</v>
      </c>
      <c r="F17" s="22">
        <f t="shared" si="1"/>
        <v>1.3664284917851983</v>
      </c>
      <c r="G17" s="22">
        <f>[12]resumen_pais_rec_nat!E8/1000000</f>
        <v>1.279792</v>
      </c>
      <c r="H17" s="25">
        <f>[12]resumen_pais_rec_nat!F8/1000000</f>
        <v>3.643608</v>
      </c>
      <c r="I17" s="22">
        <f t="shared" si="3"/>
        <v>184.70313926012975</v>
      </c>
      <c r="J17" s="22">
        <f t="shared" si="5"/>
        <v>1.5674060415751387</v>
      </c>
      <c r="K17" s="16"/>
    </row>
    <row r="18" spans="1:11">
      <c r="A18" s="14" t="s">
        <v>48</v>
      </c>
      <c r="B18" s="9" t="str">
        <f>CONCATENATE(A18,[12]resumen_pais_rec_nat!B9)</f>
        <v xml:space="preserve">   Perú </v>
      </c>
      <c r="C18" s="22">
        <f>[12]resumen_pais_rec_nat!C9/1000000</f>
        <v>30.620832</v>
      </c>
      <c r="D18" s="25">
        <f>[12]resumen_pais_rec_nat!D9/1000000</f>
        <v>52.757568999999997</v>
      </c>
      <c r="E18" s="22">
        <f t="shared" si="0"/>
        <v>72.293061795316333</v>
      </c>
      <c r="F18" s="22">
        <f t="shared" si="1"/>
        <v>3.5225996584250949</v>
      </c>
      <c r="G18" s="22">
        <f>[12]resumen_pais_rec_nat!E9/1000000</f>
        <v>4.0399219999999998</v>
      </c>
      <c r="H18" s="25">
        <f>[12]resumen_pais_rec_nat!F9/1000000</f>
        <v>6.9681329999999999</v>
      </c>
      <c r="I18" s="22">
        <f t="shared" si="3"/>
        <v>72.481869699464511</v>
      </c>
      <c r="J18" s="22">
        <f t="shared" si="5"/>
        <v>2.9975490674899978</v>
      </c>
      <c r="K18" s="16"/>
    </row>
    <row r="19" spans="1:11">
      <c r="A19" s="14"/>
      <c r="B19" s="10" t="s">
        <v>42</v>
      </c>
      <c r="C19" s="22">
        <f>SUM(C20:C27)</f>
        <v>345.21173699999997</v>
      </c>
      <c r="D19" s="25">
        <f>SUM(D20:D27)</f>
        <v>513.59804699999995</v>
      </c>
      <c r="E19" s="22">
        <f t="shared" si="0"/>
        <v>48.777689734228247</v>
      </c>
      <c r="F19" s="22">
        <f t="shared" si="1"/>
        <v>34.29271551405251</v>
      </c>
      <c r="G19" s="22">
        <f>SUM(G20:G27)</f>
        <v>39.105928000000006</v>
      </c>
      <c r="H19" s="25">
        <f>+[9]resumen_pais_destino!F22/1000000</f>
        <v>2.0100000000000001E-3</v>
      </c>
      <c r="I19" s="22">
        <f t="shared" si="3"/>
        <v>-99.994860114302881</v>
      </c>
      <c r="J19" s="22">
        <f t="shared" si="5"/>
        <v>8.6466111161410031E-4</v>
      </c>
      <c r="K19" s="16"/>
    </row>
    <row r="20" spans="1:11">
      <c r="A20" s="14" t="s">
        <v>48</v>
      </c>
      <c r="B20" s="9" t="str">
        <f>CONCATENATE(A20,[12]resumen_pais_rec_nat!B23)</f>
        <v xml:space="preserve">   Argentina</v>
      </c>
      <c r="C20" s="22">
        <f>[12]resumen_pais_rec_nat!C23/1000000</f>
        <v>43.272947000000002</v>
      </c>
      <c r="D20" s="25">
        <f>[12]resumen_pais_rec_nat!D23/1000000</f>
        <v>62.662238000000002</v>
      </c>
      <c r="E20" s="22">
        <f t="shared" si="0"/>
        <v>44.806957566352025</v>
      </c>
      <c r="F20" s="22">
        <f t="shared" si="1"/>
        <v>4.1839300475530248</v>
      </c>
      <c r="G20" s="22">
        <f>[12]resumen_pais_rec_nat!E23/1000000</f>
        <v>6.9429020000000001</v>
      </c>
      <c r="H20" s="25">
        <f>[12]resumen_pais_rec_nat!F23/1000000</f>
        <v>4.0915470000000003</v>
      </c>
      <c r="I20" s="22">
        <f t="shared" si="3"/>
        <v>-41.068633836398675</v>
      </c>
      <c r="J20" s="22">
        <f t="shared" si="5"/>
        <v>1.7601002871847453</v>
      </c>
      <c r="K20" s="16"/>
    </row>
    <row r="21" spans="1:11">
      <c r="A21" s="14" t="s">
        <v>48</v>
      </c>
      <c r="B21" s="9" t="str">
        <f>CONCATENATE(A21,[12]resumen_pais_rec_nat!B24)</f>
        <v xml:space="preserve">   Brasil </v>
      </c>
      <c r="C21" s="22">
        <f>[12]resumen_pais_rec_nat!C24/1000000</f>
        <v>98.432578000000007</v>
      </c>
      <c r="D21" s="25">
        <f>[12]resumen_pais_rec_nat!D24/1000000</f>
        <v>167.52286599999999</v>
      </c>
      <c r="E21" s="22">
        <f t="shared" si="0"/>
        <v>70.190468850668509</v>
      </c>
      <c r="F21" s="22">
        <f t="shared" si="1"/>
        <v>11.185428019816321</v>
      </c>
      <c r="G21" s="22">
        <f>[12]resumen_pais_rec_nat!E24/1000000</f>
        <v>11.243396000000001</v>
      </c>
      <c r="H21" s="25">
        <f>[12]resumen_pais_rec_nat!F24/1000000</f>
        <v>20.166975999999998</v>
      </c>
      <c r="I21" s="22">
        <f t="shared" si="3"/>
        <v>79.367301480798133</v>
      </c>
      <c r="J21" s="22">
        <f t="shared" si="5"/>
        <v>8.6754228288830255</v>
      </c>
      <c r="K21" s="16"/>
    </row>
    <row r="22" spans="1:11">
      <c r="A22" s="14" t="s">
        <v>48</v>
      </c>
      <c r="B22" s="9" t="str">
        <f>CONCATENATE(A22,[12]resumen_pais_rec_nat!B25)</f>
        <v xml:space="preserve">   Cuba </v>
      </c>
      <c r="C22" s="22">
        <f>[12]resumen_pais_rec_nat!C25/1000000</f>
        <v>0.52647999999999995</v>
      </c>
      <c r="D22" s="25">
        <f>[12]resumen_pais_rec_nat!D25/1000000</f>
        <v>0.89327999999999996</v>
      </c>
      <c r="E22" s="22">
        <f t="shared" si="0"/>
        <v>69.670262877982083</v>
      </c>
      <c r="F22" s="22">
        <f t="shared" si="1"/>
        <v>5.9643912381140397E-2</v>
      </c>
      <c r="G22" s="22">
        <f>[12]resumen_pais_rec_nat!E25/1000000</f>
        <v>2.1432E-2</v>
      </c>
      <c r="H22" s="25">
        <f>[12]resumen_pais_rec_nat!F25/1000000</f>
        <v>0.39146399999999998</v>
      </c>
      <c r="I22" s="22">
        <f t="shared" si="3"/>
        <v>1726.5397536394175</v>
      </c>
      <c r="J22" s="22">
        <f t="shared" si="5"/>
        <v>0.1683998494511951</v>
      </c>
      <c r="K22" s="16"/>
    </row>
    <row r="23" spans="1:11">
      <c r="A23" s="14" t="s">
        <v>48</v>
      </c>
      <c r="B23" s="9" t="str">
        <f>CONCATENATE(A23,[12]resumen_pais_rec_nat!B26)</f>
        <v xml:space="preserve">   Chile </v>
      </c>
      <c r="C23" s="22">
        <f>[12]resumen_pais_rec_nat!C26/1000000</f>
        <v>91.564514000000003</v>
      </c>
      <c r="D23" s="25">
        <f>[12]resumen_pais_rec_nat!D26/1000000</f>
        <v>127.71853299999999</v>
      </c>
      <c r="E23" s="22">
        <f t="shared" si="0"/>
        <v>39.484749517700692</v>
      </c>
      <c r="F23" s="22">
        <f t="shared" si="1"/>
        <v>8.5277102271401901</v>
      </c>
      <c r="G23" s="22">
        <f>[12]resumen_pais_rec_nat!E26/1000000</f>
        <v>10.007194</v>
      </c>
      <c r="H23" s="25">
        <f>[12]resumen_pais_rec_nat!F26/1000000</f>
        <v>15.271038000000001</v>
      </c>
      <c r="I23" s="22">
        <f t="shared" si="3"/>
        <v>52.600599128986602</v>
      </c>
      <c r="J23" s="22">
        <f t="shared" si="5"/>
        <v>6.5692898968065521</v>
      </c>
      <c r="K23" s="16"/>
    </row>
    <row r="24" spans="1:11">
      <c r="A24" s="14" t="s">
        <v>48</v>
      </c>
      <c r="B24" s="9" t="str">
        <f>CONCATENATE(A24,[12]resumen_pais_rec_nat!B27)</f>
        <v xml:space="preserve">   México </v>
      </c>
      <c r="C24" s="22">
        <f>[12]resumen_pais_rec_nat!C27/1000000</f>
        <v>70.521165999999994</v>
      </c>
      <c r="D24" s="25">
        <f>[12]resumen_pais_rec_nat!D27/1000000</f>
        <v>114.519487</v>
      </c>
      <c r="E24" s="22">
        <f t="shared" si="0"/>
        <v>62.390234727542662</v>
      </c>
      <c r="F24" s="22">
        <f t="shared" si="1"/>
        <v>7.646415735895963</v>
      </c>
      <c r="G24" s="22">
        <f>[12]resumen_pais_rec_nat!E27/1000000</f>
        <v>7.6353900000000001</v>
      </c>
      <c r="H24" s="25">
        <f>[12]resumen_pais_rec_nat!F27/1000000</f>
        <v>16.124755</v>
      </c>
      <c r="I24" s="22">
        <f t="shared" si="3"/>
        <v>111.18443196745682</v>
      </c>
      <c r="J24" s="22">
        <f t="shared" si="5"/>
        <v>6.936541583485087</v>
      </c>
      <c r="K24" s="16"/>
    </row>
    <row r="25" spans="1:11">
      <c r="A25" s="14" t="s">
        <v>48</v>
      </c>
      <c r="B25" s="9" t="str">
        <f>CONCATENATE(A25,[12]resumen_pais_rec_nat!B28)</f>
        <v xml:space="preserve">   Paraguay </v>
      </c>
      <c r="C25" s="22">
        <f>[12]resumen_pais_rec_nat!C28/1000000</f>
        <v>1.2361E-2</v>
      </c>
      <c r="D25" s="25">
        <f>[12]resumen_pais_rec_nat!D28/1000000</f>
        <v>5.8881000000000003E-2</v>
      </c>
      <c r="E25" s="22">
        <f t="shared" si="0"/>
        <v>376.34495590971602</v>
      </c>
      <c r="F25" s="22">
        <f t="shared" si="1"/>
        <v>3.9314584507813095E-3</v>
      </c>
      <c r="G25" s="22">
        <f>[12]resumen_pais_rec_nat!E28/1000000</f>
        <v>0</v>
      </c>
      <c r="H25" s="25">
        <f>[12]resumen_pais_rec_nat!F28/1000000</f>
        <v>0</v>
      </c>
      <c r="I25" s="22" t="str">
        <f t="shared" si="3"/>
        <v/>
      </c>
      <c r="J25" s="22">
        <f t="shared" si="5"/>
        <v>0</v>
      </c>
      <c r="K25" s="16"/>
    </row>
    <row r="26" spans="1:11">
      <c r="A26" s="14" t="s">
        <v>48</v>
      </c>
      <c r="B26" s="9" t="str">
        <f>CONCATENATE(A26,[12]resumen_pais_rec_nat!B29)</f>
        <v xml:space="preserve">   Uruguay </v>
      </c>
      <c r="C26" s="22">
        <f>[12]resumen_pais_rec_nat!C29/1000000</f>
        <v>18.341441</v>
      </c>
      <c r="D26" s="25">
        <f>[12]resumen_pais_rec_nat!D29/1000000</f>
        <v>20.116202999999999</v>
      </c>
      <c r="E26" s="22">
        <f t="shared" si="0"/>
        <v>9.6762408144485335</v>
      </c>
      <c r="F26" s="22">
        <f t="shared" si="1"/>
        <v>1.3431500192249166</v>
      </c>
      <c r="G26" s="22">
        <f>[12]resumen_pais_rec_nat!E29/1000000</f>
        <v>0.72122699999999995</v>
      </c>
      <c r="H26" s="25">
        <f>[12]resumen_pais_rec_nat!F29/1000000</f>
        <v>2.1421619999999999</v>
      </c>
      <c r="I26" s="22">
        <f t="shared" si="3"/>
        <v>197.01633466301178</v>
      </c>
      <c r="J26" s="22">
        <f t="shared" si="5"/>
        <v>0.92151451551118635</v>
      </c>
      <c r="K26" s="16"/>
    </row>
    <row r="27" spans="1:11">
      <c r="A27" s="14" t="s">
        <v>48</v>
      </c>
      <c r="B27" s="9" t="str">
        <f>CONCATENATE(A27,[12]resumen_pais_rec_nat!B30)</f>
        <v xml:space="preserve">   Venezuela</v>
      </c>
      <c r="C27" s="22">
        <f>[12]resumen_pais_rec_nat!C30/1000000</f>
        <v>22.54025</v>
      </c>
      <c r="D27" s="25">
        <f>[12]resumen_pais_rec_nat!D30/1000000</f>
        <v>20.106559000000001</v>
      </c>
      <c r="E27" s="22">
        <f t="shared" si="0"/>
        <v>-10.797089650735902</v>
      </c>
      <c r="F27" s="22">
        <f>(D27/D$13)*100</f>
        <v>1.3425060935901731</v>
      </c>
      <c r="G27" s="22">
        <f>[12]resumen_pais_rec_nat!E30/1000000</f>
        <v>2.5343870000000002</v>
      </c>
      <c r="H27" s="25">
        <f>[12]resumen_pais_rec_nat!F30/1000000</f>
        <v>2.132063</v>
      </c>
      <c r="I27" s="22">
        <f t="shared" si="3"/>
        <v>-15.87460794267016</v>
      </c>
      <c r="J27" s="22">
        <f t="shared" si="5"/>
        <v>0.91717013114989732</v>
      </c>
      <c r="K27" s="16"/>
    </row>
    <row r="28" spans="1:11">
      <c r="A28" s="14" t="s">
        <v>48</v>
      </c>
      <c r="B28" s="9" t="str">
        <f>+[12]resumen_pais_rec_nat!B44</f>
        <v xml:space="preserve">Canadá </v>
      </c>
      <c r="C28" s="22">
        <f>+[12]resumen_pais_rec_nat!C44/1000000</f>
        <v>25.853670999999999</v>
      </c>
      <c r="D28" s="25">
        <f>+[12]resumen_pais_rec_nat!D44/1000000</f>
        <v>35.932116000000001</v>
      </c>
      <c r="E28" s="22">
        <f t="shared" si="0"/>
        <v>38.982645830064143</v>
      </c>
      <c r="F28" s="22">
        <f>(D28/D$13)*100</f>
        <v>2.3991715681230668</v>
      </c>
      <c r="G28" s="22">
        <f>+[12]resumen_pais_rec_nat!E44/1000000</f>
        <v>2.6833819999999999</v>
      </c>
      <c r="H28" s="25">
        <f>+[12]resumen_pais_rec_nat!F44/1000000</f>
        <v>3.7665570000000002</v>
      </c>
      <c r="I28" s="22">
        <f t="shared" si="3"/>
        <v>40.366038081793796</v>
      </c>
      <c r="J28" s="22">
        <f t="shared" si="5"/>
        <v>1.6202962002874983</v>
      </c>
      <c r="K28" s="16"/>
    </row>
    <row r="29" spans="1:11">
      <c r="A29" s="14" t="s">
        <v>48</v>
      </c>
      <c r="B29" s="9" t="str">
        <f>+[12]resumen_pais_rec_nat!B45</f>
        <v>Estados Unidos</v>
      </c>
      <c r="C29" s="22">
        <f>+[12]resumen_pais_rec_nat!C45/1000000</f>
        <v>170.98016100000001</v>
      </c>
      <c r="D29" s="25">
        <f>+[12]resumen_pais_rec_nat!D45/1000000</f>
        <v>286.24493799999999</v>
      </c>
      <c r="E29" s="22">
        <f t="shared" si="0"/>
        <v>67.414123560218187</v>
      </c>
      <c r="F29" s="22">
        <f t="shared" si="1"/>
        <v>19.112448506198465</v>
      </c>
      <c r="G29" s="22">
        <f>+[12]resumen_pais_rec_nat!E45/1000000</f>
        <v>20.313459000000002</v>
      </c>
      <c r="H29" s="25">
        <f>+[12]resumen_pais_rec_nat!F45/1000000</f>
        <v>59.231799000000002</v>
      </c>
      <c r="I29" s="22">
        <f t="shared" si="3"/>
        <v>191.58893618265603</v>
      </c>
      <c r="J29" s="22">
        <f t="shared" si="5"/>
        <v>25.480315008081078</v>
      </c>
      <c r="K29" s="16"/>
    </row>
    <row r="30" spans="1:11">
      <c r="A30" s="14"/>
      <c r="B30" s="10" t="s">
        <v>39</v>
      </c>
      <c r="C30" s="22">
        <f>SUM(C31:C41)</f>
        <v>203.27017899999998</v>
      </c>
      <c r="D30" s="25">
        <f>SUM(D31:D41)</f>
        <v>265.260334</v>
      </c>
      <c r="E30" s="22">
        <f t="shared" si="0"/>
        <v>30.496433517677968</v>
      </c>
      <c r="F30" s="22">
        <f t="shared" si="1"/>
        <v>17.711315734470755</v>
      </c>
      <c r="G30" s="22">
        <f>SUM(G31:G41)</f>
        <v>24.579221999999998</v>
      </c>
      <c r="H30" s="25">
        <f>SUM(H31:H41)</f>
        <v>29.016735999999998</v>
      </c>
      <c r="I30" s="22">
        <f t="shared" si="3"/>
        <v>18.053923757228763</v>
      </c>
      <c r="J30" s="22">
        <f t="shared" si="5"/>
        <v>12.48240955481238</v>
      </c>
      <c r="K30" s="16"/>
    </row>
    <row r="31" spans="1:11">
      <c r="A31" s="14" t="s">
        <v>48</v>
      </c>
      <c r="B31" s="9" t="str">
        <f>CONCATENATE(A31,[12]resumen_pais_rec_nat!B59)</f>
        <v xml:space="preserve">   Alemania </v>
      </c>
      <c r="C31" s="22">
        <f>[12]resumen_pais_rec_nat!C59/1000000</f>
        <v>40.477890000000002</v>
      </c>
      <c r="D31" s="25">
        <f>[12]resumen_pais_rec_nat!D59/1000000</f>
        <v>69.082155</v>
      </c>
      <c r="E31" s="22">
        <f t="shared" si="0"/>
        <v>70.666393431080522</v>
      </c>
      <c r="F31" s="22">
        <f t="shared" si="1"/>
        <v>4.6125850796170962</v>
      </c>
      <c r="G31" s="22">
        <f>[12]resumen_pais_rec_nat!E59/1000000</f>
        <v>4.9785209999999998</v>
      </c>
      <c r="H31" s="25">
        <f>[12]resumen_pais_rec_nat!F59/1000000</f>
        <v>8.5546799999999994</v>
      </c>
      <c r="I31" s="22">
        <f t="shared" si="3"/>
        <v>71.831754852495351</v>
      </c>
      <c r="J31" s="22">
        <f t="shared" si="5"/>
        <v>3.6800493125885132</v>
      </c>
      <c r="K31" s="16"/>
    </row>
    <row r="32" spans="1:11">
      <c r="A32" s="14" t="s">
        <v>48</v>
      </c>
      <c r="B32" s="9" t="str">
        <f>CONCATENATE(A32,[12]resumen_pais_rec_nat!B60)</f>
        <v xml:space="preserve">   Bélgica </v>
      </c>
      <c r="C32" s="22">
        <f>[12]resumen_pais_rec_nat!C60/1000000</f>
        <v>34.572012999999998</v>
      </c>
      <c r="D32" s="25">
        <f>[12]resumen_pais_rec_nat!D60/1000000</f>
        <v>47.212555000000002</v>
      </c>
      <c r="E32" s="22">
        <f t="shared" si="0"/>
        <v>36.562933144795487</v>
      </c>
      <c r="F32" s="22">
        <f t="shared" si="1"/>
        <v>3.1523615145416581</v>
      </c>
      <c r="G32" s="22">
        <f>[12]resumen_pais_rec_nat!E60/1000000</f>
        <v>4.0112990000000002</v>
      </c>
      <c r="H32" s="25">
        <f>[12]resumen_pais_rec_nat!F60/1000000</f>
        <v>5.2465149999999996</v>
      </c>
      <c r="I32" s="22">
        <f t="shared" si="3"/>
        <v>30.793416297314135</v>
      </c>
      <c r="J32" s="22">
        <f t="shared" si="5"/>
        <v>2.2569440258706726</v>
      </c>
      <c r="K32" s="16"/>
    </row>
    <row r="33" spans="1:11">
      <c r="A33" s="14" t="s">
        <v>48</v>
      </c>
      <c r="B33" s="9" t="str">
        <f>CONCATENATE(A33,[12]resumen_pais_rec_nat!B61)</f>
        <v xml:space="preserve">   España </v>
      </c>
      <c r="C33" s="22">
        <f>[12]resumen_pais_rec_nat!C61/1000000</f>
        <v>27.141970000000001</v>
      </c>
      <c r="D33" s="25">
        <f>[12]resumen_pais_rec_nat!D61/1000000</f>
        <v>30.604011</v>
      </c>
      <c r="E33" s="22">
        <f t="shared" si="0"/>
        <v>12.755304791803979</v>
      </c>
      <c r="F33" s="22">
        <f t="shared" si="1"/>
        <v>2.0434163426870153</v>
      </c>
      <c r="G33" s="22">
        <f>[12]resumen_pais_rec_nat!E61/1000000</f>
        <v>2.5580509999999999</v>
      </c>
      <c r="H33" s="25">
        <f>[12]resumen_pais_rec_nat!F61/1000000</f>
        <v>3.0355989999999999</v>
      </c>
      <c r="I33" s="22">
        <f t="shared" si="3"/>
        <v>18.66843155199016</v>
      </c>
      <c r="J33" s="22">
        <f t="shared" si="5"/>
        <v>1.3058529381863937</v>
      </c>
      <c r="K33" s="16"/>
    </row>
    <row r="34" spans="1:11">
      <c r="A34" s="14" t="s">
        <v>48</v>
      </c>
      <c r="B34" s="9" t="str">
        <f>CONCATENATE(A34,[12]resumen_pais_rec_nat!B62)</f>
        <v xml:space="preserve">   Finlandia </v>
      </c>
      <c r="C34" s="22">
        <f>[12]resumen_pais_rec_nat!C62/1000000</f>
        <v>5.5275489999999996</v>
      </c>
      <c r="D34" s="25">
        <f>[12]resumen_pais_rec_nat!D62/1000000</f>
        <v>8.8388170000000006</v>
      </c>
      <c r="E34" s="22">
        <f t="shared" si="0"/>
        <v>59.904814955055151</v>
      </c>
      <c r="F34" s="22">
        <f t="shared" si="1"/>
        <v>0.59016392027240538</v>
      </c>
      <c r="G34" s="22">
        <f>[12]resumen_pais_rec_nat!E62/1000000</f>
        <v>0.59980599999999995</v>
      </c>
      <c r="H34" s="25">
        <f>[12]resumen_pais_rec_nat!F62/1000000</f>
        <v>0.75561299999999998</v>
      </c>
      <c r="I34" s="22">
        <f t="shared" si="3"/>
        <v>25.976232315115233</v>
      </c>
      <c r="J34" s="22">
        <f t="shared" si="5"/>
        <v>0.32504934155724635</v>
      </c>
      <c r="K34" s="16"/>
    </row>
    <row r="35" spans="1:11">
      <c r="A35" s="14" t="s">
        <v>48</v>
      </c>
      <c r="B35" s="9" t="str">
        <f>CONCATENATE(A35,[12]resumen_pais_rec_nat!B63)</f>
        <v xml:space="preserve">   Francia </v>
      </c>
      <c r="C35" s="22">
        <f>[12]resumen_pais_rec_nat!C63/1000000</f>
        <v>12.161790999999999</v>
      </c>
      <c r="D35" s="25">
        <f>[12]resumen_pais_rec_nat!D63/1000000</f>
        <v>14.972924000000001</v>
      </c>
      <c r="E35" s="22">
        <f t="shared" si="0"/>
        <v>23.114465624347623</v>
      </c>
      <c r="F35" s="22">
        <f t="shared" si="1"/>
        <v>0.99973554444908008</v>
      </c>
      <c r="G35" s="22">
        <f>[12]resumen_pais_rec_nat!E63/1000000</f>
        <v>0.925956</v>
      </c>
      <c r="H35" s="25">
        <f>[12]resumen_pais_rec_nat!F63/1000000</f>
        <v>1.5636570000000001</v>
      </c>
      <c r="I35" s="22">
        <f t="shared" si="3"/>
        <v>68.869471119578037</v>
      </c>
      <c r="J35" s="22">
        <f t="shared" si="5"/>
        <v>0.67265343273789524</v>
      </c>
      <c r="K35" s="16"/>
    </row>
    <row r="36" spans="1:11">
      <c r="A36" s="14" t="s">
        <v>48</v>
      </c>
      <c r="B36" s="9" t="str">
        <f>CONCATENATE(A36,[12]resumen_pais_rec_nat!B64)</f>
        <v xml:space="preserve">   Irlanda </v>
      </c>
      <c r="C36" s="22">
        <f>[12]resumen_pais_rec_nat!C64/1000000</f>
        <v>5.5446780000000002</v>
      </c>
      <c r="D36" s="25">
        <f>[12]resumen_pais_rec_nat!D64/1000000</f>
        <v>7.953595</v>
      </c>
      <c r="E36" s="22">
        <f t="shared" si="0"/>
        <v>43.445570689587385</v>
      </c>
      <c r="F36" s="22">
        <f t="shared" si="1"/>
        <v>0.53105803700416043</v>
      </c>
      <c r="G36" s="22">
        <f>[12]resumen_pais_rec_nat!E64/1000000</f>
        <v>0.45140400000000003</v>
      </c>
      <c r="H36" s="25">
        <f>[12]resumen_pais_rec_nat!F64/1000000</f>
        <v>0.59747399999999995</v>
      </c>
      <c r="I36" s="22">
        <f t="shared" si="3"/>
        <v>32.359039795836964</v>
      </c>
      <c r="J36" s="22">
        <f t="shared" si="5"/>
        <v>0.25702116069677761</v>
      </c>
      <c r="K36" s="16"/>
    </row>
    <row r="37" spans="1:11">
      <c r="A37" s="14" t="s">
        <v>48</v>
      </c>
      <c r="B37" s="7" t="str">
        <f>CONCATENATE(A37,[12]resumen_pais_rec_nat!B65)</f>
        <v xml:space="preserve">   Italia </v>
      </c>
      <c r="C37" s="22">
        <f>[12]resumen_pais_rec_nat!C65/1000000</f>
        <v>26.214406</v>
      </c>
      <c r="D37" s="25">
        <f>[12]resumen_pais_rec_nat!D65/1000000</f>
        <v>29.643450999999999</v>
      </c>
      <c r="E37" s="22">
        <f t="shared" si="0"/>
        <v>13.080765591255439</v>
      </c>
      <c r="F37" s="22">
        <f t="shared" si="1"/>
        <v>1.9792801743223052</v>
      </c>
      <c r="G37" s="22">
        <f>[12]resumen_pais_rec_nat!E65/1000000</f>
        <v>4.319941</v>
      </c>
      <c r="H37" s="25">
        <f>[12]resumen_pais_rec_nat!F65/1000000</f>
        <v>3.0672320000000002</v>
      </c>
      <c r="I37" s="22">
        <f t="shared" si="3"/>
        <v>-28.998289559973156</v>
      </c>
      <c r="J37" s="22">
        <f t="shared" si="5"/>
        <v>1.3194608112927066</v>
      </c>
      <c r="K37" s="16"/>
    </row>
    <row r="38" spans="1:11">
      <c r="A38" s="14" t="s">
        <v>48</v>
      </c>
      <c r="B38" s="7" t="str">
        <f>CONCATENATE(A38,[12]resumen_pais_rec_nat!B66)</f>
        <v xml:space="preserve">   Países Bajos </v>
      </c>
      <c r="C38" s="22">
        <f>[12]resumen_pais_rec_nat!C66/1000000</f>
        <v>8.2322640000000007</v>
      </c>
      <c r="D38" s="25">
        <f>[12]resumen_pais_rec_nat!D66/1000000</f>
        <v>10.527933000000001</v>
      </c>
      <c r="E38" s="22">
        <f t="shared" si="0"/>
        <v>27.886241257569001</v>
      </c>
      <c r="F38" s="22">
        <f t="shared" si="1"/>
        <v>0.70294545204920811</v>
      </c>
      <c r="G38" s="22">
        <f>[12]resumen_pais_rec_nat!E66/1000000</f>
        <v>0.59462199999999998</v>
      </c>
      <c r="H38" s="25">
        <f>[12]resumen_pais_rec_nat!F66/1000000</f>
        <v>1.1663239999999999</v>
      </c>
      <c r="I38" s="22">
        <f t="shared" si="3"/>
        <v>96.145450386968506</v>
      </c>
      <c r="J38" s="22">
        <f t="shared" si="5"/>
        <v>0.50172885887671848</v>
      </c>
      <c r="K38" s="16"/>
    </row>
    <row r="39" spans="1:11">
      <c r="A39" s="14" t="s">
        <v>48</v>
      </c>
      <c r="B39" s="7" t="str">
        <f>CONCATENATE(A39,[12]resumen_pais_rec_nat!B67)</f>
        <v xml:space="preserve">   Reino Unido </v>
      </c>
      <c r="C39" s="22">
        <f>[12]resumen_pais_rec_nat!C67/1000000</f>
        <v>29.433935999999999</v>
      </c>
      <c r="D39" s="25">
        <f>[12]resumen_pais_rec_nat!D67/1000000</f>
        <v>26.910184000000001</v>
      </c>
      <c r="E39" s="22">
        <f t="shared" si="0"/>
        <v>-8.5742932919334987</v>
      </c>
      <c r="F39" s="22">
        <f t="shared" si="1"/>
        <v>1.7967811399072702</v>
      </c>
      <c r="G39" s="22">
        <f>[12]resumen_pais_rec_nat!E67/1000000</f>
        <v>5.3160829999999999</v>
      </c>
      <c r="H39" s="25">
        <f>[12]resumen_pais_rec_nat!F67/1000000</f>
        <v>2.8746489999999998</v>
      </c>
      <c r="I39" s="22">
        <f t="shared" si="3"/>
        <v>-45.925430434400674</v>
      </c>
      <c r="J39" s="22">
        <f t="shared" si="5"/>
        <v>1.2366155223086377</v>
      </c>
      <c r="K39" s="16"/>
    </row>
    <row r="40" spans="1:11">
      <c r="A40" s="14" t="s">
        <v>48</v>
      </c>
      <c r="B40" s="9" t="str">
        <f>CONCATENATE(A40,[12]resumen_pais_rec_nat!B68)</f>
        <v xml:space="preserve">   Suecia </v>
      </c>
      <c r="C40" s="22">
        <f>[12]resumen_pais_rec_nat!C68/1000000</f>
        <v>3.7690640000000002</v>
      </c>
      <c r="D40" s="25">
        <f>[12]resumen_pais_rec_nat!D68/1000000</f>
        <v>8.2797350000000005</v>
      </c>
      <c r="E40" s="22">
        <f t="shared" si="0"/>
        <v>119.67615832471937</v>
      </c>
      <c r="F40" s="22">
        <f t="shared" si="1"/>
        <v>0.55283426123842638</v>
      </c>
      <c r="G40" s="22">
        <f>[12]resumen_pais_rec_nat!E68/1000000</f>
        <v>0.230324</v>
      </c>
      <c r="H40" s="25">
        <f>[12]resumen_pais_rec_nat!F68/1000000</f>
        <v>1.2903290000000001</v>
      </c>
      <c r="I40" s="22">
        <f t="shared" si="3"/>
        <v>460.22342439346318</v>
      </c>
      <c r="J40" s="22">
        <f t="shared" si="5"/>
        <v>0.55507328730741823</v>
      </c>
      <c r="K40" s="16"/>
    </row>
    <row r="41" spans="1:11">
      <c r="A41" s="14" t="s">
        <v>48</v>
      </c>
      <c r="B41" s="9" t="str">
        <f>CONCATENATE(A41,[12]resumen_pais_rec_nat!B69)</f>
        <v xml:space="preserve">   Resto </v>
      </c>
      <c r="C41" s="22">
        <f>[12]resumen_pais_rec_nat!C69/1000000</f>
        <v>10.194618</v>
      </c>
      <c r="D41" s="25">
        <f>[12]resumen_pais_rec_nat!D69/1000000</f>
        <v>11.234973999999999</v>
      </c>
      <c r="E41" s="22">
        <f t="shared" si="0"/>
        <v>10.204953241014024</v>
      </c>
      <c r="F41" s="22">
        <f t="shared" si="1"/>
        <v>0.75015426838213151</v>
      </c>
      <c r="G41" s="22">
        <f>[12]resumen_pais_rec_nat!E69/1000000</f>
        <v>0.59321500000000005</v>
      </c>
      <c r="H41" s="25">
        <f>[12]resumen_pais_rec_nat!F69/1000000</f>
        <v>0.86466399999999999</v>
      </c>
      <c r="I41" s="22">
        <f t="shared" si="3"/>
        <v>45.758957544903602</v>
      </c>
      <c r="J41" s="22">
        <f t="shared" si="5"/>
        <v>0.37196086338940026</v>
      </c>
      <c r="K41" s="16"/>
    </row>
    <row r="42" spans="1:11">
      <c r="A42" s="14"/>
      <c r="B42" s="9" t="str">
        <f>+[12]resumen_pais_rec_nat!B83</f>
        <v>Corea del Sur</v>
      </c>
      <c r="C42" s="22">
        <f>+[12]resumen_pais_rec_nat!C83/1000000</f>
        <v>9.5244509999999991</v>
      </c>
      <c r="D42" s="25">
        <f>+[12]resumen_pais_rec_nat!D83/1000000</f>
        <v>11.090166</v>
      </c>
      <c r="E42" s="22">
        <f t="shared" si="0"/>
        <v>16.438900257873136</v>
      </c>
      <c r="F42" s="22">
        <f t="shared" si="1"/>
        <v>0.74048550196612739</v>
      </c>
      <c r="G42" s="22">
        <f>+[12]resumen_pais_rec_nat!G83/1000000</f>
        <v>0</v>
      </c>
      <c r="H42" s="25">
        <f>+[12]resumen_pais_rec_nat!H83/1000000</f>
        <v>0</v>
      </c>
      <c r="I42" s="22" t="str">
        <f t="shared" ref="I42:I44" si="6">IF(OR(OR(H42=0,G42=0),H42=""),"",(H42/G42-1)*100)</f>
        <v/>
      </c>
      <c r="J42" s="22">
        <f t="shared" ref="J42:J44" si="7">(H42/H$13)*100</f>
        <v>0</v>
      </c>
      <c r="K42" s="16"/>
    </row>
    <row r="43" spans="1:11">
      <c r="A43" s="14"/>
      <c r="B43" s="9" t="str">
        <f>+[12]resumen_pais_rec_nat!B84</f>
        <v xml:space="preserve">China </v>
      </c>
      <c r="C43" s="22">
        <f>+[12]resumen_pais_rec_nat!C84/1000000</f>
        <v>102.176087</v>
      </c>
      <c r="D43" s="25">
        <f>+[12]resumen_pais_rec_nat!D84/1000000</f>
        <v>124.123507</v>
      </c>
      <c r="E43" s="22">
        <f t="shared" ref="E43:E44" si="8">IF(OR(OR(D43=0,C43=0),D43=""),"",(D43/C43-1)*100)</f>
        <v>21.479996586676897</v>
      </c>
      <c r="F43" s="22">
        <f t="shared" ref="F43:F44" si="9">(D43/D$13)*100</f>
        <v>8.2876719236385767</v>
      </c>
      <c r="G43" s="22">
        <f>+[12]resumen_pais_rec_nat!G84/1000000</f>
        <v>0</v>
      </c>
      <c r="H43" s="25">
        <f>+[12]resumen_pais_rec_nat!H84/1000000</f>
        <v>0</v>
      </c>
      <c r="I43" s="22" t="str">
        <f t="shared" si="6"/>
        <v/>
      </c>
      <c r="J43" s="22">
        <f t="shared" si="7"/>
        <v>0</v>
      </c>
      <c r="K43" s="16"/>
    </row>
    <row r="44" spans="1:11">
      <c r="A44" s="14"/>
      <c r="B44" s="9" t="str">
        <f>+[12]resumen_pais_rec_nat!B85</f>
        <v xml:space="preserve">Japón </v>
      </c>
      <c r="C44" s="22">
        <f>+[12]resumen_pais_rec_nat!C85/1000000</f>
        <v>9.094875</v>
      </c>
      <c r="D44" s="25">
        <f>+[12]resumen_pais_rec_nat!D85/1000000</f>
        <v>20.566089000000002</v>
      </c>
      <c r="E44" s="22">
        <f t="shared" si="8"/>
        <v>126.12833051581251</v>
      </c>
      <c r="F44" s="22">
        <f t="shared" si="9"/>
        <v>1.3731887094066086</v>
      </c>
      <c r="G44" s="22">
        <f>+[12]resumen_pais_rec_nat!G85/1000000</f>
        <v>0</v>
      </c>
      <c r="H44" s="25">
        <f>+[12]resumen_pais_rec_nat!H85/1000000</f>
        <v>0</v>
      </c>
      <c r="I44" s="22" t="str">
        <f t="shared" si="6"/>
        <v/>
      </c>
      <c r="J44" s="22">
        <f t="shared" si="7"/>
        <v>0</v>
      </c>
      <c r="K44" s="16"/>
    </row>
    <row r="45" spans="1:11">
      <c r="A45" s="14"/>
      <c r="B45" s="9" t="s">
        <v>5</v>
      </c>
      <c r="C45" s="22">
        <f>+C13-C14-C30-C28-C29-C42-C43-C44</f>
        <v>91.107515320001937</v>
      </c>
      <c r="D45" s="25">
        <f>+D13-D14-D30-D28-D29-D42-D43-D44</f>
        <v>164.31944602997729</v>
      </c>
      <c r="E45" s="22">
        <f t="shared" si="0"/>
        <v>80.357729494464934</v>
      </c>
      <c r="F45" s="22">
        <f t="shared" si="1"/>
        <v>10.971537078552631</v>
      </c>
      <c r="G45" s="22">
        <f>+G13-G14-G30-G28-G29-G42-G43-G44</f>
        <v>21.735231459999525</v>
      </c>
      <c r="H45" s="25">
        <f>+H13-H14-H30-H28-H29-H42-H43-H44</f>
        <v>129.1819964200003</v>
      </c>
      <c r="I45" s="22">
        <f t="shared" si="3"/>
        <v>494.34378077703309</v>
      </c>
      <c r="J45" s="22">
        <f t="shared" si="5"/>
        <v>55.57146697763492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25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9"/>
      <c r="E48" s="20"/>
    </row>
    <row r="49" spans="2:5">
      <c r="B49" s="20"/>
      <c r="C49" s="20"/>
      <c r="D49" s="89"/>
      <c r="E49" s="20"/>
    </row>
    <row r="50" spans="2:5">
      <c r="C50" s="20"/>
      <c r="D50" s="89"/>
    </row>
    <row r="51" spans="2:5">
      <c r="C51" s="20"/>
      <c r="D51" s="89"/>
    </row>
    <row r="52" spans="2:5">
      <c r="C52" s="20"/>
      <c r="D52" s="89"/>
      <c r="E52" s="89"/>
    </row>
    <row r="53" spans="2:5">
      <c r="C53" s="20"/>
      <c r="D53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65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57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4" t="s">
        <v>140</v>
      </c>
      <c r="D10" s="114"/>
      <c r="E10" s="113" t="s">
        <v>1</v>
      </c>
      <c r="F10" s="113" t="s">
        <v>4</v>
      </c>
      <c r="G10" s="114" t="s">
        <v>141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104">
        <v>2009</v>
      </c>
      <c r="D11" s="104">
        <v>2010</v>
      </c>
      <c r="E11" s="113"/>
      <c r="F11" s="113"/>
      <c r="G11" s="104">
        <v>2009</v>
      </c>
      <c r="H11" s="104">
        <v>2010</v>
      </c>
      <c r="I11" s="113"/>
      <c r="J11" s="113"/>
      <c r="K11" s="16"/>
      <c r="N11" s="2"/>
    </row>
    <row r="12" spans="1:14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61</v>
      </c>
      <c r="C13" s="25">
        <f>+'Resumen importaciones totales'!C25</f>
        <v>1379.7552921000304</v>
      </c>
      <c r="D13" s="25">
        <f>+'Resumen importaciones totales'!D25</f>
        <v>1966.0594319099987</v>
      </c>
      <c r="E13" s="25">
        <f>IF(OR(OR(D13=0,C13=0),D13=""),"",(D13/C13-1)*100)</f>
        <v>42.49334234606161</v>
      </c>
      <c r="F13" s="23">
        <f>(D13/D$13)*100</f>
        <v>100</v>
      </c>
      <c r="G13" s="25">
        <f>+'Resumen importaciones totales'!G25</f>
        <v>157.7697077399994</v>
      </c>
      <c r="H13" s="25">
        <f>+'Resumen importaciones totales'!H25</f>
        <v>259.15973022000111</v>
      </c>
      <c r="I13" s="25">
        <f>IF(OR(OR(H13=0,G13=0),H13=""),"",(H13/G13-1)*100)</f>
        <v>64.264568865837006</v>
      </c>
      <c r="J13" s="23">
        <f>(H13/H$13)*100</f>
        <v>100</v>
      </c>
      <c r="K13" s="16"/>
    </row>
    <row r="14" spans="1:14">
      <c r="A14" s="14"/>
      <c r="B14" s="10" t="s">
        <v>38</v>
      </c>
      <c r="C14" s="22">
        <f>+C15+C19</f>
        <v>283.12899600000003</v>
      </c>
      <c r="D14" s="25">
        <f>+D15+D19</f>
        <v>375.60668100000004</v>
      </c>
      <c r="E14" s="22">
        <f t="shared" ref="E14:E45" si="0">IF(OR(OR(D14=0,C14=0),D14=""),"",(D14/C14-1)*100)</f>
        <v>32.662739001130078</v>
      </c>
      <c r="F14" s="22">
        <f t="shared" ref="F14:F45" si="1">(D14/D$13)*100</f>
        <v>19.104543581121732</v>
      </c>
      <c r="G14" s="22">
        <f>+G15+G19</f>
        <v>26.964664999999997</v>
      </c>
      <c r="H14" s="25">
        <f t="shared" ref="H14" si="2">+H15+H19</f>
        <v>7.6145270000000007</v>
      </c>
      <c r="I14" s="22">
        <f t="shared" ref="I14:I45" si="3">IF(OR(OR(H14=0,G14=0),H14=""),"",(H14/G14-1)*100)</f>
        <v>-71.761091784377811</v>
      </c>
      <c r="J14" s="22">
        <f>(H14/H$13)*100</f>
        <v>2.9381597957120946</v>
      </c>
      <c r="K14" s="16"/>
    </row>
    <row r="15" spans="1:14">
      <c r="A15" s="14"/>
      <c r="B15" s="10" t="s">
        <v>41</v>
      </c>
      <c r="C15" s="22">
        <f>+SUM(C16:C18)</f>
        <v>55.681477000000001</v>
      </c>
      <c r="D15" s="25">
        <f>+SUM(D16:D18)</f>
        <v>59.047408000000004</v>
      </c>
      <c r="E15" s="22">
        <f t="shared" si="0"/>
        <v>6.0449743457775096</v>
      </c>
      <c r="F15" s="22">
        <f>(D15/D$13)*100</f>
        <v>3.0033378971985751</v>
      </c>
      <c r="G15" s="22">
        <f t="shared" ref="G15:H15" si="4">+SUM(G16:G18)</f>
        <v>5.3091119999999998</v>
      </c>
      <c r="H15" s="25">
        <f t="shared" si="4"/>
        <v>7.6125170000000004</v>
      </c>
      <c r="I15" s="22">
        <f t="shared" si="3"/>
        <v>43.385880727323148</v>
      </c>
      <c r="J15" s="22">
        <f t="shared" ref="J15:J45" si="5">(H15/H$13)*100</f>
        <v>2.9373842122530851</v>
      </c>
      <c r="K15" s="16"/>
    </row>
    <row r="16" spans="1:14">
      <c r="A16" s="14" t="s">
        <v>48</v>
      </c>
      <c r="B16" s="9" t="str">
        <f>CONCATENATE(A16,[13]resumen_pais_baja_tek!B7)</f>
        <v xml:space="preserve">   Bolivia</v>
      </c>
      <c r="C16" s="22">
        <f>[13]resumen_pais_baja_tek!C7/1000000</f>
        <v>0.20341600000000001</v>
      </c>
      <c r="D16" s="25">
        <f>[13]resumen_pais_baja_tek!D7/1000000</f>
        <v>0.344887</v>
      </c>
      <c r="E16" s="22">
        <f t="shared" si="0"/>
        <v>69.54762653871866</v>
      </c>
      <c r="F16" s="22">
        <f t="shared" si="1"/>
        <v>1.7542043460250192E-2</v>
      </c>
      <c r="G16" s="22">
        <f>[13]resumen_pais_baja_tek!E7/1000000</f>
        <v>0</v>
      </c>
      <c r="H16" s="25">
        <f>[13]resumen_pais_baja_tek!F7/1000000</f>
        <v>0.25334600000000002</v>
      </c>
      <c r="I16" s="22" t="str">
        <f t="shared" si="3"/>
        <v/>
      </c>
      <c r="J16" s="22">
        <f t="shared" si="5"/>
        <v>9.7756700003096234E-2</v>
      </c>
      <c r="K16" s="16"/>
    </row>
    <row r="17" spans="1:11">
      <c r="A17" s="14" t="s">
        <v>48</v>
      </c>
      <c r="B17" s="9" t="str">
        <f>CONCATENATE(A17,[13]resumen_pais_baja_tek!B8)</f>
        <v xml:space="preserve">   Ecuador</v>
      </c>
      <c r="C17" s="22">
        <f>[13]resumen_pais_baja_tek!C8/1000000</f>
        <v>13.10909</v>
      </c>
      <c r="D17" s="25">
        <f>[13]resumen_pais_baja_tek!D8/1000000</f>
        <v>20.475038000000001</v>
      </c>
      <c r="E17" s="22">
        <f t="shared" si="0"/>
        <v>56.189621094980666</v>
      </c>
      <c r="F17" s="22">
        <f t="shared" si="1"/>
        <v>1.0414251811354855</v>
      </c>
      <c r="G17" s="22">
        <f>[13]resumen_pais_baja_tek!E8/1000000</f>
        <v>1.8486199999999999</v>
      </c>
      <c r="H17" s="25">
        <f>[13]resumen_pais_baja_tek!F8/1000000</f>
        <v>3.155945</v>
      </c>
      <c r="I17" s="22">
        <f t="shared" si="3"/>
        <v>70.718968744252479</v>
      </c>
      <c r="J17" s="22">
        <f t="shared" si="5"/>
        <v>1.2177605669371987</v>
      </c>
      <c r="K17" s="16"/>
    </row>
    <row r="18" spans="1:11">
      <c r="A18" s="14" t="s">
        <v>48</v>
      </c>
      <c r="B18" s="9" t="str">
        <f>CONCATENATE(A18,[13]resumen_pais_baja_tek!B9)</f>
        <v xml:space="preserve">   Perú </v>
      </c>
      <c r="C18" s="22">
        <f>[13]resumen_pais_baja_tek!C9/1000000</f>
        <v>42.368971000000002</v>
      </c>
      <c r="D18" s="25">
        <f>[13]resumen_pais_baja_tek!D9/1000000</f>
        <v>38.227482999999999</v>
      </c>
      <c r="E18" s="22">
        <f t="shared" si="0"/>
        <v>-9.7748137428213759</v>
      </c>
      <c r="F18" s="22">
        <f t="shared" si="1"/>
        <v>1.9443706726028391</v>
      </c>
      <c r="G18" s="22">
        <f>[13]resumen_pais_baja_tek!E9/1000000</f>
        <v>3.4604919999999999</v>
      </c>
      <c r="H18" s="25">
        <f>[13]resumen_pais_baja_tek!F9/1000000</f>
        <v>4.2032259999999999</v>
      </c>
      <c r="I18" s="22">
        <f t="shared" si="3"/>
        <v>21.463248578525839</v>
      </c>
      <c r="J18" s="22">
        <f t="shared" si="5"/>
        <v>1.6218669453127901</v>
      </c>
      <c r="K18" s="16"/>
    </row>
    <row r="19" spans="1:11">
      <c r="A19" s="14"/>
      <c r="B19" s="10" t="s">
        <v>42</v>
      </c>
      <c r="C19" s="22">
        <f>SUM(C20:C27)</f>
        <v>227.447519</v>
      </c>
      <c r="D19" s="25">
        <f>SUM(D20:D27)</f>
        <v>316.55927300000002</v>
      </c>
      <c r="E19" s="22">
        <f t="shared" si="0"/>
        <v>39.179039803023755</v>
      </c>
      <c r="F19" s="22">
        <f t="shared" si="1"/>
        <v>16.101205683923155</v>
      </c>
      <c r="G19" s="22">
        <f>SUM(G20:G27)</f>
        <v>21.655552999999998</v>
      </c>
      <c r="H19" s="25">
        <f>+[9]resumen_pais_destino!F22/1000000</f>
        <v>2.0100000000000001E-3</v>
      </c>
      <c r="I19" s="22">
        <f t="shared" si="3"/>
        <v>-99.990718315990364</v>
      </c>
      <c r="J19" s="22">
        <f t="shared" si="5"/>
        <v>7.7558345900951035E-4</v>
      </c>
      <c r="K19" s="16"/>
    </row>
    <row r="20" spans="1:11">
      <c r="A20" s="14" t="s">
        <v>48</v>
      </c>
      <c r="B20" s="9" t="str">
        <f>CONCATENATE(A20,[13]resumen_pais_baja_tek!B23)</f>
        <v xml:space="preserve">   Argentina</v>
      </c>
      <c r="C20" s="22">
        <f>[13]resumen_pais_baja_tek!C23/1000000</f>
        <v>26.082187000000001</v>
      </c>
      <c r="D20" s="25">
        <f>[13]resumen_pais_baja_tek!D23/1000000</f>
        <v>20.418979</v>
      </c>
      <c r="E20" s="22">
        <f t="shared" si="0"/>
        <v>-21.712933811877054</v>
      </c>
      <c r="F20" s="22">
        <f t="shared" si="1"/>
        <v>1.0385738431194451</v>
      </c>
      <c r="G20" s="22">
        <f>[13]resumen_pais_baja_tek!E23/1000000</f>
        <v>1.3382849999999999</v>
      </c>
      <c r="H20" s="25">
        <f>[13]resumen_pais_baja_tek!F23/1000000</f>
        <v>1.7536670000000001</v>
      </c>
      <c r="I20" s="22">
        <f t="shared" si="3"/>
        <v>31.03838121177478</v>
      </c>
      <c r="J20" s="22">
        <f t="shared" si="5"/>
        <v>0.67667418796558765</v>
      </c>
      <c r="K20" s="16"/>
    </row>
    <row r="21" spans="1:11">
      <c r="A21" s="14" t="s">
        <v>48</v>
      </c>
      <c r="B21" s="9" t="str">
        <f>CONCATENATE(A21,[13]resumen_pais_baja_tek!B24)</f>
        <v xml:space="preserve">   Brasil </v>
      </c>
      <c r="C21" s="22">
        <f>[13]resumen_pais_baja_tek!C24/1000000</f>
        <v>78.760193999999998</v>
      </c>
      <c r="D21" s="25">
        <f>[13]resumen_pais_baja_tek!D24/1000000</f>
        <v>92.688523000000004</v>
      </c>
      <c r="E21" s="22">
        <f t="shared" si="0"/>
        <v>17.684477770585481</v>
      </c>
      <c r="F21" s="22">
        <f t="shared" si="1"/>
        <v>4.7144313897954966</v>
      </c>
      <c r="G21" s="22">
        <f>[13]resumen_pais_baja_tek!E24/1000000</f>
        <v>6.5574310000000002</v>
      </c>
      <c r="H21" s="25">
        <f>[13]resumen_pais_baja_tek!F24/1000000</f>
        <v>8.4905489999999997</v>
      </c>
      <c r="I21" s="22">
        <f t="shared" si="3"/>
        <v>29.479806954888275</v>
      </c>
      <c r="J21" s="22">
        <f t="shared" si="5"/>
        <v>3.2761837623431536</v>
      </c>
      <c r="K21" s="16"/>
    </row>
    <row r="22" spans="1:11">
      <c r="A22" s="14" t="s">
        <v>48</v>
      </c>
      <c r="B22" s="9" t="str">
        <f>CONCATENATE(A22,[13]resumen_pais_baja_tek!B25)</f>
        <v xml:space="preserve">   Cuba </v>
      </c>
      <c r="C22" s="22">
        <f>[13]resumen_pais_baja_tek!C25/1000000</f>
        <v>0.66084299999999996</v>
      </c>
      <c r="D22" s="25">
        <f>[13]resumen_pais_baja_tek!D25/1000000</f>
        <v>0.18382799999999999</v>
      </c>
      <c r="E22" s="22">
        <f t="shared" si="0"/>
        <v>-72.182802874510287</v>
      </c>
      <c r="F22" s="22">
        <f t="shared" si="1"/>
        <v>9.3500734014644558E-3</v>
      </c>
      <c r="G22" s="22">
        <f>[13]resumen_pais_baja_tek!E25/1000000</f>
        <v>8.43E-4</v>
      </c>
      <c r="H22" s="25">
        <f>[13]resumen_pais_baja_tek!F25/1000000</f>
        <v>0</v>
      </c>
      <c r="I22" s="22" t="str">
        <f t="shared" si="3"/>
        <v/>
      </c>
      <c r="J22" s="22">
        <f t="shared" si="5"/>
        <v>0</v>
      </c>
      <c r="K22" s="16"/>
    </row>
    <row r="23" spans="1:11">
      <c r="A23" s="14" t="s">
        <v>48</v>
      </c>
      <c r="B23" s="9" t="str">
        <f>CONCATENATE(A23,[13]resumen_pais_baja_tek!B26)</f>
        <v xml:space="preserve">   Chile </v>
      </c>
      <c r="C23" s="22">
        <f>[13]resumen_pais_baja_tek!C26/1000000</f>
        <v>13.062692999999999</v>
      </c>
      <c r="D23" s="25">
        <f>[13]resumen_pais_baja_tek!D26/1000000</f>
        <v>18.584914999999999</v>
      </c>
      <c r="E23" s="22">
        <f t="shared" si="0"/>
        <v>42.274759117434655</v>
      </c>
      <c r="F23" s="22">
        <f t="shared" si="1"/>
        <v>0.94528754819710703</v>
      </c>
      <c r="G23" s="22">
        <f>[13]resumen_pais_baja_tek!E26/1000000</f>
        <v>1.8889309999999999</v>
      </c>
      <c r="H23" s="25">
        <f>[13]resumen_pais_baja_tek!F26/1000000</f>
        <v>2.4881030000000002</v>
      </c>
      <c r="I23" s="22">
        <f t="shared" si="3"/>
        <v>31.720163415180359</v>
      </c>
      <c r="J23" s="22">
        <f t="shared" si="5"/>
        <v>0.96006543836414915</v>
      </c>
      <c r="K23" s="16"/>
    </row>
    <row r="24" spans="1:11">
      <c r="A24" s="14" t="s">
        <v>48</v>
      </c>
      <c r="B24" s="9" t="str">
        <f>CONCATENATE(A24,[13]resumen_pais_baja_tek!B27)</f>
        <v xml:space="preserve">   México </v>
      </c>
      <c r="C24" s="22">
        <f>[13]resumen_pais_baja_tek!C27/1000000</f>
        <v>86.632925999999998</v>
      </c>
      <c r="D24" s="25">
        <f>[13]resumen_pais_baja_tek!D27/1000000</f>
        <v>169.746317</v>
      </c>
      <c r="E24" s="22">
        <f t="shared" si="0"/>
        <v>95.93741645064604</v>
      </c>
      <c r="F24" s="22">
        <f t="shared" si="1"/>
        <v>8.6338344734113086</v>
      </c>
      <c r="G24" s="22">
        <f>[13]resumen_pais_baja_tek!E27/1000000</f>
        <v>9.7575240000000001</v>
      </c>
      <c r="H24" s="25">
        <f>[13]resumen_pais_baja_tek!F27/1000000</f>
        <v>23.624935000000001</v>
      </c>
      <c r="I24" s="22">
        <f t="shared" si="3"/>
        <v>142.12018335799121</v>
      </c>
      <c r="J24" s="22">
        <f t="shared" si="5"/>
        <v>9.1159745304352473</v>
      </c>
      <c r="K24" s="16"/>
    </row>
    <row r="25" spans="1:11">
      <c r="A25" s="14" t="s">
        <v>48</v>
      </c>
      <c r="B25" s="9" t="str">
        <f>CONCATENATE(A25,[13]resumen_pais_baja_tek!B28)</f>
        <v xml:space="preserve">   Paraguay </v>
      </c>
      <c r="C25" s="22">
        <f>[13]resumen_pais_baja_tek!C28/1000000</f>
        <v>0.28942000000000001</v>
      </c>
      <c r="D25" s="25">
        <f>[13]resumen_pais_baja_tek!D28/1000000</f>
        <v>7.7880000000000005E-2</v>
      </c>
      <c r="E25" s="22">
        <f t="shared" si="0"/>
        <v>-73.091009605417739</v>
      </c>
      <c r="F25" s="22">
        <f t="shared" si="1"/>
        <v>3.9612230808475958E-3</v>
      </c>
      <c r="G25" s="22">
        <f>[13]resumen_pais_baja_tek!E28/1000000</f>
        <v>1.7541000000000001E-2</v>
      </c>
      <c r="H25" s="25">
        <f>[13]resumen_pais_baja_tek!F28/1000000</f>
        <v>0</v>
      </c>
      <c r="I25" s="22" t="str">
        <f t="shared" si="3"/>
        <v/>
      </c>
      <c r="J25" s="22">
        <f t="shared" si="5"/>
        <v>0</v>
      </c>
      <c r="K25" s="16"/>
    </row>
    <row r="26" spans="1:11">
      <c r="A26" s="14" t="s">
        <v>48</v>
      </c>
      <c r="B26" s="9" t="str">
        <f>CONCATENATE(A26,[13]resumen_pais_baja_tek!B29)</f>
        <v xml:space="preserve">   Uruguay </v>
      </c>
      <c r="C26" s="22">
        <f>[13]resumen_pais_baja_tek!C29/1000000</f>
        <v>1.1845330000000001</v>
      </c>
      <c r="D26" s="25">
        <f>[13]resumen_pais_baja_tek!D29/1000000</f>
        <v>1.058889</v>
      </c>
      <c r="E26" s="22">
        <f t="shared" si="0"/>
        <v>-10.607049360380849</v>
      </c>
      <c r="F26" s="22">
        <f t="shared" si="1"/>
        <v>5.3858443077242302E-2</v>
      </c>
      <c r="G26" s="22">
        <f>[13]resumen_pais_baja_tek!E29/1000000</f>
        <v>0.22747500000000001</v>
      </c>
      <c r="H26" s="25">
        <f>[13]resumen_pais_baja_tek!F29/1000000</f>
        <v>0.18231</v>
      </c>
      <c r="I26" s="22">
        <f t="shared" si="3"/>
        <v>-19.854929113089359</v>
      </c>
      <c r="J26" s="22">
        <f t="shared" si="5"/>
        <v>7.0346577319414849E-2</v>
      </c>
      <c r="K26" s="16"/>
    </row>
    <row r="27" spans="1:11">
      <c r="A27" s="14" t="s">
        <v>48</v>
      </c>
      <c r="B27" s="9" t="str">
        <f>CONCATENATE(A27,[13]resumen_pais_baja_tek!B30)</f>
        <v xml:space="preserve">   Venezuela</v>
      </c>
      <c r="C27" s="22">
        <f>[13]resumen_pais_baja_tek!C30/1000000</f>
        <v>20.774723000000002</v>
      </c>
      <c r="D27" s="25">
        <f>[13]resumen_pais_baja_tek!D30/1000000</f>
        <v>13.799942</v>
      </c>
      <c r="E27" s="22">
        <f t="shared" si="0"/>
        <v>-33.573400713934923</v>
      </c>
      <c r="F27" s="22">
        <f>(D27/D$13)*100</f>
        <v>0.70190868984024313</v>
      </c>
      <c r="G27" s="22">
        <f>[13]resumen_pais_baja_tek!E30/1000000</f>
        <v>1.867523</v>
      </c>
      <c r="H27" s="25">
        <f>[13]resumen_pais_baja_tek!F30/1000000</f>
        <v>3.4610310000000002</v>
      </c>
      <c r="I27" s="22">
        <f t="shared" si="3"/>
        <v>85.327356075400402</v>
      </c>
      <c r="J27" s="22">
        <f t="shared" si="5"/>
        <v>1.335481788417485</v>
      </c>
      <c r="K27" s="16"/>
    </row>
    <row r="28" spans="1:11">
      <c r="A28" s="14" t="s">
        <v>48</v>
      </c>
      <c r="B28" s="9" t="str">
        <f>+[13]resumen_pais_baja_tek!B44</f>
        <v xml:space="preserve">Canadá </v>
      </c>
      <c r="C28" s="22">
        <f>+[13]resumen_pais_baja_tek!C44/1000000</f>
        <v>4.0419580000000002</v>
      </c>
      <c r="D28" s="25">
        <f>+[13]resumen_pais_baja_tek!D44/1000000</f>
        <v>13.150651999999999</v>
      </c>
      <c r="E28" s="22">
        <f t="shared" si="0"/>
        <v>225.35350441543426</v>
      </c>
      <c r="F28" s="22">
        <f>(D28/D$13)*100</f>
        <v>0.66888374718277599</v>
      </c>
      <c r="G28" s="22">
        <f>+[13]resumen_pais_baja_tek!E44/1000000</f>
        <v>0.29503400000000002</v>
      </c>
      <c r="H28" s="25">
        <f>+[13]resumen_pais_baja_tek!F44/1000000</f>
        <v>0.73721300000000001</v>
      </c>
      <c r="I28" s="22">
        <f t="shared" si="3"/>
        <v>149.87391283716454</v>
      </c>
      <c r="J28" s="22">
        <f t="shared" si="5"/>
        <v>0.28446279033173044</v>
      </c>
      <c r="K28" s="16"/>
    </row>
    <row r="29" spans="1:11">
      <c r="A29" s="14" t="s">
        <v>48</v>
      </c>
      <c r="B29" s="9" t="str">
        <f>+[13]resumen_pais_baja_tek!B45</f>
        <v>Estados Unidos</v>
      </c>
      <c r="C29" s="22">
        <f>+[13]resumen_pais_baja_tek!C45/1000000</f>
        <v>290.64414599999998</v>
      </c>
      <c r="D29" s="25">
        <f>+[13]resumen_pais_baja_tek!D45/1000000</f>
        <v>392.854783</v>
      </c>
      <c r="E29" s="22">
        <f t="shared" si="0"/>
        <v>35.16693468857963</v>
      </c>
      <c r="F29" s="22">
        <f t="shared" si="1"/>
        <v>19.981836592719233</v>
      </c>
      <c r="G29" s="22">
        <f>+[13]resumen_pais_baja_tek!E45/1000000</f>
        <v>31.927665000000001</v>
      </c>
      <c r="H29" s="25">
        <f>+[13]resumen_pais_baja_tek!F45/1000000</f>
        <v>46.681502000000002</v>
      </c>
      <c r="I29" s="22">
        <f t="shared" si="3"/>
        <v>46.210197332000313</v>
      </c>
      <c r="J29" s="22">
        <f t="shared" si="5"/>
        <v>18.01263721040765</v>
      </c>
      <c r="K29" s="16"/>
    </row>
    <row r="30" spans="1:11">
      <c r="A30" s="14"/>
      <c r="B30" s="10" t="s">
        <v>39</v>
      </c>
      <c r="C30" s="22">
        <f>SUM(C31:C41)</f>
        <v>189.50421700000001</v>
      </c>
      <c r="D30" s="25">
        <f>SUM(D31:D41)</f>
        <v>251.77640600000004</v>
      </c>
      <c r="E30" s="22">
        <f t="shared" si="0"/>
        <v>32.860582200131219</v>
      </c>
      <c r="F30" s="22">
        <f t="shared" si="1"/>
        <v>12.806144204674569</v>
      </c>
      <c r="G30" s="22">
        <f>SUM(G31:G41)</f>
        <v>22.272545999999995</v>
      </c>
      <c r="H30" s="25">
        <f>SUM(H31:H41)</f>
        <v>25.292993000000003</v>
      </c>
      <c r="I30" s="22">
        <f t="shared" si="3"/>
        <v>13.561300984629288</v>
      </c>
      <c r="J30" s="22">
        <f t="shared" si="5"/>
        <v>9.7596154227081282</v>
      </c>
      <c r="K30" s="16"/>
    </row>
    <row r="31" spans="1:11">
      <c r="A31" s="14" t="s">
        <v>48</v>
      </c>
      <c r="B31" s="9" t="str">
        <f>CONCATENATE(A31,[13]resumen_pais_baja_tek!B59)</f>
        <v xml:space="preserve">   Alemania </v>
      </c>
      <c r="C31" s="22">
        <f>[13]resumen_pais_baja_tek!C59/1000000</f>
        <v>40.488109999999999</v>
      </c>
      <c r="D31" s="25">
        <f>[13]resumen_pais_baja_tek!D59/1000000</f>
        <v>50.228389999999997</v>
      </c>
      <c r="E31" s="22">
        <f t="shared" si="0"/>
        <v>24.057136774228294</v>
      </c>
      <c r="F31" s="22">
        <f t="shared" si="1"/>
        <v>2.5547747532333664</v>
      </c>
      <c r="G31" s="22">
        <f>[13]resumen_pais_baja_tek!E59/1000000</f>
        <v>5.4039149999999996</v>
      </c>
      <c r="H31" s="25">
        <f>[13]resumen_pais_baja_tek!F59/1000000</f>
        <v>5.6446149999999999</v>
      </c>
      <c r="I31" s="22">
        <f t="shared" si="3"/>
        <v>4.4541781282644299</v>
      </c>
      <c r="J31" s="22">
        <f t="shared" si="5"/>
        <v>2.1780447892920236</v>
      </c>
      <c r="K31" s="16"/>
    </row>
    <row r="32" spans="1:11">
      <c r="A32" s="14" t="s">
        <v>48</v>
      </c>
      <c r="B32" s="9" t="str">
        <f>CONCATENATE(A32,[13]resumen_pais_baja_tek!B60)</f>
        <v xml:space="preserve">   Austria </v>
      </c>
      <c r="C32" s="22">
        <f>[13]resumen_pais_baja_tek!C60/1000000</f>
        <v>3.2484660000000001</v>
      </c>
      <c r="D32" s="25">
        <f>[13]resumen_pais_baja_tek!D60/1000000</f>
        <v>3.7452570000000001</v>
      </c>
      <c r="E32" s="22">
        <f t="shared" si="0"/>
        <v>15.293095264041545</v>
      </c>
      <c r="F32" s="22">
        <f t="shared" si="1"/>
        <v>0.19049561469062695</v>
      </c>
      <c r="G32" s="22">
        <f>[13]resumen_pais_baja_tek!E60/1000000</f>
        <v>0.115095</v>
      </c>
      <c r="H32" s="25">
        <f>[13]resumen_pais_baja_tek!F60/1000000</f>
        <v>0.69930300000000001</v>
      </c>
      <c r="I32" s="22">
        <f t="shared" si="3"/>
        <v>507.58764498892219</v>
      </c>
      <c r="J32" s="22">
        <f t="shared" si="5"/>
        <v>0.26983474608742669</v>
      </c>
      <c r="K32" s="16"/>
    </row>
    <row r="33" spans="1:11">
      <c r="A33" s="14" t="s">
        <v>48</v>
      </c>
      <c r="B33" s="9" t="str">
        <f>CONCATENATE(A33,[13]resumen_pais_baja_tek!B61)</f>
        <v xml:space="preserve">   Bélgica </v>
      </c>
      <c r="C33" s="22">
        <f>[13]resumen_pais_baja_tek!C61/1000000</f>
        <v>11.041867</v>
      </c>
      <c r="D33" s="25">
        <f>[13]resumen_pais_baja_tek!D61/1000000</f>
        <v>24.850978999999999</v>
      </c>
      <c r="E33" s="22">
        <f t="shared" si="0"/>
        <v>125.06138681076307</v>
      </c>
      <c r="F33" s="22">
        <f t="shared" si="1"/>
        <v>1.263999378485605</v>
      </c>
      <c r="G33" s="22">
        <f>[13]resumen_pais_baja_tek!E61/1000000</f>
        <v>1.9513069999999999</v>
      </c>
      <c r="H33" s="25">
        <f>[13]resumen_pais_baja_tek!F61/1000000</f>
        <v>4.5466530000000001</v>
      </c>
      <c r="I33" s="22">
        <f t="shared" si="3"/>
        <v>133.00551886504789</v>
      </c>
      <c r="J33" s="22">
        <f t="shared" si="5"/>
        <v>1.7543825177392873</v>
      </c>
      <c r="K33" s="16"/>
    </row>
    <row r="34" spans="1:11">
      <c r="A34" s="14" t="s">
        <v>48</v>
      </c>
      <c r="B34" s="9" t="str">
        <f>CONCATENATE(A34,[13]resumen_pais_baja_tek!B62)</f>
        <v xml:space="preserve">   España </v>
      </c>
      <c r="C34" s="22">
        <f>[13]resumen_pais_baja_tek!C62/1000000</f>
        <v>58.505231000000002</v>
      </c>
      <c r="D34" s="25">
        <f>[13]resumen_pais_baja_tek!D62/1000000</f>
        <v>74.447322</v>
      </c>
      <c r="E34" s="22">
        <f t="shared" si="0"/>
        <v>27.249001033770814</v>
      </c>
      <c r="F34" s="22">
        <f t="shared" si="1"/>
        <v>3.7866262225692484</v>
      </c>
      <c r="G34" s="22">
        <f>[13]resumen_pais_baja_tek!E62/1000000</f>
        <v>6.4273829999999998</v>
      </c>
      <c r="H34" s="25">
        <f>[13]resumen_pais_baja_tek!F62/1000000</f>
        <v>2.9782250000000001</v>
      </c>
      <c r="I34" s="22">
        <f t="shared" si="3"/>
        <v>-53.663489479310634</v>
      </c>
      <c r="J34" s="22">
        <f t="shared" si="5"/>
        <v>1.149185098113731</v>
      </c>
      <c r="K34" s="16"/>
    </row>
    <row r="35" spans="1:11">
      <c r="A35" s="14" t="s">
        <v>48</v>
      </c>
      <c r="B35" s="9" t="str">
        <f>CONCATENATE(A35,[13]resumen_pais_baja_tek!B63)</f>
        <v xml:space="preserve">   Finlandia </v>
      </c>
      <c r="C35" s="22">
        <f>[13]resumen_pais_baja_tek!C63/1000000</f>
        <v>2.9988489999999999</v>
      </c>
      <c r="D35" s="25">
        <f>[13]resumen_pais_baja_tek!D63/1000000</f>
        <v>4.1696910000000003</v>
      </c>
      <c r="E35" s="22">
        <f t="shared" si="0"/>
        <v>39.043046182051853</v>
      </c>
      <c r="F35" s="22">
        <f t="shared" si="1"/>
        <v>0.21208367012329862</v>
      </c>
      <c r="G35" s="22">
        <f>[13]resumen_pais_baja_tek!E63/1000000</f>
        <v>0.39291900000000002</v>
      </c>
      <c r="H35" s="25">
        <f>[13]resumen_pais_baja_tek!F63/1000000</f>
        <v>0.75762700000000005</v>
      </c>
      <c r="I35" s="22">
        <f t="shared" si="3"/>
        <v>92.820148682043893</v>
      </c>
      <c r="J35" s="22">
        <f t="shared" si="5"/>
        <v>0.2923397857208947</v>
      </c>
      <c r="K35" s="16"/>
    </row>
    <row r="36" spans="1:11">
      <c r="A36" s="14" t="s">
        <v>48</v>
      </c>
      <c r="B36" s="9" t="str">
        <f>CONCATENATE(A36,[13]resumen_pais_baja_tek!B64)</f>
        <v xml:space="preserve">   Francia </v>
      </c>
      <c r="C36" s="22">
        <f>[13]resumen_pais_baja_tek!C64/1000000</f>
        <v>10.747427</v>
      </c>
      <c r="D36" s="25">
        <f>[13]resumen_pais_baja_tek!D64/1000000</f>
        <v>13.704890000000001</v>
      </c>
      <c r="E36" s="22">
        <f t="shared" si="0"/>
        <v>27.517870091139017</v>
      </c>
      <c r="F36" s="22">
        <f t="shared" si="1"/>
        <v>0.69707404453617638</v>
      </c>
      <c r="G36" s="22">
        <f>[13]resumen_pais_baja_tek!E64/1000000</f>
        <v>1.0944959999999999</v>
      </c>
      <c r="H36" s="25">
        <f>[13]resumen_pais_baja_tek!F64/1000000</f>
        <v>1.2536149999999999</v>
      </c>
      <c r="I36" s="22">
        <f t="shared" si="3"/>
        <v>14.538107037394376</v>
      </c>
      <c r="J36" s="22">
        <f t="shared" si="5"/>
        <v>0.48372291441104842</v>
      </c>
      <c r="K36" s="16"/>
    </row>
    <row r="37" spans="1:11">
      <c r="A37" s="14" t="s">
        <v>48</v>
      </c>
      <c r="B37" s="7" t="str">
        <f>CONCATENATE(A37,[13]resumen_pais_baja_tek!B65)</f>
        <v xml:space="preserve">   Italia </v>
      </c>
      <c r="C37" s="22">
        <f>[13]resumen_pais_baja_tek!C65/1000000</f>
        <v>28.678934999999999</v>
      </c>
      <c r="D37" s="25">
        <f>[13]resumen_pais_baja_tek!D65/1000000</f>
        <v>37.066921999999998</v>
      </c>
      <c r="E37" s="22">
        <f t="shared" si="0"/>
        <v>29.247902685368189</v>
      </c>
      <c r="F37" s="22">
        <f t="shared" si="1"/>
        <v>1.8853408700870253</v>
      </c>
      <c r="G37" s="22">
        <f>[13]resumen_pais_baja_tek!E65/1000000</f>
        <v>2.206861</v>
      </c>
      <c r="H37" s="25">
        <f>[13]resumen_pais_baja_tek!F65/1000000</f>
        <v>4.550027</v>
      </c>
      <c r="I37" s="22">
        <f t="shared" si="3"/>
        <v>106.17641981076291</v>
      </c>
      <c r="J37" s="22">
        <f t="shared" si="5"/>
        <v>1.7556844175356543</v>
      </c>
      <c r="K37" s="16"/>
    </row>
    <row r="38" spans="1:11">
      <c r="A38" s="14" t="s">
        <v>48</v>
      </c>
      <c r="B38" s="7" t="str">
        <f>CONCATENATE(A38,[13]resumen_pais_baja_tek!B66)</f>
        <v xml:space="preserve">   Países Bajos </v>
      </c>
      <c r="C38" s="22">
        <f>[13]resumen_pais_baja_tek!C66/1000000</f>
        <v>16.901197</v>
      </c>
      <c r="D38" s="25">
        <f>[13]resumen_pais_baja_tek!D66/1000000</f>
        <v>20.222888999999999</v>
      </c>
      <c r="E38" s="22">
        <f t="shared" si="0"/>
        <v>19.653590216124918</v>
      </c>
      <c r="F38" s="22">
        <f t="shared" si="1"/>
        <v>1.0286000856217123</v>
      </c>
      <c r="G38" s="22">
        <f>[13]resumen_pais_baja_tek!E66/1000000</f>
        <v>2.1875369999999998</v>
      </c>
      <c r="H38" s="25">
        <f>[13]resumen_pais_baja_tek!F66/1000000</f>
        <v>2.0852360000000001</v>
      </c>
      <c r="I38" s="22">
        <f t="shared" si="3"/>
        <v>-4.6765380425565217</v>
      </c>
      <c r="J38" s="22">
        <f t="shared" si="5"/>
        <v>0.80461420384634608</v>
      </c>
      <c r="K38" s="16"/>
    </row>
    <row r="39" spans="1:11">
      <c r="A39" s="14" t="s">
        <v>48</v>
      </c>
      <c r="B39" s="7" t="str">
        <f>CONCATENATE(A39,[13]resumen_pais_baja_tek!B67)</f>
        <v xml:space="preserve">   Reino Unido </v>
      </c>
      <c r="C39" s="22">
        <f>[13]resumen_pais_baja_tek!C67/1000000</f>
        <v>7.377777</v>
      </c>
      <c r="D39" s="25">
        <f>[13]resumen_pais_baja_tek!D67/1000000</f>
        <v>8.6246880000000008</v>
      </c>
      <c r="E39" s="22">
        <f t="shared" si="0"/>
        <v>16.900903890155551</v>
      </c>
      <c r="F39" s="22">
        <f t="shared" si="1"/>
        <v>0.43867890563314449</v>
      </c>
      <c r="G39" s="22">
        <f>[13]resumen_pais_baja_tek!E67/1000000</f>
        <v>0.89359</v>
      </c>
      <c r="H39" s="25">
        <f>[13]resumen_pais_baja_tek!F67/1000000</f>
        <v>0.79012300000000002</v>
      </c>
      <c r="I39" s="22">
        <f t="shared" si="3"/>
        <v>-11.5788001208608</v>
      </c>
      <c r="J39" s="22">
        <f t="shared" si="5"/>
        <v>0.3048787708372992</v>
      </c>
      <c r="K39" s="16"/>
    </row>
    <row r="40" spans="1:11">
      <c r="A40" s="14" t="s">
        <v>48</v>
      </c>
      <c r="B40" s="9" t="str">
        <f>CONCATENATE(A40,[13]resumen_pais_baja_tek!B68)</f>
        <v xml:space="preserve">   Suecia </v>
      </c>
      <c r="C40" s="22">
        <f>[13]resumen_pais_baja_tek!C68/1000000</f>
        <v>2.7929179999999998</v>
      </c>
      <c r="D40" s="25">
        <f>[13]resumen_pais_baja_tek!D68/1000000</f>
        <v>4.1229610000000001</v>
      </c>
      <c r="E40" s="22">
        <f t="shared" si="0"/>
        <v>47.621985321445194</v>
      </c>
      <c r="F40" s="22">
        <f t="shared" si="1"/>
        <v>0.20970683454846539</v>
      </c>
      <c r="G40" s="22">
        <f>[13]resumen_pais_baja_tek!E68/1000000</f>
        <v>0.160247</v>
      </c>
      <c r="H40" s="25">
        <f>[13]resumen_pais_baja_tek!F68/1000000</f>
        <v>0.402279</v>
      </c>
      <c r="I40" s="22">
        <f t="shared" si="3"/>
        <v>151.03683688306177</v>
      </c>
      <c r="J40" s="22">
        <f t="shared" si="5"/>
        <v>0.1552243474163616</v>
      </c>
      <c r="K40" s="16"/>
    </row>
    <row r="41" spans="1:11">
      <c r="A41" s="14" t="s">
        <v>48</v>
      </c>
      <c r="B41" s="9" t="str">
        <f>CONCATENATE(A41,[13]resumen_pais_baja_tek!B69)</f>
        <v xml:space="preserve">   Resto </v>
      </c>
      <c r="C41" s="22">
        <f>[13]resumen_pais_baja_tek!C69/1000000</f>
        <v>6.7234400000000001</v>
      </c>
      <c r="D41" s="25">
        <f>[13]resumen_pais_baja_tek!D69/1000000</f>
        <v>10.592416999999999</v>
      </c>
      <c r="E41" s="22">
        <f t="shared" si="0"/>
        <v>57.544605142605555</v>
      </c>
      <c r="F41" s="22">
        <f t="shared" si="1"/>
        <v>0.53876382514589694</v>
      </c>
      <c r="G41" s="22">
        <f>[13]resumen_pais_baja_tek!E69/1000000</f>
        <v>1.4391959999999999</v>
      </c>
      <c r="H41" s="25">
        <f>[13]resumen_pais_baja_tek!F69/1000000</f>
        <v>1.5852900000000001</v>
      </c>
      <c r="I41" s="22">
        <f t="shared" si="3"/>
        <v>10.151084355431795</v>
      </c>
      <c r="J41" s="22">
        <f t="shared" si="5"/>
        <v>0.61170383170805309</v>
      </c>
      <c r="K41" s="16"/>
    </row>
    <row r="42" spans="1:11">
      <c r="A42" s="14"/>
      <c r="B42" s="9" t="str">
        <f>+[13]resumen_pais_baja_tek!B83</f>
        <v>Corea del Sur</v>
      </c>
      <c r="C42" s="22">
        <f>+[13]resumen_pais_baja_tek!C83/1000000</f>
        <v>22.231781999999999</v>
      </c>
      <c r="D42" s="25">
        <f>+[13]resumen_pais_baja_tek!D83/1000000</f>
        <v>32.586136000000003</v>
      </c>
      <c r="E42" s="22">
        <f t="shared" si="0"/>
        <v>46.57455709128493</v>
      </c>
      <c r="F42" s="22">
        <f t="shared" si="1"/>
        <v>1.657433924484319</v>
      </c>
      <c r="G42" s="22">
        <f>+[13]resumen_pais_baja_tek!E83/1000000</f>
        <v>3.928328</v>
      </c>
      <c r="H42" s="25">
        <f>+[13]resumen_pais_baja_tek!F83/1000000</f>
        <v>2.5030250000000001</v>
      </c>
      <c r="I42" s="22">
        <f t="shared" si="3"/>
        <v>-36.282688207298378</v>
      </c>
      <c r="J42" s="22">
        <f t="shared" si="5"/>
        <v>0.96582327735685558</v>
      </c>
      <c r="K42" s="16"/>
    </row>
    <row r="43" spans="1:11">
      <c r="A43" s="14"/>
      <c r="B43" s="9" t="str">
        <f>+[13]resumen_pais_baja_tek!B84</f>
        <v xml:space="preserve">China </v>
      </c>
      <c r="C43" s="22">
        <f>+[13]resumen_pais_baja_tek!C84/1000000</f>
        <v>311.04336899999998</v>
      </c>
      <c r="D43" s="25">
        <f>+[13]resumen_pais_baja_tek!D84/1000000</f>
        <v>452.58089699999999</v>
      </c>
      <c r="E43" s="22">
        <f t="shared" ref="E43:E44" si="6">IF(OR(OR(D43=0,C43=0),D43=""),"",(D43/C43-1)*100)</f>
        <v>45.504113608028732</v>
      </c>
      <c r="F43" s="22">
        <f t="shared" ref="F43:F44" si="7">(D43/D$13)*100</f>
        <v>23.01969562335784</v>
      </c>
      <c r="G43" s="22">
        <f>+[13]resumen_pais_baja_tek!E84/1000000</f>
        <v>37.804591000000002</v>
      </c>
      <c r="H43" s="25">
        <f>+[13]resumen_pais_baja_tek!F84/1000000</f>
        <v>80.011540999999994</v>
      </c>
      <c r="I43" s="22">
        <f t="shared" ref="I43:I44" si="8">IF(OR(OR(H43=0,G43=0),H43=""),"",(H43/G43-1)*100)</f>
        <v>111.64503803255003</v>
      </c>
      <c r="J43" s="22">
        <f t="shared" ref="J43:J44" si="9">(H43/H$13)*100</f>
        <v>30.873446631572765</v>
      </c>
      <c r="K43" s="16"/>
    </row>
    <row r="44" spans="1:11">
      <c r="A44" s="14"/>
      <c r="B44" s="9" t="str">
        <f>+[13]resumen_pais_baja_tek!B85</f>
        <v xml:space="preserve">Japón </v>
      </c>
      <c r="C44" s="22">
        <f>+[13]resumen_pais_baja_tek!C85/1000000</f>
        <v>16.050865999999999</v>
      </c>
      <c r="D44" s="25">
        <f>+[13]resumen_pais_baja_tek!D85/1000000</f>
        <v>38.431579999999997</v>
      </c>
      <c r="E44" s="22">
        <f t="shared" si="6"/>
        <v>139.43617746232508</v>
      </c>
      <c r="F44" s="22">
        <f t="shared" si="7"/>
        <v>1.9547516914412026</v>
      </c>
      <c r="G44" s="22">
        <f>+[13]resumen_pais_baja_tek!E85/1000000</f>
        <v>1.061922</v>
      </c>
      <c r="H44" s="25">
        <f>+[13]resumen_pais_baja_tek!F85/1000000</f>
        <v>1.6982889999999999</v>
      </c>
      <c r="I44" s="22">
        <f t="shared" si="8"/>
        <v>59.925964430532552</v>
      </c>
      <c r="J44" s="22">
        <f t="shared" si="9"/>
        <v>0.65530589901383196</v>
      </c>
      <c r="K44" s="16"/>
    </row>
    <row r="45" spans="1:11">
      <c r="A45" s="14"/>
      <c r="B45" s="9" t="s">
        <v>5</v>
      </c>
      <c r="C45" s="22">
        <f>+C13-C14-C30-C28-C29-C42-C43-C44</f>
        <v>263.10995810003027</v>
      </c>
      <c r="D45" s="25">
        <f>+D13-D14-D30-D28-D29-D42-D43-D44</f>
        <v>409.07229690999873</v>
      </c>
      <c r="E45" s="22">
        <f t="shared" si="0"/>
        <v>55.475794175177469</v>
      </c>
      <c r="F45" s="22">
        <f t="shared" si="1"/>
        <v>20.806710635018334</v>
      </c>
      <c r="G45" s="22">
        <f>+G13-G14-G30-G28-G29-G42-G43-G44</f>
        <v>33.514956739999413</v>
      </c>
      <c r="H45" s="25">
        <f>+H13-H14-H30-H28-H29-H42-H43-H44</f>
        <v>94.620640220001107</v>
      </c>
      <c r="I45" s="22">
        <f t="shared" si="3"/>
        <v>182.32362331255322</v>
      </c>
      <c r="J45" s="22">
        <f t="shared" si="5"/>
        <v>36.510548972896942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25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9"/>
      <c r="E48" s="20"/>
    </row>
    <row r="49" spans="2:5">
      <c r="B49" s="20"/>
      <c r="C49" s="20"/>
      <c r="D49" s="89"/>
      <c r="E49" s="20"/>
    </row>
    <row r="50" spans="2:5">
      <c r="C50" s="20"/>
      <c r="D50" s="89"/>
    </row>
    <row r="51" spans="2:5">
      <c r="C51" s="20"/>
      <c r="D51" s="89"/>
    </row>
    <row r="52" spans="2:5">
      <c r="C52" s="20"/>
      <c r="D52" s="89"/>
      <c r="E52" s="89"/>
    </row>
    <row r="53" spans="2:5">
      <c r="C53" s="20"/>
      <c r="D53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66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57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4" t="s">
        <v>140</v>
      </c>
      <c r="D10" s="114"/>
      <c r="E10" s="113" t="s">
        <v>1</v>
      </c>
      <c r="F10" s="113" t="s">
        <v>4</v>
      </c>
      <c r="G10" s="114" t="s">
        <v>141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104">
        <v>2009</v>
      </c>
      <c r="D11" s="104">
        <v>2010</v>
      </c>
      <c r="E11" s="113"/>
      <c r="F11" s="113"/>
      <c r="G11" s="104">
        <v>2009</v>
      </c>
      <c r="H11" s="104">
        <v>2010</v>
      </c>
      <c r="I11" s="113"/>
      <c r="J11" s="113"/>
      <c r="K11" s="16"/>
      <c r="N11" s="2"/>
    </row>
    <row r="12" spans="1:14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61</v>
      </c>
      <c r="C13" s="25">
        <f>+'Resumen importaciones totales'!C26</f>
        <v>3248.0194565200459</v>
      </c>
      <c r="D13" s="25">
        <f>+'Resumen importaciones totales'!D26</f>
        <v>4500.398285900108</v>
      </c>
      <c r="E13" s="25">
        <f>IF(OR(OR(D13=0,C13=0),D13=""),"",(D13/C13-1)*100)</f>
        <v>38.558230520018832</v>
      </c>
      <c r="F13" s="23">
        <f>(D13/D$13)*100</f>
        <v>100</v>
      </c>
      <c r="G13" s="25">
        <f>+'Resumen importaciones totales'!G26</f>
        <v>381.15545859000008</v>
      </c>
      <c r="H13" s="25">
        <f>+'Resumen importaciones totales'!H26</f>
        <v>620.93736435999563</v>
      </c>
      <c r="I13" s="25">
        <f>IF(OR(OR(H13=0,G13=0),H13=""),"",(H13/G13-1)*100)</f>
        <v>62.909214696023355</v>
      </c>
      <c r="J13" s="23">
        <f>(H13/H$13)*100</f>
        <v>100</v>
      </c>
      <c r="K13" s="16"/>
    </row>
    <row r="14" spans="1:14">
      <c r="A14" s="14"/>
      <c r="B14" s="10" t="s">
        <v>38</v>
      </c>
      <c r="C14" s="22">
        <f>+C15+C19</f>
        <v>529.26426100000003</v>
      </c>
      <c r="D14" s="25">
        <f>+D15+D19</f>
        <v>863.4972459999999</v>
      </c>
      <c r="E14" s="22">
        <f t="shared" ref="E14:E45" si="0">IF(OR(OR(D14=0,C14=0),D14=""),"",(D14/C14-1)*100)</f>
        <v>63.150492037473846</v>
      </c>
      <c r="F14" s="22">
        <f t="shared" ref="F14:F45" si="1">(D14/D$13)*100</f>
        <v>19.187129474859248</v>
      </c>
      <c r="G14" s="22">
        <f>+G15+G19</f>
        <v>57.478982999999999</v>
      </c>
      <c r="H14" s="25">
        <f t="shared" ref="H14" si="2">+H15+H19</f>
        <v>20.093826</v>
      </c>
      <c r="I14" s="22">
        <f t="shared" ref="I14:I45" si="3">IF(OR(OR(H14=0,G14=0),H14=""),"",(H14/G14-1)*100)</f>
        <v>-65.04143784172382</v>
      </c>
      <c r="J14" s="22">
        <f>(H14/H$13)*100</f>
        <v>3.2360471688977586</v>
      </c>
      <c r="K14" s="16"/>
    </row>
    <row r="15" spans="1:14">
      <c r="A15" s="14"/>
      <c r="B15" s="10" t="s">
        <v>41</v>
      </c>
      <c r="C15" s="22">
        <f>+SUM(C16:C18)</f>
        <v>55.294874</v>
      </c>
      <c r="D15" s="25">
        <f>+SUM(D16:D18)</f>
        <v>77.377678000000003</v>
      </c>
      <c r="E15" s="22">
        <f t="shared" si="0"/>
        <v>39.9364396779347</v>
      </c>
      <c r="F15" s="22">
        <f>(D15/D$13)*100</f>
        <v>1.7193517792064481</v>
      </c>
      <c r="G15" s="22">
        <f t="shared" ref="G15:H15" si="4">+SUM(G16:G18)</f>
        <v>4.7018750000000002</v>
      </c>
      <c r="H15" s="25">
        <f t="shared" si="4"/>
        <v>20.091816000000001</v>
      </c>
      <c r="I15" s="22">
        <f t="shared" si="3"/>
        <v>327.31497540874653</v>
      </c>
      <c r="J15" s="22">
        <f t="shared" ref="J15:J45" si="5">(H15/H$13)*100</f>
        <v>3.2357234647505506</v>
      </c>
      <c r="K15" s="16"/>
    </row>
    <row r="16" spans="1:14">
      <c r="A16" s="14" t="s">
        <v>48</v>
      </c>
      <c r="B16" s="9" t="str">
        <f>CONCATENATE(A16,[14]resumen_pais_media_tek!B7)</f>
        <v xml:space="preserve">   Bolivia</v>
      </c>
      <c r="C16" s="22">
        <f>[14]resumen_pais_media_tek!C7/1000000</f>
        <v>3.9336999999999997E-2</v>
      </c>
      <c r="D16" s="25">
        <f>[14]resumen_pais_media_tek!D7/1000000</f>
        <v>0.39845999999999998</v>
      </c>
      <c r="E16" s="22">
        <f t="shared" si="0"/>
        <v>912.9394717441595</v>
      </c>
      <c r="F16" s="22">
        <f t="shared" si="1"/>
        <v>8.8538830273842198E-3</v>
      </c>
      <c r="G16" s="22">
        <f>[14]resumen_pais_media_tek!E7/1000000</f>
        <v>0</v>
      </c>
      <c r="H16" s="25">
        <f>[14]resumen_pais_media_tek!F7/1000000</f>
        <v>1.2716E-2</v>
      </c>
      <c r="I16" s="22" t="str">
        <f t="shared" si="3"/>
        <v/>
      </c>
      <c r="J16" s="22">
        <f t="shared" si="5"/>
        <v>2.0478716099016636E-3</v>
      </c>
      <c r="K16" s="16"/>
    </row>
    <row r="17" spans="1:11">
      <c r="A17" s="14" t="s">
        <v>48</v>
      </c>
      <c r="B17" s="9" t="str">
        <f>CONCATENATE(A17,[14]resumen_pais_media_tek!B8)</f>
        <v xml:space="preserve">   Ecuador</v>
      </c>
      <c r="C17" s="22">
        <f>[14]resumen_pais_media_tek!C8/1000000</f>
        <v>27.278801000000001</v>
      </c>
      <c r="D17" s="25">
        <f>[14]resumen_pais_media_tek!D8/1000000</f>
        <v>44.459060000000001</v>
      </c>
      <c r="E17" s="22">
        <f t="shared" si="0"/>
        <v>62.980257086812564</v>
      </c>
      <c r="F17" s="22">
        <f t="shared" si="1"/>
        <v>0.98789167481668583</v>
      </c>
      <c r="G17" s="22">
        <f>[14]resumen_pais_media_tek!E8/1000000</f>
        <v>1.9309879999999999</v>
      </c>
      <c r="H17" s="25">
        <f>[14]resumen_pais_media_tek!F8/1000000</f>
        <v>17.752769000000001</v>
      </c>
      <c r="I17" s="22">
        <f t="shared" si="3"/>
        <v>819.36195356988242</v>
      </c>
      <c r="J17" s="22">
        <f t="shared" si="5"/>
        <v>2.8590273381757112</v>
      </c>
      <c r="K17" s="16"/>
    </row>
    <row r="18" spans="1:11">
      <c r="A18" s="14" t="s">
        <v>48</v>
      </c>
      <c r="B18" s="9" t="str">
        <f>CONCATENATE(A18,[14]resumen_pais_media_tek!B9)</f>
        <v xml:space="preserve">   Perú </v>
      </c>
      <c r="C18" s="22">
        <f>[14]resumen_pais_media_tek!C9/1000000</f>
        <v>27.976735999999999</v>
      </c>
      <c r="D18" s="25">
        <f>[14]resumen_pais_media_tek!D9/1000000</f>
        <v>32.520158000000002</v>
      </c>
      <c r="E18" s="22">
        <f t="shared" si="0"/>
        <v>16.240000263075729</v>
      </c>
      <c r="F18" s="22">
        <f t="shared" si="1"/>
        <v>0.72260622136237807</v>
      </c>
      <c r="G18" s="22">
        <f>[14]resumen_pais_media_tek!E9/1000000</f>
        <v>2.7708870000000001</v>
      </c>
      <c r="H18" s="25">
        <f>[14]resumen_pais_media_tek!F9/1000000</f>
        <v>2.3263310000000001</v>
      </c>
      <c r="I18" s="22">
        <f t="shared" si="3"/>
        <v>-16.043815572414179</v>
      </c>
      <c r="J18" s="22">
        <f t="shared" si="5"/>
        <v>0.37464825496493759</v>
      </c>
      <c r="K18" s="16"/>
    </row>
    <row r="19" spans="1:11">
      <c r="A19" s="14"/>
      <c r="B19" s="10" t="s">
        <v>42</v>
      </c>
      <c r="C19" s="22">
        <f>SUM(C20:C27)</f>
        <v>473.96938700000004</v>
      </c>
      <c r="D19" s="25">
        <f>SUM(D20:D27)</f>
        <v>786.11956799999996</v>
      </c>
      <c r="E19" s="22">
        <f t="shared" si="0"/>
        <v>65.858722010668586</v>
      </c>
      <c r="F19" s="22">
        <f t="shared" si="1"/>
        <v>17.467777695652799</v>
      </c>
      <c r="G19" s="22">
        <f>SUM(G20:G27)</f>
        <v>52.777107999999998</v>
      </c>
      <c r="H19" s="25">
        <f>+[9]resumen_pais_destino!F22/1000000</f>
        <v>2.0100000000000001E-3</v>
      </c>
      <c r="I19" s="22">
        <f t="shared" si="3"/>
        <v>-99.996191530615889</v>
      </c>
      <c r="J19" s="22">
        <f t="shared" si="5"/>
        <v>3.2370414720842586E-4</v>
      </c>
      <c r="K19" s="16"/>
    </row>
    <row r="20" spans="1:11">
      <c r="A20" s="14" t="s">
        <v>48</v>
      </c>
      <c r="B20" s="9" t="str">
        <f>CONCATENATE(A20,[14]resumen_pais_media_tek!B23)</f>
        <v xml:space="preserve">   Argentina</v>
      </c>
      <c r="C20" s="22">
        <f>[14]resumen_pais_media_tek!C23/1000000</f>
        <v>49.802504999999996</v>
      </c>
      <c r="D20" s="25">
        <f>[14]resumen_pais_media_tek!D23/1000000</f>
        <v>59.647705000000002</v>
      </c>
      <c r="E20" s="22">
        <f t="shared" si="0"/>
        <v>19.768483533107428</v>
      </c>
      <c r="F20" s="22">
        <f t="shared" si="1"/>
        <v>1.3253872482104123</v>
      </c>
      <c r="G20" s="22">
        <f>[14]resumen_pais_media_tek!E23/1000000</f>
        <v>3.843127</v>
      </c>
      <c r="H20" s="25">
        <f>[14]resumen_pais_media_tek!F23/1000000</f>
        <v>8.2641989999999996</v>
      </c>
      <c r="I20" s="22">
        <f t="shared" si="3"/>
        <v>115.038404923907</v>
      </c>
      <c r="J20" s="22">
        <f t="shared" si="5"/>
        <v>1.3309231291819532</v>
      </c>
      <c r="K20" s="16"/>
    </row>
    <row r="21" spans="1:11">
      <c r="A21" s="14" t="s">
        <v>48</v>
      </c>
      <c r="B21" s="9" t="str">
        <f>CONCATENATE(A21,[14]resumen_pais_media_tek!B24)</f>
        <v xml:space="preserve">   Brasil </v>
      </c>
      <c r="C21" s="22">
        <f>[14]resumen_pais_media_tek!C24/1000000</f>
        <v>197.29396800000001</v>
      </c>
      <c r="D21" s="25">
        <f>[14]resumen_pais_media_tek!D24/1000000</f>
        <v>209.500608</v>
      </c>
      <c r="E21" s="22">
        <f t="shared" si="0"/>
        <v>6.1870315264782816</v>
      </c>
      <c r="F21" s="22">
        <f t="shared" si="1"/>
        <v>4.6551570481299871</v>
      </c>
      <c r="G21" s="22">
        <f>[14]resumen_pais_media_tek!E24/1000000</f>
        <v>19.143142000000001</v>
      </c>
      <c r="H21" s="25">
        <f>[14]resumen_pais_media_tek!F24/1000000</f>
        <v>27.628767</v>
      </c>
      <c r="I21" s="22">
        <f t="shared" si="3"/>
        <v>44.327232175365985</v>
      </c>
      <c r="J21" s="22">
        <f t="shared" si="5"/>
        <v>4.4495256020673128</v>
      </c>
      <c r="K21" s="16"/>
    </row>
    <row r="22" spans="1:11">
      <c r="A22" s="14" t="s">
        <v>48</v>
      </c>
      <c r="B22" s="9" t="str">
        <f>CONCATENATE(A22,[14]resumen_pais_media_tek!B25)</f>
        <v xml:space="preserve">   Cuba </v>
      </c>
      <c r="C22" s="22">
        <f>[14]resumen_pais_media_tek!C25/1000000</f>
        <v>0.85455700000000001</v>
      </c>
      <c r="D22" s="25">
        <f>[14]resumen_pais_media_tek!D25/1000000</f>
        <v>1.920871</v>
      </c>
      <c r="E22" s="22">
        <f t="shared" si="0"/>
        <v>124.77973967798519</v>
      </c>
      <c r="F22" s="22">
        <f t="shared" si="1"/>
        <v>4.2682244503073216E-2</v>
      </c>
      <c r="G22" s="22">
        <f>[14]resumen_pais_media_tek!E25/1000000</f>
        <v>4.8883999999999997E-2</v>
      </c>
      <c r="H22" s="25">
        <f>[14]resumen_pais_media_tek!F25/1000000</f>
        <v>1.6424999999999999E-2</v>
      </c>
      <c r="I22" s="22">
        <f t="shared" si="3"/>
        <v>-66.400049095818673</v>
      </c>
      <c r="J22" s="22">
        <f t="shared" si="5"/>
        <v>2.645194337262883E-3</v>
      </c>
      <c r="K22" s="16"/>
    </row>
    <row r="23" spans="1:11">
      <c r="A23" s="14" t="s">
        <v>48</v>
      </c>
      <c r="B23" s="9" t="str">
        <f>CONCATENATE(A23,[14]resumen_pais_media_tek!B26)</f>
        <v xml:space="preserve">   Chile </v>
      </c>
      <c r="C23" s="22">
        <f>[14]resumen_pais_media_tek!C26/1000000</f>
        <v>32.344163000000002</v>
      </c>
      <c r="D23" s="25">
        <f>[14]resumen_pais_media_tek!D26/1000000</f>
        <v>47.011980000000001</v>
      </c>
      <c r="E23" s="22">
        <f t="shared" si="0"/>
        <v>45.349193299576186</v>
      </c>
      <c r="F23" s="22">
        <f t="shared" si="1"/>
        <v>1.0446182096213583</v>
      </c>
      <c r="G23" s="22">
        <f>[14]resumen_pais_media_tek!E26/1000000</f>
        <v>4.2863119999999997</v>
      </c>
      <c r="H23" s="25">
        <f>[14]resumen_pais_media_tek!F26/1000000</f>
        <v>13.143285000000001</v>
      </c>
      <c r="I23" s="22">
        <f t="shared" si="3"/>
        <v>206.63388479420072</v>
      </c>
      <c r="J23" s="22">
        <f t="shared" si="5"/>
        <v>2.1166845086777593</v>
      </c>
      <c r="K23" s="16"/>
    </row>
    <row r="24" spans="1:11">
      <c r="A24" s="14" t="s">
        <v>48</v>
      </c>
      <c r="B24" s="9" t="str">
        <f>CONCATENATE(A24,[14]resumen_pais_media_tek!B27)</f>
        <v xml:space="preserve">   México </v>
      </c>
      <c r="C24" s="22">
        <f>[14]resumen_pais_media_tek!C27/1000000</f>
        <v>140.741321</v>
      </c>
      <c r="D24" s="25">
        <f>[14]resumen_pais_media_tek!D27/1000000</f>
        <v>437.861807</v>
      </c>
      <c r="E24" s="22">
        <f t="shared" si="0"/>
        <v>211.11105387450499</v>
      </c>
      <c r="F24" s="22">
        <f t="shared" si="1"/>
        <v>9.7294012481480827</v>
      </c>
      <c r="G24" s="22">
        <f>[14]resumen_pais_media_tek!E27/1000000</f>
        <v>21.980338</v>
      </c>
      <c r="H24" s="25">
        <f>[14]resumen_pais_media_tek!F27/1000000</f>
        <v>77.303712000000004</v>
      </c>
      <c r="I24" s="22">
        <f t="shared" si="3"/>
        <v>251.69482835068325</v>
      </c>
      <c r="J24" s="22">
        <f t="shared" si="5"/>
        <v>12.449518492042666</v>
      </c>
      <c r="K24" s="16"/>
    </row>
    <row r="25" spans="1:11">
      <c r="A25" s="14" t="s">
        <v>48</v>
      </c>
      <c r="B25" s="9" t="str">
        <f>CONCATENATE(A25,[14]resumen_pais_media_tek!B28)</f>
        <v xml:space="preserve">   Paraguay </v>
      </c>
      <c r="C25" s="22">
        <f>[14]resumen_pais_media_tek!C28/1000000</f>
        <v>0</v>
      </c>
      <c r="D25" s="25">
        <f>[14]resumen_pais_media_tek!D28/1000000</f>
        <v>9.3999999999999997E-4</v>
      </c>
      <c r="E25" s="22" t="str">
        <f t="shared" si="0"/>
        <v/>
      </c>
      <c r="F25" s="22">
        <f t="shared" si="1"/>
        <v>2.0887040219196824E-5</v>
      </c>
      <c r="G25" s="22">
        <f>[14]resumen_pais_media_tek!E28/1000000</f>
        <v>0</v>
      </c>
      <c r="H25" s="25">
        <f>[14]resumen_pais_media_tek!F28/1000000</f>
        <v>0</v>
      </c>
      <c r="I25" s="22" t="str">
        <f t="shared" si="3"/>
        <v/>
      </c>
      <c r="J25" s="22">
        <f t="shared" si="5"/>
        <v>0</v>
      </c>
      <c r="K25" s="16"/>
    </row>
    <row r="26" spans="1:11">
      <c r="A26" s="14" t="s">
        <v>48</v>
      </c>
      <c r="B26" s="9" t="str">
        <f>CONCATENATE(A26,[14]resumen_pais_media_tek!B29)</f>
        <v xml:space="preserve">   Uruguay </v>
      </c>
      <c r="C26" s="22">
        <f>[14]resumen_pais_media_tek!C29/1000000</f>
        <v>3.6580180000000002</v>
      </c>
      <c r="D26" s="25">
        <f>[14]resumen_pais_media_tek!D29/1000000</f>
        <v>3.3523900000000002</v>
      </c>
      <c r="E26" s="22">
        <f t="shared" si="0"/>
        <v>-8.355016295709861</v>
      </c>
      <c r="F26" s="22">
        <f t="shared" si="1"/>
        <v>7.4490962511099199E-2</v>
      </c>
      <c r="G26" s="22">
        <f>[14]resumen_pais_media_tek!E29/1000000</f>
        <v>0.37841599999999997</v>
      </c>
      <c r="H26" s="25">
        <f>[14]resumen_pais_media_tek!F29/1000000</f>
        <v>0.38065399999999999</v>
      </c>
      <c r="I26" s="22">
        <f t="shared" si="3"/>
        <v>0.59141262525896909</v>
      </c>
      <c r="J26" s="22">
        <f t="shared" si="5"/>
        <v>6.1303123607699572E-2</v>
      </c>
      <c r="K26" s="16"/>
    </row>
    <row r="27" spans="1:11">
      <c r="A27" s="14" t="s">
        <v>48</v>
      </c>
      <c r="B27" s="9" t="str">
        <f>CONCATENATE(A27,[14]resumen_pais_media_tek!B30)</f>
        <v xml:space="preserve">   Venezuela</v>
      </c>
      <c r="C27" s="22">
        <f>[14]resumen_pais_media_tek!C30/1000000</f>
        <v>49.274855000000002</v>
      </c>
      <c r="D27" s="25">
        <f>[14]resumen_pais_media_tek!D30/1000000</f>
        <v>26.823267000000001</v>
      </c>
      <c r="E27" s="22">
        <f t="shared" si="0"/>
        <v>-45.563985931566918</v>
      </c>
      <c r="F27" s="22">
        <f>(D27/D$13)*100</f>
        <v>0.59601984748856907</v>
      </c>
      <c r="G27" s="22">
        <f>[14]resumen_pais_media_tek!E30/1000000</f>
        <v>3.096889</v>
      </c>
      <c r="H27" s="25">
        <f>[14]resumen_pais_media_tek!F30/1000000</f>
        <v>2.750095</v>
      </c>
      <c r="I27" s="22">
        <f t="shared" si="3"/>
        <v>-11.198141102248094</v>
      </c>
      <c r="J27" s="22">
        <f t="shared" si="5"/>
        <v>0.44289410781948063</v>
      </c>
      <c r="K27" s="16"/>
    </row>
    <row r="28" spans="1:11">
      <c r="A28" s="14" t="s">
        <v>48</v>
      </c>
      <c r="B28" s="9" t="str">
        <f>+[14]resumen_pais_media_tek!B44</f>
        <v xml:space="preserve">Canadá </v>
      </c>
      <c r="C28" s="22">
        <f>+[14]resumen_pais_media_tek!C44/1000000</f>
        <v>17.569329</v>
      </c>
      <c r="D28" s="25">
        <f>+[14]resumen_pais_media_tek!D44/1000000</f>
        <v>38.051834999999997</v>
      </c>
      <c r="E28" s="22">
        <f t="shared" si="0"/>
        <v>116.58103732931404</v>
      </c>
      <c r="F28" s="22">
        <f>(D28/D$13)*100</f>
        <v>0.84552149793536302</v>
      </c>
      <c r="G28" s="22">
        <f>+[14]resumen_pais_media_tek!E44/1000000</f>
        <v>2.886199</v>
      </c>
      <c r="H28" s="25">
        <f>+[14]resumen_pais_media_tek!F44/1000000</f>
        <v>4.8124909999999996</v>
      </c>
      <c r="I28" s="22">
        <f t="shared" si="3"/>
        <v>66.741482482670108</v>
      </c>
      <c r="J28" s="22">
        <f t="shared" si="5"/>
        <v>0.77503646522548486</v>
      </c>
      <c r="K28" s="16"/>
    </row>
    <row r="29" spans="1:11">
      <c r="A29" s="14" t="s">
        <v>48</v>
      </c>
      <c r="B29" s="9" t="str">
        <f>+[14]resumen_pais_media_tek!B45</f>
        <v>Estados Unidos</v>
      </c>
      <c r="C29" s="22">
        <f>+[14]resumen_pais_media_tek!C45/1000000</f>
        <v>1041.2695369999999</v>
      </c>
      <c r="D29" s="25">
        <f>+[14]resumen_pais_media_tek!D45/1000000</f>
        <v>1337.8757000000001</v>
      </c>
      <c r="E29" s="22">
        <f t="shared" si="0"/>
        <v>28.485051416615125</v>
      </c>
      <c r="F29" s="22">
        <f t="shared" si="1"/>
        <v>29.72793995126181</v>
      </c>
      <c r="G29" s="22">
        <f>+[14]resumen_pais_media_tek!E45/1000000</f>
        <v>128.813121</v>
      </c>
      <c r="H29" s="25">
        <f>+[14]resumen_pais_media_tek!F45/1000000</f>
        <v>182.86429899999999</v>
      </c>
      <c r="I29" s="22">
        <f t="shared" si="3"/>
        <v>41.960925704144692</v>
      </c>
      <c r="J29" s="22">
        <f t="shared" si="5"/>
        <v>29.449717394359006</v>
      </c>
      <c r="K29" s="16"/>
    </row>
    <row r="30" spans="1:11">
      <c r="A30" s="14"/>
      <c r="B30" s="10" t="s">
        <v>39</v>
      </c>
      <c r="C30" s="22">
        <f>SUM(C31:C41)</f>
        <v>573.5854760000002</v>
      </c>
      <c r="D30" s="25">
        <f>SUM(D31:D41)</f>
        <v>728.65027900000018</v>
      </c>
      <c r="E30" s="22">
        <f t="shared" si="0"/>
        <v>27.034297325896706</v>
      </c>
      <c r="F30" s="22">
        <f t="shared" si="1"/>
        <v>16.190795407661692</v>
      </c>
      <c r="G30" s="22">
        <f>SUM(G31:G41)</f>
        <v>65.621924000000007</v>
      </c>
      <c r="H30" s="25">
        <f>SUM(H31:H41)</f>
        <v>84.782180999999994</v>
      </c>
      <c r="I30" s="22">
        <f t="shared" si="3"/>
        <v>29.19795067270503</v>
      </c>
      <c r="J30" s="22">
        <f t="shared" si="5"/>
        <v>13.653902288097216</v>
      </c>
      <c r="K30" s="16"/>
    </row>
    <row r="31" spans="1:11">
      <c r="A31" s="14" t="s">
        <v>48</v>
      </c>
      <c r="B31" s="9" t="str">
        <f>CONCATENATE(A31,[14]resumen_pais_media_tek!B59)</f>
        <v xml:space="preserve">   Alemania </v>
      </c>
      <c r="C31" s="22">
        <f>[14]resumen_pais_media_tek!C59/1000000</f>
        <v>159.702721</v>
      </c>
      <c r="D31" s="25">
        <f>[14]resumen_pais_media_tek!D59/1000000</f>
        <v>199.84922800000001</v>
      </c>
      <c r="E31" s="22">
        <f t="shared" si="0"/>
        <v>25.138273630290886</v>
      </c>
      <c r="F31" s="22">
        <f t="shared" si="1"/>
        <v>4.4407009180972725</v>
      </c>
      <c r="G31" s="22">
        <f>[14]resumen_pais_media_tek!E59/1000000</f>
        <v>15.883725</v>
      </c>
      <c r="H31" s="25">
        <f>[14]resumen_pais_media_tek!F59/1000000</f>
        <v>22.424098999999998</v>
      </c>
      <c r="I31" s="22">
        <f t="shared" si="3"/>
        <v>41.176575393996039</v>
      </c>
      <c r="J31" s="22">
        <f t="shared" si="5"/>
        <v>3.6113302705036392</v>
      </c>
      <c r="K31" s="16"/>
    </row>
    <row r="32" spans="1:11">
      <c r="A32" s="14" t="s">
        <v>48</v>
      </c>
      <c r="B32" s="9" t="str">
        <f>CONCATENATE(A32,[14]resumen_pais_media_tek!B60)</f>
        <v xml:space="preserve">   Bélgica </v>
      </c>
      <c r="C32" s="22">
        <f>[14]resumen_pais_media_tek!C60/1000000</f>
        <v>124.890587</v>
      </c>
      <c r="D32" s="25">
        <f>[14]resumen_pais_media_tek!D60/1000000</f>
        <v>182.64059399999999</v>
      </c>
      <c r="E32" s="22">
        <f t="shared" si="0"/>
        <v>46.240480077173473</v>
      </c>
      <c r="F32" s="22">
        <f t="shared" si="1"/>
        <v>4.0583206729106358</v>
      </c>
      <c r="G32" s="22">
        <f>[14]resumen_pais_media_tek!E60/1000000</f>
        <v>17.471164999999999</v>
      </c>
      <c r="H32" s="25">
        <f>[14]resumen_pais_media_tek!F60/1000000</f>
        <v>26.349671000000001</v>
      </c>
      <c r="I32" s="22">
        <f t="shared" si="3"/>
        <v>50.818053632943204</v>
      </c>
      <c r="J32" s="22">
        <f t="shared" si="5"/>
        <v>4.2435312339689508</v>
      </c>
      <c r="K32" s="16"/>
    </row>
    <row r="33" spans="1:11">
      <c r="A33" s="14" t="s">
        <v>48</v>
      </c>
      <c r="B33" s="9" t="str">
        <f>CONCATENATE(A33,[14]resumen_pais_media_tek!B61)</f>
        <v xml:space="preserve">   Dinamarca </v>
      </c>
      <c r="C33" s="22">
        <f>[14]resumen_pais_media_tek!C61/1000000</f>
        <v>2.9924590000000002</v>
      </c>
      <c r="D33" s="25">
        <f>[14]resumen_pais_media_tek!D61/1000000</f>
        <v>8.6204499999999999</v>
      </c>
      <c r="E33" s="22">
        <f t="shared" si="0"/>
        <v>188.07245145213346</v>
      </c>
      <c r="F33" s="22">
        <f t="shared" si="1"/>
        <v>0.1915486019761439</v>
      </c>
      <c r="G33" s="22">
        <f>[14]resumen_pais_media_tek!E61/1000000</f>
        <v>0.41661500000000001</v>
      </c>
      <c r="H33" s="25">
        <f>[14]resumen_pais_media_tek!F61/1000000</f>
        <v>0.59722799999999998</v>
      </c>
      <c r="I33" s="22">
        <f t="shared" si="3"/>
        <v>43.352495709467973</v>
      </c>
      <c r="J33" s="22">
        <f t="shared" si="5"/>
        <v>9.6181681805469543E-2</v>
      </c>
      <c r="K33" s="16"/>
    </row>
    <row r="34" spans="1:11">
      <c r="A34" s="14" t="s">
        <v>48</v>
      </c>
      <c r="B34" s="9" t="str">
        <f>CONCATENATE(A34,[14]resumen_pais_media_tek!B62)</f>
        <v xml:space="preserve">   España </v>
      </c>
      <c r="C34" s="22">
        <f>[14]resumen_pais_media_tek!C62/1000000</f>
        <v>56.040658999999998</v>
      </c>
      <c r="D34" s="25">
        <f>[14]resumen_pais_media_tek!D62/1000000</f>
        <v>57.557786</v>
      </c>
      <c r="E34" s="22">
        <f t="shared" si="0"/>
        <v>2.7071897923256039</v>
      </c>
      <c r="F34" s="22">
        <f t="shared" si="1"/>
        <v>1.2789487139467275</v>
      </c>
      <c r="G34" s="22">
        <f>[14]resumen_pais_media_tek!E62/1000000</f>
        <v>6.0199470000000002</v>
      </c>
      <c r="H34" s="25">
        <f>[14]resumen_pais_media_tek!F62/1000000</f>
        <v>6.2091700000000003</v>
      </c>
      <c r="I34" s="22">
        <f t="shared" si="3"/>
        <v>3.1432668759376226</v>
      </c>
      <c r="J34" s="22">
        <f t="shared" si="5"/>
        <v>0.99996720384186166</v>
      </c>
      <c r="K34" s="16"/>
    </row>
    <row r="35" spans="1:11">
      <c r="A35" s="14" t="s">
        <v>48</v>
      </c>
      <c r="B35" s="9" t="str">
        <f>CONCATENATE(A35,[14]resumen_pais_media_tek!B63)</f>
        <v xml:space="preserve">   Francia </v>
      </c>
      <c r="C35" s="22">
        <f>[14]resumen_pais_media_tek!C63/1000000</f>
        <v>58.26247</v>
      </c>
      <c r="D35" s="25">
        <f>[14]resumen_pais_media_tek!D63/1000000</f>
        <v>77.767022999999995</v>
      </c>
      <c r="E35" s="22">
        <f t="shared" si="0"/>
        <v>33.47704448506903</v>
      </c>
      <c r="F35" s="22">
        <f t="shared" si="1"/>
        <v>1.7280031246044727</v>
      </c>
      <c r="G35" s="22">
        <f>[14]resumen_pais_media_tek!E63/1000000</f>
        <v>5.2277550000000002</v>
      </c>
      <c r="H35" s="25">
        <f>[14]resumen_pais_media_tek!F63/1000000</f>
        <v>6.7672460000000001</v>
      </c>
      <c r="I35" s="22">
        <f t="shared" si="3"/>
        <v>29.448415237515913</v>
      </c>
      <c r="J35" s="22">
        <f t="shared" si="5"/>
        <v>1.0898435797908612</v>
      </c>
      <c r="K35" s="16"/>
    </row>
    <row r="36" spans="1:11">
      <c r="A36" s="14" t="s">
        <v>48</v>
      </c>
      <c r="B36" s="9" t="str">
        <f>CONCATENATE(A36,[14]resumen_pais_media_tek!B64)</f>
        <v xml:space="preserve">   Italia </v>
      </c>
      <c r="C36" s="22">
        <f>[14]resumen_pais_media_tek!C64/1000000</f>
        <v>87.524985000000001</v>
      </c>
      <c r="D36" s="25">
        <f>[14]resumen_pais_media_tek!D64/1000000</f>
        <v>96.198172</v>
      </c>
      <c r="E36" s="22">
        <f t="shared" si="0"/>
        <v>9.9093841604200215</v>
      </c>
      <c r="F36" s="22">
        <f t="shared" si="1"/>
        <v>2.1375479655076743</v>
      </c>
      <c r="G36" s="22">
        <f>[14]resumen_pais_media_tek!E64/1000000</f>
        <v>5.8871779999999996</v>
      </c>
      <c r="H36" s="25">
        <f>[14]resumen_pais_media_tek!F64/1000000</f>
        <v>9.7229080000000003</v>
      </c>
      <c r="I36" s="22">
        <f t="shared" si="3"/>
        <v>65.153966807186748</v>
      </c>
      <c r="J36" s="22">
        <f t="shared" si="5"/>
        <v>1.5658436032467571</v>
      </c>
      <c r="K36" s="16"/>
    </row>
    <row r="37" spans="1:11">
      <c r="A37" s="14" t="s">
        <v>48</v>
      </c>
      <c r="B37" s="7" t="str">
        <f>CONCATENATE(A37,[14]resumen_pais_media_tek!B65)</f>
        <v xml:space="preserve">   Lituania </v>
      </c>
      <c r="C37" s="22">
        <f>[14]resumen_pais_media_tek!C65/1000000</f>
        <v>0.59238999999999997</v>
      </c>
      <c r="D37" s="25">
        <f>[14]resumen_pais_media_tek!D65/1000000</f>
        <v>6.2557609999999997</v>
      </c>
      <c r="E37" s="22">
        <f t="shared" si="0"/>
        <v>956.02069582538525</v>
      </c>
      <c r="F37" s="22">
        <f t="shared" si="1"/>
        <v>0.13900460809434353</v>
      </c>
      <c r="G37" s="22">
        <f>[14]resumen_pais_media_tek!E65/1000000</f>
        <v>1.6355999999999999E-2</v>
      </c>
      <c r="H37" s="25">
        <f>[14]resumen_pais_media_tek!F65/1000000</f>
        <v>0</v>
      </c>
      <c r="I37" s="22" t="str">
        <f t="shared" si="3"/>
        <v/>
      </c>
      <c r="J37" s="22">
        <f t="shared" si="5"/>
        <v>0</v>
      </c>
      <c r="K37" s="16"/>
    </row>
    <row r="38" spans="1:11">
      <c r="A38" s="14" t="s">
        <v>48</v>
      </c>
      <c r="B38" s="7" t="str">
        <f>CONCATENATE(A38,[14]resumen_pais_media_tek!B66)</f>
        <v xml:space="preserve">   Países Bajos </v>
      </c>
      <c r="C38" s="22">
        <f>[14]resumen_pais_media_tek!C66/1000000</f>
        <v>23.001085</v>
      </c>
      <c r="D38" s="25">
        <f>[14]resumen_pais_media_tek!D66/1000000</f>
        <v>22.76849</v>
      </c>
      <c r="E38" s="22">
        <f t="shared" si="0"/>
        <v>-1.011234904788183</v>
      </c>
      <c r="F38" s="22">
        <f t="shared" si="1"/>
        <v>0.50592166634083047</v>
      </c>
      <c r="G38" s="22">
        <f>[14]resumen_pais_media_tek!E66/1000000</f>
        <v>5.0464650000000004</v>
      </c>
      <c r="H38" s="25">
        <f>[14]resumen_pais_media_tek!F66/1000000</f>
        <v>3.0591400000000002</v>
      </c>
      <c r="I38" s="22">
        <f t="shared" si="3"/>
        <v>-39.380536672700593</v>
      </c>
      <c r="J38" s="22">
        <f t="shared" si="5"/>
        <v>0.49266482830407166</v>
      </c>
      <c r="K38" s="16"/>
    </row>
    <row r="39" spans="1:11">
      <c r="A39" s="14" t="s">
        <v>48</v>
      </c>
      <c r="B39" s="7" t="str">
        <f>CONCATENATE(A39,[14]resumen_pais_media_tek!B67)</f>
        <v xml:space="preserve">   Reino Unido </v>
      </c>
      <c r="C39" s="22">
        <f>[14]resumen_pais_media_tek!C67/1000000</f>
        <v>28.345714000000001</v>
      </c>
      <c r="D39" s="25">
        <f>[14]resumen_pais_media_tek!D67/1000000</f>
        <v>35.419300999999997</v>
      </c>
      <c r="E39" s="22">
        <f t="shared" si="0"/>
        <v>24.954696854699087</v>
      </c>
      <c r="F39" s="22">
        <f t="shared" si="1"/>
        <v>0.78702591970514701</v>
      </c>
      <c r="G39" s="22">
        <f>[14]resumen_pais_media_tek!E67/1000000</f>
        <v>6.1031370000000003</v>
      </c>
      <c r="H39" s="25">
        <f>[14]resumen_pais_media_tek!F67/1000000</f>
        <v>4.6291270000000004</v>
      </c>
      <c r="I39" s="22">
        <f t="shared" si="3"/>
        <v>-24.151678063264836</v>
      </c>
      <c r="J39" s="22">
        <f t="shared" si="5"/>
        <v>0.74550627256442736</v>
      </c>
      <c r="K39" s="16"/>
    </row>
    <row r="40" spans="1:11">
      <c r="A40" s="14" t="s">
        <v>48</v>
      </c>
      <c r="B40" s="9" t="str">
        <f>CONCATENATE(A40,[14]resumen_pais_media_tek!B68)</f>
        <v xml:space="preserve">   Suecia </v>
      </c>
      <c r="C40" s="22">
        <f>[14]resumen_pais_media_tek!C68/1000000</f>
        <v>15.880703</v>
      </c>
      <c r="D40" s="25">
        <f>[14]resumen_pais_media_tek!D68/1000000</f>
        <v>17.503461000000001</v>
      </c>
      <c r="E40" s="22">
        <f t="shared" si="0"/>
        <v>10.218426728338169</v>
      </c>
      <c r="F40" s="22">
        <f t="shared" si="1"/>
        <v>0.38893137647036502</v>
      </c>
      <c r="G40" s="22">
        <f>[14]resumen_pais_media_tek!E68/1000000</f>
        <v>1.716372</v>
      </c>
      <c r="H40" s="25">
        <f>[14]resumen_pais_media_tek!F68/1000000</f>
        <v>1.4680820000000001</v>
      </c>
      <c r="I40" s="22">
        <f t="shared" si="3"/>
        <v>-14.4659782378179</v>
      </c>
      <c r="J40" s="22">
        <f t="shared" si="5"/>
        <v>0.23642996609056732</v>
      </c>
      <c r="K40" s="16"/>
    </row>
    <row r="41" spans="1:11">
      <c r="A41" s="14" t="s">
        <v>48</v>
      </c>
      <c r="B41" s="9" t="str">
        <f>CONCATENATE(A41,[14]resumen_pais_media_tek!B69)</f>
        <v xml:space="preserve">   Resto </v>
      </c>
      <c r="C41" s="22">
        <f>[14]resumen_pais_media_tek!C69/1000000</f>
        <v>16.351703000000001</v>
      </c>
      <c r="D41" s="25">
        <f>[14]resumen_pais_media_tek!D69/1000000</f>
        <v>24.070012999999999</v>
      </c>
      <c r="E41" s="22">
        <f t="shared" si="0"/>
        <v>47.201872489978555</v>
      </c>
      <c r="F41" s="22">
        <f t="shared" si="1"/>
        <v>0.53484184000807489</v>
      </c>
      <c r="G41" s="22">
        <f>[14]resumen_pais_media_tek!E69/1000000</f>
        <v>1.8332090000000001</v>
      </c>
      <c r="H41" s="25">
        <f>[14]resumen_pais_media_tek!F69/1000000</f>
        <v>3.5555099999999999</v>
      </c>
      <c r="I41" s="22">
        <f t="shared" si="3"/>
        <v>93.950062431506694</v>
      </c>
      <c r="J41" s="22">
        <f t="shared" si="5"/>
        <v>0.57260364798061203</v>
      </c>
      <c r="K41" s="16"/>
    </row>
    <row r="42" spans="1:11">
      <c r="A42" s="14"/>
      <c r="B42" s="9" t="str">
        <f>+[14]resumen_pais_media_tek!B83</f>
        <v>Corea del Sur</v>
      </c>
      <c r="C42" s="22">
        <f>+[14]resumen_pais_media_tek!C83/1000000</f>
        <v>279.00971399999997</v>
      </c>
      <c r="D42" s="25">
        <f>+[14]resumen_pais_media_tek!D83/1000000</f>
        <v>364.37956300000002</v>
      </c>
      <c r="E42" s="22">
        <f t="shared" si="0"/>
        <v>30.597446868821223</v>
      </c>
      <c r="F42" s="22">
        <f t="shared" si="1"/>
        <v>8.0966070079088972</v>
      </c>
      <c r="G42" s="22">
        <f>+[14]resumen_pais_media_tek!E83/1000000</f>
        <v>36.097467000000002</v>
      </c>
      <c r="H42" s="25">
        <f>+[14]resumen_pais_media_tek!F83/1000000</f>
        <v>41.825651999999998</v>
      </c>
      <c r="I42" s="22">
        <f t="shared" si="3"/>
        <v>15.868661920239436</v>
      </c>
      <c r="J42" s="22">
        <f t="shared" si="5"/>
        <v>6.7358890607444737</v>
      </c>
      <c r="K42" s="16"/>
    </row>
    <row r="43" spans="1:11">
      <c r="A43" s="14"/>
      <c r="B43" s="9" t="str">
        <f>+[14]resumen_pais_media_tek!B84</f>
        <v xml:space="preserve">China </v>
      </c>
      <c r="C43" s="22">
        <f>+[14]resumen_pais_media_tek!C84/1000000</f>
        <v>235.91827000000001</v>
      </c>
      <c r="D43" s="25">
        <f>+[14]resumen_pais_media_tek!D84/1000000</f>
        <v>362.22947299999998</v>
      </c>
      <c r="E43" s="22">
        <f t="shared" ref="E43:E44" si="6">IF(OR(OR(D43=0,C43=0),D43=""),"",(D43/C43-1)*100)</f>
        <v>53.540237896793656</v>
      </c>
      <c r="F43" s="22">
        <f t="shared" ref="F43:F44" si="7">(D43/D$13)*100</f>
        <v>8.0488314586483707</v>
      </c>
      <c r="G43" s="22">
        <f>+[14]resumen_pais_media_tek!E84/1000000</f>
        <v>30.249309</v>
      </c>
      <c r="H43" s="25">
        <f>+[14]resumen_pais_media_tek!F84/1000000</f>
        <v>45.726064999999998</v>
      </c>
      <c r="I43" s="22">
        <f t="shared" ref="I43:I44" si="8">IF(OR(OR(H43=0,G43=0),H43=""),"",(H43/G43-1)*100)</f>
        <v>51.163998490015096</v>
      </c>
      <c r="J43" s="22">
        <f t="shared" ref="J43:J44" si="9">(H43/H$13)*100</f>
        <v>7.3640382467771399</v>
      </c>
      <c r="K43" s="16"/>
    </row>
    <row r="44" spans="1:11">
      <c r="A44" s="14"/>
      <c r="B44" s="9" t="str">
        <f>+[14]resumen_pais_media_tek!B85</f>
        <v xml:space="preserve">Japón </v>
      </c>
      <c r="C44" s="22">
        <f>+[14]resumen_pais_media_tek!C85/1000000</f>
        <v>230.74034</v>
      </c>
      <c r="D44" s="25">
        <f>+[14]resumen_pais_media_tek!D85/1000000</f>
        <v>339.19587200000001</v>
      </c>
      <c r="E44" s="22">
        <f t="shared" si="6"/>
        <v>47.003281697513309</v>
      </c>
      <c r="F44" s="22">
        <f t="shared" si="7"/>
        <v>7.5370189581378062</v>
      </c>
      <c r="G44" s="22">
        <f>+[14]resumen_pais_media_tek!E85/1000000</f>
        <v>27.970016000000001</v>
      </c>
      <c r="H44" s="25">
        <f>+[14]resumen_pais_media_tek!F85/1000000</f>
        <v>46.638088000000003</v>
      </c>
      <c r="I44" s="22">
        <f t="shared" si="8"/>
        <v>66.743158101875963</v>
      </c>
      <c r="J44" s="22">
        <f t="shared" si="9"/>
        <v>7.5109166683937909</v>
      </c>
      <c r="K44" s="16"/>
    </row>
    <row r="45" spans="1:11">
      <c r="A45" s="14"/>
      <c r="B45" s="9" t="s">
        <v>5</v>
      </c>
      <c r="C45" s="22">
        <f>+C13-C14-C30-C28-C29-C42-C43-C44</f>
        <v>340.66252952004601</v>
      </c>
      <c r="D45" s="25">
        <f>+D13-D14-D30-D28-D29-D42-D43-D44</f>
        <v>466.51831790010749</v>
      </c>
      <c r="E45" s="22">
        <f t="shared" si="0"/>
        <v>36.944417854636868</v>
      </c>
      <c r="F45" s="22">
        <f t="shared" si="1"/>
        <v>10.366156243586802</v>
      </c>
      <c r="G45" s="22">
        <f>+G13-G14-G30-G28-G29-G42-G43-G44</f>
        <v>32.038439590000081</v>
      </c>
      <c r="H45" s="25">
        <f>+H13-H14-H30-H28-H29-H42-H43-H44</f>
        <v>194.19476235999556</v>
      </c>
      <c r="I45" s="22">
        <f t="shared" si="3"/>
        <v>506.1305258468584</v>
      </c>
      <c r="J45" s="22">
        <f t="shared" si="5"/>
        <v>31.27445270750512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25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9"/>
      <c r="E48" s="20"/>
    </row>
    <row r="49" spans="2:5">
      <c r="B49" s="20"/>
      <c r="C49" s="20"/>
      <c r="D49" s="89"/>
      <c r="E49" s="20"/>
    </row>
    <row r="50" spans="2:5">
      <c r="C50" s="20"/>
      <c r="D50" s="89"/>
    </row>
    <row r="51" spans="2:5">
      <c r="C51" s="20"/>
      <c r="D51" s="89"/>
    </row>
    <row r="52" spans="2:5">
      <c r="C52" s="20"/>
      <c r="D52" s="89"/>
      <c r="E52" s="89"/>
    </row>
    <row r="53" spans="2:5">
      <c r="C53" s="20"/>
      <c r="D53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67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57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4" t="s">
        <v>140</v>
      </c>
      <c r="D10" s="114"/>
      <c r="E10" s="113" t="s">
        <v>1</v>
      </c>
      <c r="F10" s="113" t="s">
        <v>4</v>
      </c>
      <c r="G10" s="114" t="s">
        <v>141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104">
        <v>2009</v>
      </c>
      <c r="D11" s="104">
        <v>2010</v>
      </c>
      <c r="E11" s="113"/>
      <c r="F11" s="113"/>
      <c r="G11" s="104">
        <v>2009</v>
      </c>
      <c r="H11" s="104">
        <v>2010</v>
      </c>
      <c r="I11" s="113"/>
      <c r="J11" s="113"/>
      <c r="K11" s="16"/>
      <c r="N11" s="2"/>
    </row>
    <row r="12" spans="1:14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61</v>
      </c>
      <c r="C13" s="25">
        <f>+'Resumen importaciones totales'!C27</f>
        <v>5431.6553431600787</v>
      </c>
      <c r="D13" s="25">
        <f>+'Resumen importaciones totales'!D27</f>
        <v>5867.561974119998</v>
      </c>
      <c r="E13" s="25">
        <f>IF(OR(OR(D13=0,C13=0),D13=""),"",(D13/C13-1)*100)</f>
        <v>8.025299902521299</v>
      </c>
      <c r="F13" s="23">
        <f>(D13/D$13)*100</f>
        <v>100</v>
      </c>
      <c r="G13" s="25">
        <f>+'Resumen importaciones totales'!G27</f>
        <v>562.56373108000082</v>
      </c>
      <c r="H13" s="25">
        <f>+'Resumen importaciones totales'!H27</f>
        <v>457.37246321999783</v>
      </c>
      <c r="I13" s="25">
        <f>IF(OR(OR(H13=0,G13=0),H13=""),"",(H13/G13-1)*100)</f>
        <v>-18.698551301566933</v>
      </c>
      <c r="J13" s="23">
        <f>(H13/H$13)*100</f>
        <v>100</v>
      </c>
      <c r="K13" s="16"/>
    </row>
    <row r="14" spans="1:14">
      <c r="A14" s="14"/>
      <c r="B14" s="10" t="s">
        <v>38</v>
      </c>
      <c r="C14" s="22">
        <f>+C15+C19</f>
        <v>959.55363299999999</v>
      </c>
      <c r="D14" s="25">
        <f>+D15+D19</f>
        <v>1052.6866469999998</v>
      </c>
      <c r="E14" s="22">
        <f t="shared" ref="E14:E45" si="0">IF(OR(OR(D14=0,C14=0),D14=""),"",(D14/C14-1)*100)</f>
        <v>9.7058685202226602</v>
      </c>
      <c r="F14" s="22">
        <f t="shared" ref="F14:F45" si="1">(D14/D$13)*100</f>
        <v>17.940784462832692</v>
      </c>
      <c r="G14" s="22">
        <f>+G15+G19</f>
        <v>110.34020099999999</v>
      </c>
      <c r="H14" s="25">
        <f t="shared" ref="H14" si="2">+H15+H19</f>
        <v>2.9018569999999997</v>
      </c>
      <c r="I14" s="22">
        <f t="shared" ref="I14:I45" si="3">IF(OR(OR(H14=0,G14=0),H14=""),"",(H14/G14-1)*100)</f>
        <v>-97.370081825390187</v>
      </c>
      <c r="J14" s="22">
        <f>(H14/H$13)*100</f>
        <v>0.63446255149912589</v>
      </c>
      <c r="K14" s="16"/>
    </row>
    <row r="15" spans="1:14">
      <c r="A15" s="14"/>
      <c r="B15" s="10" t="s">
        <v>41</v>
      </c>
      <c r="C15" s="22">
        <f>+SUM(C16:C18)</f>
        <v>40.622321999999997</v>
      </c>
      <c r="D15" s="25">
        <f>+SUM(D16:D18)</f>
        <v>46.438521999999999</v>
      </c>
      <c r="E15" s="22">
        <f t="shared" si="0"/>
        <v>14.317743825672991</v>
      </c>
      <c r="F15" s="22">
        <f>(D15/D$13)*100</f>
        <v>0.79144493411106631</v>
      </c>
      <c r="G15" s="22">
        <f t="shared" ref="G15:H15" si="4">+SUM(G16:G18)</f>
        <v>1.3759679999999999</v>
      </c>
      <c r="H15" s="25">
        <f t="shared" si="4"/>
        <v>2.8998469999999998</v>
      </c>
      <c r="I15" s="22">
        <f t="shared" si="3"/>
        <v>110.74959592083538</v>
      </c>
      <c r="J15" s="22">
        <f t="shared" ref="J15:J45" si="5">(H15/H$13)*100</f>
        <v>0.63402308472715441</v>
      </c>
      <c r="K15" s="16"/>
    </row>
    <row r="16" spans="1:14">
      <c r="A16" s="14" t="s">
        <v>48</v>
      </c>
      <c r="B16" s="9" t="str">
        <f>CONCATENATE(A16,[15]resumen_pais_alta_tek!B7)</f>
        <v xml:space="preserve">   Bolivia</v>
      </c>
      <c r="C16" s="22">
        <f>[15]resumen_pais_alta_tek!C7/1000000</f>
        <v>0.21069399999999999</v>
      </c>
      <c r="D16" s="25">
        <f>[15]resumen_pais_alta_tek!D7/1000000</f>
        <v>2.7806999999999998E-2</v>
      </c>
      <c r="E16" s="22">
        <f t="shared" si="0"/>
        <v>-86.8021870580083</v>
      </c>
      <c r="F16" s="22">
        <f t="shared" si="1"/>
        <v>4.7391063141127577E-4</v>
      </c>
      <c r="G16" s="22">
        <f>[15]resumen_pais_alta_tek!E7/1000000</f>
        <v>1.238E-3</v>
      </c>
      <c r="H16" s="25">
        <f>[15]resumen_pais_alta_tek!F7/1000000</f>
        <v>0</v>
      </c>
      <c r="I16" s="22" t="str">
        <f t="shared" si="3"/>
        <v/>
      </c>
      <c r="J16" s="22">
        <f t="shared" si="5"/>
        <v>0</v>
      </c>
      <c r="K16" s="16"/>
    </row>
    <row r="17" spans="1:11">
      <c r="A17" s="14" t="s">
        <v>48</v>
      </c>
      <c r="B17" s="9" t="str">
        <f>CONCATENATE(A17,[15]resumen_pais_alta_tek!B8)</f>
        <v xml:space="preserve">   Ecuador</v>
      </c>
      <c r="C17" s="22">
        <f>[15]resumen_pais_alta_tek!C8/1000000</f>
        <v>36.540242999999997</v>
      </c>
      <c r="D17" s="25">
        <f>[15]resumen_pais_alta_tek!D8/1000000</f>
        <v>41.038094999999998</v>
      </c>
      <c r="E17" s="22">
        <f t="shared" si="0"/>
        <v>12.309310586686584</v>
      </c>
      <c r="F17" s="22">
        <f t="shared" si="1"/>
        <v>0.69940624710921417</v>
      </c>
      <c r="G17" s="22">
        <f>[15]resumen_pais_alta_tek!E8/1000000</f>
        <v>1.1921759999999999</v>
      </c>
      <c r="H17" s="25">
        <f>[15]resumen_pais_alta_tek!F8/1000000</f>
        <v>2.459241</v>
      </c>
      <c r="I17" s="22">
        <f t="shared" si="3"/>
        <v>106.28170672786572</v>
      </c>
      <c r="J17" s="22">
        <f t="shared" si="5"/>
        <v>0.53768890734838493</v>
      </c>
      <c r="K17" s="16"/>
    </row>
    <row r="18" spans="1:11">
      <c r="A18" s="14" t="s">
        <v>48</v>
      </c>
      <c r="B18" s="9" t="str">
        <f>CONCATENATE(A18,[15]resumen_pais_alta_tek!B9)</f>
        <v xml:space="preserve">   Perú </v>
      </c>
      <c r="C18" s="22">
        <f>[15]resumen_pais_alta_tek!C9/1000000</f>
        <v>3.8713850000000001</v>
      </c>
      <c r="D18" s="25">
        <f>[15]resumen_pais_alta_tek!D9/1000000</f>
        <v>5.3726200000000004</v>
      </c>
      <c r="E18" s="22">
        <f t="shared" si="0"/>
        <v>38.7777242511401</v>
      </c>
      <c r="F18" s="22">
        <f t="shared" si="1"/>
        <v>9.1564776370440845E-2</v>
      </c>
      <c r="G18" s="22">
        <f>[15]resumen_pais_alta_tek!E9/1000000</f>
        <v>0.18255399999999999</v>
      </c>
      <c r="H18" s="25">
        <f>[15]resumen_pais_alta_tek!F9/1000000</f>
        <v>0.440606</v>
      </c>
      <c r="I18" s="22">
        <f t="shared" si="3"/>
        <v>141.35653012259385</v>
      </c>
      <c r="J18" s="22">
        <f t="shared" si="5"/>
        <v>9.6334177378769495E-2</v>
      </c>
      <c r="K18" s="16"/>
    </row>
    <row r="19" spans="1:11">
      <c r="A19" s="14"/>
      <c r="B19" s="10" t="s">
        <v>42</v>
      </c>
      <c r="C19" s="22">
        <f>SUM(C20:C27)</f>
        <v>918.93131100000005</v>
      </c>
      <c r="D19" s="25">
        <f>SUM(D20:D27)</f>
        <v>1006.2481249999998</v>
      </c>
      <c r="E19" s="22">
        <f t="shared" si="0"/>
        <v>9.5019957373070554</v>
      </c>
      <c r="F19" s="22">
        <f t="shared" si="1"/>
        <v>17.149339528721626</v>
      </c>
      <c r="G19" s="22">
        <f>SUM(G20:G27)</f>
        <v>108.96423299999999</v>
      </c>
      <c r="H19" s="25">
        <f>+[9]resumen_pais_destino!F22/1000000</f>
        <v>2.0100000000000001E-3</v>
      </c>
      <c r="I19" s="22">
        <f t="shared" si="3"/>
        <v>-99.998155358006329</v>
      </c>
      <c r="J19" s="22">
        <f t="shared" si="5"/>
        <v>4.3946677197161799E-4</v>
      </c>
      <c r="K19" s="16"/>
    </row>
    <row r="20" spans="1:11">
      <c r="A20" s="14" t="s">
        <v>48</v>
      </c>
      <c r="B20" s="9" t="str">
        <f>CONCATENATE(A20,[15]resumen_pais_alta_tek!B23)</f>
        <v xml:space="preserve">   Argentina</v>
      </c>
      <c r="C20" s="22">
        <f>[15]resumen_pais_alta_tek!C23/1000000</f>
        <v>32.037137000000001</v>
      </c>
      <c r="D20" s="25">
        <f>[15]resumen_pais_alta_tek!D23/1000000</f>
        <v>35.224955999999999</v>
      </c>
      <c r="E20" s="22">
        <f t="shared" si="0"/>
        <v>9.9503866403542816</v>
      </c>
      <c r="F20" s="22">
        <f t="shared" si="1"/>
        <v>0.60033376989227194</v>
      </c>
      <c r="G20" s="22">
        <f>[15]resumen_pais_alta_tek!E23/1000000</f>
        <v>2.7332550000000002</v>
      </c>
      <c r="H20" s="25">
        <f>[15]resumen_pais_alta_tek!F23/1000000</f>
        <v>2.6350060000000002</v>
      </c>
      <c r="I20" s="22">
        <f t="shared" si="3"/>
        <v>-3.5945786251191381</v>
      </c>
      <c r="J20" s="22">
        <f t="shared" si="5"/>
        <v>0.57611819947554488</v>
      </c>
      <c r="K20" s="16"/>
    </row>
    <row r="21" spans="1:11">
      <c r="A21" s="14" t="s">
        <v>48</v>
      </c>
      <c r="B21" s="9" t="str">
        <f>CONCATENATE(A21,[15]resumen_pais_alta_tek!B24)</f>
        <v xml:space="preserve">   Brasil </v>
      </c>
      <c r="C21" s="22">
        <f>[15]resumen_pais_alta_tek!C24/1000000</f>
        <v>305.54689300000001</v>
      </c>
      <c r="D21" s="25">
        <f>[15]resumen_pais_alta_tek!D24/1000000</f>
        <v>209.445459</v>
      </c>
      <c r="E21" s="22">
        <f t="shared" si="0"/>
        <v>-31.452270077575296</v>
      </c>
      <c r="F21" s="22">
        <f t="shared" si="1"/>
        <v>3.569548305135918</v>
      </c>
      <c r="G21" s="22">
        <f>[15]resumen_pais_alta_tek!E24/1000000</f>
        <v>13.704758</v>
      </c>
      <c r="H21" s="25">
        <f>[15]resumen_pais_alta_tek!F24/1000000</f>
        <v>22.066534999999998</v>
      </c>
      <c r="I21" s="22">
        <f t="shared" si="3"/>
        <v>61.013678607093965</v>
      </c>
      <c r="J21" s="22">
        <f t="shared" si="5"/>
        <v>4.8246312960441422</v>
      </c>
      <c r="K21" s="16"/>
    </row>
    <row r="22" spans="1:11">
      <c r="A22" s="14" t="s">
        <v>48</v>
      </c>
      <c r="B22" s="9" t="str">
        <f>CONCATENATE(A22,[15]resumen_pais_alta_tek!B25)</f>
        <v xml:space="preserve">   Cuba </v>
      </c>
      <c r="C22" s="22">
        <f>[15]resumen_pais_alta_tek!C25/1000000</f>
        <v>0</v>
      </c>
      <c r="D22" s="25">
        <f>[15]resumen_pais_alta_tek!D25/1000000</f>
        <v>3.5749000000000003E-2</v>
      </c>
      <c r="E22" s="22" t="str">
        <f t="shared" si="0"/>
        <v/>
      </c>
      <c r="F22" s="22">
        <f t="shared" si="1"/>
        <v>6.0926497508978668E-4</v>
      </c>
      <c r="G22" s="22">
        <f>[15]resumen_pais_alta_tek!E25/1000000</f>
        <v>0</v>
      </c>
      <c r="H22" s="25">
        <f>[15]resumen_pais_alta_tek!F25/1000000</f>
        <v>2.5089999999999999E-3</v>
      </c>
      <c r="I22" s="22" t="str">
        <f t="shared" si="3"/>
        <v/>
      </c>
      <c r="J22" s="22">
        <f t="shared" si="5"/>
        <v>5.4856822431681061E-4</v>
      </c>
      <c r="K22" s="16"/>
    </row>
    <row r="23" spans="1:11">
      <c r="A23" s="14" t="s">
        <v>48</v>
      </c>
      <c r="B23" s="9" t="str">
        <f>CONCATENATE(A23,[15]resumen_pais_alta_tek!B26)</f>
        <v xml:space="preserve">   Chile </v>
      </c>
      <c r="C23" s="22">
        <f>[15]resumen_pais_alta_tek!C26/1000000</f>
        <v>112.878449</v>
      </c>
      <c r="D23" s="25">
        <f>[15]resumen_pais_alta_tek!D26/1000000</f>
        <v>135.73773499999999</v>
      </c>
      <c r="E23" s="22">
        <f t="shared" si="0"/>
        <v>20.251240340837761</v>
      </c>
      <c r="F23" s="22">
        <f t="shared" si="1"/>
        <v>2.3133583522201753</v>
      </c>
      <c r="G23" s="22">
        <f>[15]resumen_pais_alta_tek!E26/1000000</f>
        <v>0.65986999999999996</v>
      </c>
      <c r="H23" s="25">
        <f>[15]resumen_pais_alta_tek!F26/1000000</f>
        <v>0.48893999999999999</v>
      </c>
      <c r="I23" s="22">
        <f t="shared" si="3"/>
        <v>-25.903587070180489</v>
      </c>
      <c r="J23" s="22">
        <f t="shared" si="5"/>
        <v>0.106901932083484</v>
      </c>
      <c r="K23" s="16"/>
    </row>
    <row r="24" spans="1:11">
      <c r="A24" s="14" t="s">
        <v>48</v>
      </c>
      <c r="B24" s="9" t="str">
        <f>CONCATENATE(A24,[15]resumen_pais_alta_tek!B27)</f>
        <v xml:space="preserve">   México </v>
      </c>
      <c r="C24" s="22">
        <f>[15]resumen_pais_alta_tek!C27/1000000</f>
        <v>369.13035100000002</v>
      </c>
      <c r="D24" s="25">
        <f>[15]resumen_pais_alta_tek!D27/1000000</f>
        <v>584.73416699999996</v>
      </c>
      <c r="E24" s="22">
        <f t="shared" si="0"/>
        <v>58.408585318415042</v>
      </c>
      <c r="F24" s="22">
        <f t="shared" si="1"/>
        <v>9.9655388316149303</v>
      </c>
      <c r="G24" s="22">
        <f>[15]resumen_pais_alta_tek!E27/1000000</f>
        <v>88.194903999999994</v>
      </c>
      <c r="H24" s="25">
        <f>[15]resumen_pais_alta_tek!F27/1000000</f>
        <v>63.178471000000002</v>
      </c>
      <c r="I24" s="22">
        <f t="shared" si="3"/>
        <v>-28.364941584379967</v>
      </c>
      <c r="J24" s="22">
        <f t="shared" si="5"/>
        <v>13.813352591279839</v>
      </c>
      <c r="K24" s="16"/>
    </row>
    <row r="25" spans="1:11">
      <c r="A25" s="14" t="s">
        <v>48</v>
      </c>
      <c r="B25" s="9" t="str">
        <f>CONCATENATE(A25,[15]resumen_pais_alta_tek!B28)</f>
        <v xml:space="preserve">   Paraguay </v>
      </c>
      <c r="C25" s="22">
        <f>[15]resumen_pais_alta_tek!C28/1000000</f>
        <v>0.525084</v>
      </c>
      <c r="D25" s="25">
        <f>[15]resumen_pais_alta_tek!D28/1000000</f>
        <v>1.54617</v>
      </c>
      <c r="E25" s="22">
        <f t="shared" si="0"/>
        <v>194.46145759535619</v>
      </c>
      <c r="F25" s="22">
        <f t="shared" si="1"/>
        <v>2.6351149026114729E-2</v>
      </c>
      <c r="G25" s="22">
        <f>[15]resumen_pais_alta_tek!E28/1000000</f>
        <v>7.3211999999999999E-2</v>
      </c>
      <c r="H25" s="25">
        <f>[15]resumen_pais_alta_tek!F28/1000000</f>
        <v>0.10624400000000001</v>
      </c>
      <c r="I25" s="22">
        <f t="shared" si="3"/>
        <v>45.11828661967985</v>
      </c>
      <c r="J25" s="22">
        <f t="shared" si="5"/>
        <v>2.3229207821568447E-2</v>
      </c>
      <c r="K25" s="16"/>
    </row>
    <row r="26" spans="1:11">
      <c r="A26" s="14" t="s">
        <v>48</v>
      </c>
      <c r="B26" s="9" t="str">
        <f>CONCATENATE(A26,[15]resumen_pais_alta_tek!B29)</f>
        <v xml:space="preserve">   Uruguay </v>
      </c>
      <c r="C26" s="22">
        <f>[15]resumen_pais_alta_tek!C29/1000000</f>
        <v>31.338412999999999</v>
      </c>
      <c r="D26" s="25">
        <f>[15]resumen_pais_alta_tek!D29/1000000</f>
        <v>34.273746000000003</v>
      </c>
      <c r="E26" s="22">
        <f t="shared" si="0"/>
        <v>9.3665655628445634</v>
      </c>
      <c r="F26" s="22">
        <f t="shared" si="1"/>
        <v>0.58412243707302802</v>
      </c>
      <c r="G26" s="22">
        <f>[15]resumen_pais_alta_tek!E29/1000000</f>
        <v>3.198197</v>
      </c>
      <c r="H26" s="25">
        <f>[15]resumen_pais_alta_tek!F29/1000000</f>
        <v>4.2045519999999996</v>
      </c>
      <c r="I26" s="22">
        <f t="shared" si="3"/>
        <v>31.466323056397073</v>
      </c>
      <c r="J26" s="22">
        <f t="shared" si="5"/>
        <v>0.91928402737652248</v>
      </c>
      <c r="K26" s="16"/>
    </row>
    <row r="27" spans="1:11">
      <c r="A27" s="14" t="s">
        <v>48</v>
      </c>
      <c r="B27" s="9" t="str">
        <f>CONCATENATE(A27,[15]resumen_pais_alta_tek!B30)</f>
        <v xml:space="preserve">   Venezuela</v>
      </c>
      <c r="C27" s="22">
        <f>[15]resumen_pais_alta_tek!C30/1000000</f>
        <v>67.474984000000006</v>
      </c>
      <c r="D27" s="25">
        <f>[15]resumen_pais_alta_tek!D30/1000000</f>
        <v>5.2501429999999996</v>
      </c>
      <c r="E27" s="22">
        <f t="shared" si="0"/>
        <v>-92.219126721097112</v>
      </c>
      <c r="F27" s="22">
        <f>(D27/D$13)*100</f>
        <v>8.9477418784100746E-2</v>
      </c>
      <c r="G27" s="22">
        <f>[15]resumen_pais_alta_tek!E30/1000000</f>
        <v>0.40003699999999998</v>
      </c>
      <c r="H27" s="25">
        <f>[15]resumen_pais_alta_tek!F30/1000000</f>
        <v>0.62122999999999995</v>
      </c>
      <c r="I27" s="22">
        <f t="shared" si="3"/>
        <v>55.293135384976885</v>
      </c>
      <c r="J27" s="22">
        <f t="shared" si="5"/>
        <v>0.13582584216513841</v>
      </c>
      <c r="K27" s="16"/>
    </row>
    <row r="28" spans="1:11">
      <c r="A28" s="14" t="s">
        <v>48</v>
      </c>
      <c r="B28" s="9" t="str">
        <f>+[15]resumen_pais_alta_tek!B44</f>
        <v xml:space="preserve">Canadá </v>
      </c>
      <c r="C28" s="22">
        <f>+[15]resumen_pais_alta_tek!C44/1000000</f>
        <v>17.222393</v>
      </c>
      <c r="D28" s="25">
        <f>+[15]resumen_pais_alta_tek!D44/1000000</f>
        <v>19.534655999999998</v>
      </c>
      <c r="E28" s="22">
        <f t="shared" si="0"/>
        <v>13.425910092749582</v>
      </c>
      <c r="F28" s="22">
        <f>(D28/D$13)*100</f>
        <v>0.3329262832870164</v>
      </c>
      <c r="G28" s="22">
        <f>+[15]resumen_pais_alta_tek!E44/1000000</f>
        <v>1.7239120000000001</v>
      </c>
      <c r="H28" s="25">
        <f>+[15]resumen_pais_alta_tek!F44/1000000</f>
        <v>1.701006</v>
      </c>
      <c r="I28" s="22">
        <f t="shared" si="3"/>
        <v>-1.3287221157460505</v>
      </c>
      <c r="J28" s="22">
        <f t="shared" si="5"/>
        <v>0.37190826662903181</v>
      </c>
      <c r="K28" s="16"/>
    </row>
    <row r="29" spans="1:11">
      <c r="A29" s="14" t="s">
        <v>48</v>
      </c>
      <c r="B29" s="9" t="str">
        <f>+[15]resumen_pais_alta_tek!B45</f>
        <v>Estados Unidos</v>
      </c>
      <c r="C29" s="22">
        <f>+[15]resumen_pais_alta_tek!C45/1000000</f>
        <v>1544.824034</v>
      </c>
      <c r="D29" s="25">
        <f>+[15]resumen_pais_alta_tek!D45/1000000</f>
        <v>1700.2566489999999</v>
      </c>
      <c r="E29" s="22">
        <f t="shared" si="0"/>
        <v>10.061509374471566</v>
      </c>
      <c r="F29" s="22">
        <f t="shared" si="1"/>
        <v>28.977225234250724</v>
      </c>
      <c r="G29" s="22">
        <f>+[15]resumen_pais_alta_tek!E45/1000000</f>
        <v>158.47384400000001</v>
      </c>
      <c r="H29" s="25">
        <f>+[15]resumen_pais_alta_tek!F45/1000000</f>
        <v>142.13943</v>
      </c>
      <c r="I29" s="22">
        <f t="shared" si="3"/>
        <v>-10.307324910980265</v>
      </c>
      <c r="J29" s="22">
        <f t="shared" si="5"/>
        <v>31.077391279594902</v>
      </c>
      <c r="K29" s="16"/>
    </row>
    <row r="30" spans="1:11">
      <c r="A30" s="14"/>
      <c r="B30" s="10" t="s">
        <v>39</v>
      </c>
      <c r="C30" s="22">
        <f>SUM(C31:C41)</f>
        <v>1732.727412</v>
      </c>
      <c r="D30" s="25">
        <f>SUM(D31:D41)</f>
        <v>1298.1992970000003</v>
      </c>
      <c r="E30" s="22">
        <f t="shared" si="0"/>
        <v>-25.07769612177173</v>
      </c>
      <c r="F30" s="22">
        <f t="shared" si="1"/>
        <v>22.125020625703762</v>
      </c>
      <c r="G30" s="22">
        <f>SUM(G31:G41)</f>
        <v>177.31641199999999</v>
      </c>
      <c r="H30" s="25">
        <f>SUM(H31:H41)</f>
        <v>78.056288999999992</v>
      </c>
      <c r="I30" s="22">
        <f t="shared" si="3"/>
        <v>-55.979095155613678</v>
      </c>
      <c r="J30" s="22">
        <f t="shared" si="5"/>
        <v>17.066241472096372</v>
      </c>
      <c r="K30" s="16"/>
    </row>
    <row r="31" spans="1:11">
      <c r="A31" s="14" t="s">
        <v>48</v>
      </c>
      <c r="B31" s="9" t="str">
        <f>CONCATENATE(A31,[15]resumen_pais_alta_tek!B59)</f>
        <v xml:space="preserve">   Alemania </v>
      </c>
      <c r="C31" s="22">
        <f>[15]resumen_pais_alta_tek!C59/1000000</f>
        <v>200.00891200000001</v>
      </c>
      <c r="D31" s="25">
        <f>[15]resumen_pais_alta_tek!D59/1000000</f>
        <v>273.92111999999997</v>
      </c>
      <c r="E31" s="22">
        <f t="shared" si="0"/>
        <v>36.954457309382271</v>
      </c>
      <c r="F31" s="22">
        <f t="shared" si="1"/>
        <v>4.6683975594664595</v>
      </c>
      <c r="G31" s="22">
        <f>[15]resumen_pais_alta_tek!E59/1000000</f>
        <v>63.530845999999997</v>
      </c>
      <c r="H31" s="25">
        <f>[15]resumen_pais_alta_tek!F59/1000000</f>
        <v>16.067706999999999</v>
      </c>
      <c r="I31" s="22">
        <f t="shared" si="3"/>
        <v>-74.708809953514546</v>
      </c>
      <c r="J31" s="22">
        <f t="shared" si="5"/>
        <v>3.5130464319779944</v>
      </c>
      <c r="K31" s="16"/>
    </row>
    <row r="32" spans="1:11">
      <c r="A32" s="14" t="s">
        <v>48</v>
      </c>
      <c r="B32" s="9" t="str">
        <f>CONCATENATE(A32,[15]resumen_pais_alta_tek!B60)</f>
        <v xml:space="preserve">   Bélgica </v>
      </c>
      <c r="C32" s="22">
        <f>[15]resumen_pais_alta_tek!C60/1000000</f>
        <v>108.215783</v>
      </c>
      <c r="D32" s="25">
        <f>[15]resumen_pais_alta_tek!D60/1000000</f>
        <v>142.52677399999999</v>
      </c>
      <c r="E32" s="22">
        <f t="shared" si="0"/>
        <v>31.706087641578119</v>
      </c>
      <c r="F32" s="22">
        <f t="shared" si="1"/>
        <v>2.4290629503129497</v>
      </c>
      <c r="G32" s="22">
        <f>[15]resumen_pais_alta_tek!E60/1000000</f>
        <v>11.808510999999999</v>
      </c>
      <c r="H32" s="25">
        <f>[15]resumen_pais_alta_tek!F60/1000000</f>
        <v>14.168476</v>
      </c>
      <c r="I32" s="22">
        <f t="shared" si="3"/>
        <v>19.985288577027195</v>
      </c>
      <c r="J32" s="22">
        <f t="shared" si="5"/>
        <v>3.0977982146653442</v>
      </c>
      <c r="K32" s="16"/>
    </row>
    <row r="33" spans="1:11">
      <c r="A33" s="14" t="s">
        <v>48</v>
      </c>
      <c r="B33" s="9" t="str">
        <f>CONCATENATE(A33,[15]resumen_pais_alta_tek!B61)</f>
        <v xml:space="preserve">   Dinamarca </v>
      </c>
      <c r="C33" s="22">
        <f>[15]resumen_pais_alta_tek!C61/1000000</f>
        <v>12.192684</v>
      </c>
      <c r="D33" s="25">
        <f>[15]resumen_pais_alta_tek!D61/1000000</f>
        <v>18.731145000000001</v>
      </c>
      <c r="E33" s="22">
        <f t="shared" si="0"/>
        <v>53.62610070104337</v>
      </c>
      <c r="F33" s="22">
        <f t="shared" si="1"/>
        <v>0.31923216290884171</v>
      </c>
      <c r="G33" s="22">
        <f>[15]resumen_pais_alta_tek!E61/1000000</f>
        <v>0.82891899999999996</v>
      </c>
      <c r="H33" s="25">
        <f>[15]resumen_pais_alta_tek!F61/1000000</f>
        <v>1.8525430000000001</v>
      </c>
      <c r="I33" s="22">
        <f t="shared" si="3"/>
        <v>123.48902606889216</v>
      </c>
      <c r="J33" s="22">
        <f t="shared" si="5"/>
        <v>0.40504034435254577</v>
      </c>
      <c r="K33" s="16"/>
    </row>
    <row r="34" spans="1:11">
      <c r="A34" s="14" t="s">
        <v>48</v>
      </c>
      <c r="B34" s="9" t="str">
        <f>CONCATENATE(A34,[15]resumen_pais_alta_tek!B62)</f>
        <v xml:space="preserve">   España </v>
      </c>
      <c r="C34" s="22">
        <f>[15]resumen_pais_alta_tek!C62/1000000</f>
        <v>53.056781000000001</v>
      </c>
      <c r="D34" s="25">
        <f>[15]resumen_pais_alta_tek!D62/1000000</f>
        <v>30.450796</v>
      </c>
      <c r="E34" s="22">
        <f t="shared" si="0"/>
        <v>-42.607155153268714</v>
      </c>
      <c r="F34" s="22">
        <f t="shared" si="1"/>
        <v>0.51896845971647243</v>
      </c>
      <c r="G34" s="22">
        <f>[15]resumen_pais_alta_tek!E62/1000000</f>
        <v>2.6419869999999999</v>
      </c>
      <c r="H34" s="25">
        <f>[15]resumen_pais_alta_tek!F62/1000000</f>
        <v>2.4853510000000001</v>
      </c>
      <c r="I34" s="22">
        <f t="shared" si="3"/>
        <v>-5.928719558423257</v>
      </c>
      <c r="J34" s="22">
        <f t="shared" si="5"/>
        <v>0.54339760258031478</v>
      </c>
      <c r="K34" s="16"/>
    </row>
    <row r="35" spans="1:11">
      <c r="A35" s="14" t="s">
        <v>48</v>
      </c>
      <c r="B35" s="9" t="str">
        <f>CONCATENATE(A35,[15]resumen_pais_alta_tek!B63)</f>
        <v xml:space="preserve">   Finlandia </v>
      </c>
      <c r="C35" s="22">
        <f>[15]resumen_pais_alta_tek!C63/1000000</f>
        <v>27.317936</v>
      </c>
      <c r="D35" s="25">
        <f>[15]resumen_pais_alta_tek!D63/1000000</f>
        <v>30.471753</v>
      </c>
      <c r="E35" s="22">
        <f t="shared" si="0"/>
        <v>11.544858293833027</v>
      </c>
      <c r="F35" s="22">
        <f t="shared" si="1"/>
        <v>0.51932562680038974</v>
      </c>
      <c r="G35" s="22">
        <f>[15]resumen_pais_alta_tek!E63/1000000</f>
        <v>1.1514549999999999</v>
      </c>
      <c r="H35" s="25">
        <f>[15]resumen_pais_alta_tek!F63/1000000</f>
        <v>1.9914559999999999</v>
      </c>
      <c r="I35" s="22">
        <f t="shared" si="3"/>
        <v>72.951266006921685</v>
      </c>
      <c r="J35" s="22">
        <f t="shared" si="5"/>
        <v>0.43541230837985589</v>
      </c>
      <c r="K35" s="16"/>
    </row>
    <row r="36" spans="1:11">
      <c r="A36" s="14" t="s">
        <v>48</v>
      </c>
      <c r="B36" s="9" t="str">
        <f>CONCATENATE(A36,[15]resumen_pais_alta_tek!B64)</f>
        <v xml:space="preserve">   Francia </v>
      </c>
      <c r="C36" s="22">
        <f>[15]resumen_pais_alta_tek!C64/1000000</f>
        <v>910.136077</v>
      </c>
      <c r="D36" s="25">
        <f>[15]resumen_pais_alta_tek!D64/1000000</f>
        <v>437.88519300000002</v>
      </c>
      <c r="E36" s="22">
        <f t="shared" si="0"/>
        <v>-51.887942466431866</v>
      </c>
      <c r="F36" s="22">
        <f t="shared" si="1"/>
        <v>7.4628132592612779</v>
      </c>
      <c r="G36" s="22">
        <f>[15]resumen_pais_alta_tek!E64/1000000</f>
        <v>65.449119999999994</v>
      </c>
      <c r="H36" s="25">
        <f>[15]resumen_pais_alta_tek!F64/1000000</f>
        <v>9.0603990000000003</v>
      </c>
      <c r="I36" s="22">
        <f t="shared" si="3"/>
        <v>-86.156576283989764</v>
      </c>
      <c r="J36" s="22">
        <f t="shared" si="5"/>
        <v>1.9809673140820276</v>
      </c>
      <c r="K36" s="16"/>
    </row>
    <row r="37" spans="1:11">
      <c r="A37" s="14" t="s">
        <v>48</v>
      </c>
      <c r="B37" s="7" t="str">
        <f>CONCATENATE(A37,[15]resumen_pais_alta_tek!B65)</f>
        <v xml:space="preserve">   Italia </v>
      </c>
      <c r="C37" s="22">
        <f>[15]resumen_pais_alta_tek!C65/1000000</f>
        <v>30.370169000000001</v>
      </c>
      <c r="D37" s="25">
        <f>[15]resumen_pais_alta_tek!D65/1000000</f>
        <v>54.190722000000001</v>
      </c>
      <c r="E37" s="22">
        <f t="shared" si="0"/>
        <v>78.43404822673196</v>
      </c>
      <c r="F37" s="22">
        <f t="shared" si="1"/>
        <v>0.92356454416704115</v>
      </c>
      <c r="G37" s="22">
        <f>[15]resumen_pais_alta_tek!E65/1000000</f>
        <v>3.3844989999999999</v>
      </c>
      <c r="H37" s="25">
        <f>[15]resumen_pais_alta_tek!F65/1000000</f>
        <v>5.6037220000000003</v>
      </c>
      <c r="I37" s="22">
        <f t="shared" si="3"/>
        <v>65.57020699370868</v>
      </c>
      <c r="J37" s="22">
        <f t="shared" si="5"/>
        <v>1.2251988151076314</v>
      </c>
      <c r="K37" s="16"/>
    </row>
    <row r="38" spans="1:11">
      <c r="A38" s="14" t="s">
        <v>48</v>
      </c>
      <c r="B38" s="7" t="str">
        <f>CONCATENATE(A38,[15]resumen_pais_alta_tek!B66)</f>
        <v xml:space="preserve">   Países Bajos </v>
      </c>
      <c r="C38" s="22">
        <f>[15]resumen_pais_alta_tek!C66/1000000</f>
        <v>129.84234000000001</v>
      </c>
      <c r="D38" s="25">
        <f>[15]resumen_pais_alta_tek!D66/1000000</f>
        <v>121.30901900000001</v>
      </c>
      <c r="E38" s="22">
        <f t="shared" si="0"/>
        <v>-6.5720634732861383</v>
      </c>
      <c r="F38" s="22">
        <f t="shared" si="1"/>
        <v>2.0674518570925469</v>
      </c>
      <c r="G38" s="22">
        <f>[15]resumen_pais_alta_tek!E66/1000000</f>
        <v>13.564007999999999</v>
      </c>
      <c r="H38" s="25">
        <f>[15]resumen_pais_alta_tek!F66/1000000</f>
        <v>11.300230000000001</v>
      </c>
      <c r="I38" s="22">
        <f t="shared" si="3"/>
        <v>-16.689594992866407</v>
      </c>
      <c r="J38" s="22">
        <f t="shared" si="5"/>
        <v>2.4706843784262871</v>
      </c>
      <c r="K38" s="16"/>
    </row>
    <row r="39" spans="1:11">
      <c r="A39" s="14" t="s">
        <v>48</v>
      </c>
      <c r="B39" s="7" t="str">
        <f>CONCATENATE(A39,[15]resumen_pais_alta_tek!B67)</f>
        <v xml:space="preserve">   Reino Unido </v>
      </c>
      <c r="C39" s="22">
        <f>[15]resumen_pais_alta_tek!C67/1000000</f>
        <v>156.65357900000001</v>
      </c>
      <c r="D39" s="25">
        <f>[15]resumen_pais_alta_tek!D67/1000000</f>
        <v>134.989868</v>
      </c>
      <c r="E39" s="22">
        <f t="shared" si="0"/>
        <v>-13.829055894088448</v>
      </c>
      <c r="F39" s="22">
        <f t="shared" si="1"/>
        <v>2.3006125643904332</v>
      </c>
      <c r="G39" s="22">
        <f>[15]resumen_pais_alta_tek!E67/1000000</f>
        <v>9.6142289999999999</v>
      </c>
      <c r="H39" s="25">
        <f>[15]resumen_pais_alta_tek!F67/1000000</f>
        <v>10.343531</v>
      </c>
      <c r="I39" s="22">
        <f t="shared" si="3"/>
        <v>7.5856524740569586</v>
      </c>
      <c r="J39" s="22">
        <f t="shared" si="5"/>
        <v>2.2615115320190853</v>
      </c>
      <c r="K39" s="16"/>
    </row>
    <row r="40" spans="1:11">
      <c r="A40" s="14" t="s">
        <v>48</v>
      </c>
      <c r="B40" s="9" t="str">
        <f>CONCATENATE(A40,[15]resumen_pais_alta_tek!B68)</f>
        <v xml:space="preserve">   Suecia </v>
      </c>
      <c r="C40" s="22">
        <f>[15]resumen_pais_alta_tek!C68/1000000</f>
        <v>19.910533000000001</v>
      </c>
      <c r="D40" s="25">
        <f>[15]resumen_pais_alta_tek!D68/1000000</f>
        <v>23.964732999999999</v>
      </c>
      <c r="E40" s="22">
        <f t="shared" si="0"/>
        <v>20.362086740721598</v>
      </c>
      <c r="F40" s="22">
        <f t="shared" si="1"/>
        <v>0.40842743725078706</v>
      </c>
      <c r="G40" s="22">
        <f>[15]resumen_pais_alta_tek!E68/1000000</f>
        <v>1.539487</v>
      </c>
      <c r="H40" s="25">
        <f>[15]resumen_pais_alta_tek!F68/1000000</f>
        <v>2.4915509999999998</v>
      </c>
      <c r="I40" s="22">
        <f t="shared" si="3"/>
        <v>61.842938589283293</v>
      </c>
      <c r="J40" s="22">
        <f t="shared" si="5"/>
        <v>0.54475317172768989</v>
      </c>
      <c r="K40" s="16"/>
    </row>
    <row r="41" spans="1:11">
      <c r="A41" s="14" t="s">
        <v>48</v>
      </c>
      <c r="B41" s="9" t="str">
        <f>CONCATENATE(A41,[15]resumen_pais_alta_tek!B69)</f>
        <v xml:space="preserve">   Resto </v>
      </c>
      <c r="C41" s="22">
        <f>[15]resumen_pais_alta_tek!C69/1000000</f>
        <v>85.022617999999994</v>
      </c>
      <c r="D41" s="25">
        <f>[15]resumen_pais_alta_tek!D69/1000000</f>
        <v>29.758174</v>
      </c>
      <c r="E41" s="22">
        <f t="shared" si="0"/>
        <v>-64.99969690418142</v>
      </c>
      <c r="F41" s="22">
        <f t="shared" si="1"/>
        <v>0.50716420433655585</v>
      </c>
      <c r="G41" s="22">
        <f>[15]resumen_pais_alta_tek!E69/1000000</f>
        <v>3.8033510000000001</v>
      </c>
      <c r="H41" s="25">
        <f>[15]resumen_pais_alta_tek!F69/1000000</f>
        <v>2.6913230000000001</v>
      </c>
      <c r="I41" s="22">
        <f t="shared" si="3"/>
        <v>-29.238111339184837</v>
      </c>
      <c r="J41" s="22">
        <f t="shared" si="5"/>
        <v>0.58843135877759745</v>
      </c>
      <c r="K41" s="16"/>
    </row>
    <row r="42" spans="1:11">
      <c r="A42" s="14"/>
      <c r="B42" s="9" t="str">
        <f>+[15]resumen_pais_alta_tek!B83</f>
        <v>Corea del Sur</v>
      </c>
      <c r="C42" s="22">
        <f>+[15]resumen_pais_alta_tek!C83/1000000</f>
        <v>31.978119</v>
      </c>
      <c r="D42" s="25">
        <f>+[15]resumen_pais_alta_tek!D83/1000000</f>
        <v>122.47659899999999</v>
      </c>
      <c r="E42" s="22">
        <f t="shared" si="0"/>
        <v>283.00126095596806</v>
      </c>
      <c r="F42" s="22">
        <f t="shared" si="1"/>
        <v>2.0873507521557744</v>
      </c>
      <c r="G42" s="22">
        <f>+[15]resumen_pais_alta_tek!E83/1000000</f>
        <v>2.8660410000000001</v>
      </c>
      <c r="H42" s="25">
        <f>+[15]resumen_pais_alta_tek!F83/1000000</f>
        <v>2.2657479999999999</v>
      </c>
      <c r="I42" s="22">
        <f t="shared" si="3"/>
        <v>-20.945024861821594</v>
      </c>
      <c r="J42" s="22">
        <f t="shared" si="5"/>
        <v>0.49538356202047229</v>
      </c>
      <c r="K42" s="16"/>
    </row>
    <row r="43" spans="1:11">
      <c r="A43" s="14"/>
      <c r="B43" s="9" t="str">
        <f>+[15]resumen_pais_alta_tek!B84</f>
        <v xml:space="preserve">China </v>
      </c>
      <c r="C43" s="22">
        <f>+[15]resumen_pais_alta_tek!C84/1000000</f>
        <v>289.18488200000002</v>
      </c>
      <c r="D43" s="25">
        <f>+[15]resumen_pais_alta_tek!D84/1000000</f>
        <v>510.11949600000003</v>
      </c>
      <c r="E43" s="22">
        <f t="shared" ref="E43:E44" si="6">IF(OR(OR(D43=0,C43=0),D43=""),"",(D43/C43-1)*100)</f>
        <v>76.39908852496653</v>
      </c>
      <c r="F43" s="22">
        <f t="shared" ref="F43:F44" si="7">(D43/D$13)*100</f>
        <v>8.6938919137109991</v>
      </c>
      <c r="G43" s="22">
        <f>+[15]resumen_pais_alta_tek!E84/1000000</f>
        <v>37.202174999999997</v>
      </c>
      <c r="H43" s="25">
        <f>+[15]resumen_pais_alta_tek!F84/1000000</f>
        <v>66.090329999999994</v>
      </c>
      <c r="I43" s="22">
        <f t="shared" ref="I43:I44" si="8">IF(OR(OR(H43=0,G43=0),H43=""),"",(H43/G43-1)*100)</f>
        <v>77.651790520312318</v>
      </c>
      <c r="J43" s="22">
        <f t="shared" ref="J43:J44" si="9">(H43/H$13)*100</f>
        <v>14.45000198190994</v>
      </c>
      <c r="K43" s="16"/>
    </row>
    <row r="44" spans="1:11">
      <c r="A44" s="14"/>
      <c r="B44" s="9" t="str">
        <f>+[15]resumen_pais_alta_tek!B85</f>
        <v xml:space="preserve">Japón </v>
      </c>
      <c r="C44" s="22">
        <f>+[15]resumen_pais_alta_tek!C85/1000000</f>
        <v>36.833303000000001</v>
      </c>
      <c r="D44" s="25">
        <f>+[15]resumen_pais_alta_tek!D85/1000000</f>
        <v>30.682044999999999</v>
      </c>
      <c r="E44" s="22">
        <f t="shared" si="6"/>
        <v>-16.70026171695762</v>
      </c>
      <c r="F44" s="22">
        <f t="shared" si="7"/>
        <v>0.52290960257989627</v>
      </c>
      <c r="G44" s="22">
        <f>+[15]resumen_pais_alta_tek!E85/1000000</f>
        <v>2.5884990000000001</v>
      </c>
      <c r="H44" s="25">
        <f>+[15]resumen_pais_alta_tek!F85/1000000</f>
        <v>2.9551940000000001</v>
      </c>
      <c r="I44" s="22">
        <f t="shared" si="8"/>
        <v>14.166318009008316</v>
      </c>
      <c r="J44" s="22">
        <f t="shared" si="9"/>
        <v>0.64612416304969833</v>
      </c>
      <c r="K44" s="16"/>
    </row>
    <row r="45" spans="1:11">
      <c r="A45" s="14"/>
      <c r="B45" s="9" t="s">
        <v>5</v>
      </c>
      <c r="C45" s="22">
        <f>+C13-C14-C30-C28-C29-C42-C43-C44</f>
        <v>819.33156716007886</v>
      </c>
      <c r="D45" s="25">
        <f>+D13-D14-D30-D28-D29-D42-D43-D44</f>
        <v>1133.6065851199985</v>
      </c>
      <c r="E45" s="22">
        <f t="shared" si="0"/>
        <v>38.357489270093922</v>
      </c>
      <c r="F45" s="22">
        <f t="shared" si="1"/>
        <v>19.319891125479145</v>
      </c>
      <c r="G45" s="22">
        <f>+G13-G14-G30-G28-G29-G42-G43-G44</f>
        <v>72.052647080000838</v>
      </c>
      <c r="H45" s="25">
        <f>+H13-H14-H30-H28-H29-H42-H43-H44</f>
        <v>161.26260921999781</v>
      </c>
      <c r="I45" s="22">
        <f t="shared" si="3"/>
        <v>123.81219254990894</v>
      </c>
      <c r="J45" s="22">
        <f t="shared" si="5"/>
        <v>35.258486723200456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25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9"/>
      <c r="E48" s="20"/>
    </row>
    <row r="49" spans="2:5">
      <c r="B49" s="20"/>
      <c r="C49" s="20"/>
      <c r="D49" s="89"/>
      <c r="E49" s="20"/>
    </row>
    <row r="50" spans="2:5">
      <c r="C50" s="20"/>
      <c r="D50" s="89"/>
    </row>
    <row r="51" spans="2:5">
      <c r="C51" s="20"/>
      <c r="D51" s="89"/>
    </row>
    <row r="52" spans="2:5">
      <c r="C52" s="20"/>
      <c r="D52" s="89"/>
      <c r="E52" s="89"/>
    </row>
    <row r="53" spans="2:5">
      <c r="C53" s="20"/>
      <c r="D53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9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68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57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2"/>
      <c r="D9" s="102"/>
      <c r="E9" s="102"/>
      <c r="F9" s="102"/>
      <c r="G9" s="102"/>
      <c r="H9" s="102"/>
      <c r="I9" s="8"/>
      <c r="J9" s="8"/>
      <c r="K9" s="16"/>
    </row>
    <row r="10" spans="1:14" ht="15.75" customHeight="1">
      <c r="A10" s="14"/>
      <c r="B10" s="9"/>
      <c r="C10" s="114" t="s">
        <v>140</v>
      </c>
      <c r="D10" s="114"/>
      <c r="E10" s="113" t="s">
        <v>1</v>
      </c>
      <c r="F10" s="113" t="s">
        <v>4</v>
      </c>
      <c r="G10" s="114" t="s">
        <v>141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102">
        <v>2009</v>
      </c>
      <c r="D11" s="102">
        <v>2010</v>
      </c>
      <c r="E11" s="113"/>
      <c r="F11" s="113"/>
      <c r="G11" s="102">
        <v>2009</v>
      </c>
      <c r="H11" s="102">
        <v>2010</v>
      </c>
      <c r="I11" s="113"/>
      <c r="J11" s="113"/>
      <c r="K11" s="16"/>
      <c r="N11" s="2"/>
    </row>
    <row r="12" spans="1:14" ht="12" customHeight="1">
      <c r="A12" s="14"/>
      <c r="B12" s="9"/>
      <c r="C12" s="102"/>
      <c r="D12" s="102"/>
      <c r="E12" s="102"/>
      <c r="F12" s="102"/>
      <c r="G12" s="102"/>
      <c r="H12" s="102"/>
      <c r="I12" s="102"/>
      <c r="J12" s="102"/>
      <c r="K12" s="16"/>
    </row>
    <row r="13" spans="1:14">
      <c r="A13" s="14"/>
      <c r="B13" s="10" t="s">
        <v>61</v>
      </c>
      <c r="C13" s="25">
        <f>+'Resumen importaciones totales'!C13</f>
        <v>11531.093251530019</v>
      </c>
      <c r="D13" s="25">
        <f>+'Resumen importaciones totales'!D13</f>
        <v>14441.043764700104</v>
      </c>
      <c r="E13" s="25">
        <f>IF(OR(OR(D13=0,C13=0),D13=""),"",(D13/C13-1)*100)</f>
        <v>25.235686241492971</v>
      </c>
      <c r="F13" s="23">
        <f>(D13/D$13)*100</f>
        <v>100</v>
      </c>
      <c r="G13" s="25">
        <f>+'Resumen importaciones totales'!G13</f>
        <v>1265.9982494300002</v>
      </c>
      <c r="H13" s="25">
        <f>+'Resumen importaciones totales'!H13</f>
        <v>1619.3198718299989</v>
      </c>
      <c r="I13" s="25">
        <f>IF(OR(OR(H13=0,G13=0),H13=""),"",(H13/G13-1)*100)</f>
        <v>27.908539570183244</v>
      </c>
      <c r="J13" s="23">
        <f>(H13/H$13)*100</f>
        <v>100</v>
      </c>
      <c r="K13" s="16"/>
    </row>
    <row r="14" spans="1:14">
      <c r="A14" s="14"/>
      <c r="B14" s="9" t="str">
        <f>+[6]ciiu_desagregado!A2</f>
        <v>Productos químicos</v>
      </c>
      <c r="C14" s="22">
        <f>+[6]ciiu_desagregado!B2</f>
        <v>2030.8210448000248</v>
      </c>
      <c r="D14" s="25">
        <f>+[6]ciiu_desagregado!C2</f>
        <v>2469.6149601400416</v>
      </c>
      <c r="E14" s="22">
        <f t="shared" ref="E14:E48" si="0">IF(OR(OR(D14=0,C14=0),D14=""),"",(D14/C14-1)*100)</f>
        <v>21.606724849713423</v>
      </c>
      <c r="F14" s="22">
        <f t="shared" ref="F14:F48" si="1">(D14/D$13)*100</f>
        <v>17.101360541381393</v>
      </c>
      <c r="G14" s="22">
        <f>+[6]ciiu_desagregado!D2</f>
        <v>231.42654072000005</v>
      </c>
      <c r="H14" s="25">
        <f>+[6]ciiu_desagregado!E2</f>
        <v>268.17003467999973</v>
      </c>
      <c r="I14" s="22">
        <f t="shared" ref="I14" si="2">IF(OR(OR(H14=0,G14=0),H14=""),"",(H14/G14-1)*100)</f>
        <v>15.876957692789073</v>
      </c>
      <c r="J14" s="22">
        <f>(H14/H$13)*100</f>
        <v>16.560658542215002</v>
      </c>
      <c r="K14" s="16"/>
    </row>
    <row r="15" spans="1:14">
      <c r="A15" s="14"/>
      <c r="B15" s="9" t="str">
        <f>+[6]ciiu_desagregado!A3</f>
        <v>Equipos de transporte</v>
      </c>
      <c r="C15" s="22">
        <f>+[6]ciiu_desagregado!B3</f>
        <v>2275.4864176600072</v>
      </c>
      <c r="D15" s="25">
        <f>+[6]ciiu_desagregado!C3</f>
        <v>1799.9244352099995</v>
      </c>
      <c r="E15" s="22">
        <f t="shared" si="0"/>
        <v>-20.899354914148471</v>
      </c>
      <c r="F15" s="22">
        <f t="shared" si="1"/>
        <v>12.4639497292416</v>
      </c>
      <c r="G15" s="22">
        <f>+[6]ciiu_desagregado!D3</f>
        <v>193.01019690000032</v>
      </c>
      <c r="H15" s="25">
        <f>+[6]ciiu_desagregado!E3</f>
        <v>33.611891000000007</v>
      </c>
      <c r="I15" s="22">
        <f t="shared" ref="I15:I48" si="3">IF(OR(OR(H15=0,G15=0),H15=""),"",(H15/G15-1)*100)</f>
        <v>-82.58543251089759</v>
      </c>
      <c r="J15" s="22">
        <f t="shared" ref="J15:J48" si="4">(H15/H$13)*100</f>
        <v>2.0756795235283008</v>
      </c>
      <c r="K15" s="16"/>
    </row>
    <row r="16" spans="1:14">
      <c r="A16" s="14"/>
      <c r="B16" s="9" t="str">
        <f>+[6]ciiu_desagregado!A4</f>
        <v>Maquinaria y equipo</v>
      </c>
      <c r="C16" s="22">
        <f>+[6]ciiu_desagregado!B4</f>
        <v>1244.3444360999833</v>
      </c>
      <c r="D16" s="25">
        <f>+[6]ciiu_desagregado!C4</f>
        <v>1526.6045780500053</v>
      </c>
      <c r="E16" s="22">
        <f t="shared" si="0"/>
        <v>22.68344147820358</v>
      </c>
      <c r="F16" s="22">
        <f t="shared" si="1"/>
        <v>10.571289741408165</v>
      </c>
      <c r="G16" s="22">
        <f>+[6]ciiu_desagregado!D4</f>
        <v>146.79889044000012</v>
      </c>
      <c r="H16" s="25">
        <f>+[6]ciiu_desagregado!E4</f>
        <v>203.29312625000009</v>
      </c>
      <c r="I16" s="22">
        <f t="shared" si="3"/>
        <v>38.48410273447562</v>
      </c>
      <c r="J16" s="22">
        <f t="shared" si="4"/>
        <v>12.554229080154364</v>
      </c>
      <c r="K16" s="16"/>
    </row>
    <row r="17" spans="1:11">
      <c r="A17" s="14"/>
      <c r="B17" s="9" t="str">
        <f>+[6]ciiu_desagregado!A5</f>
        <v>Equipo de radio</v>
      </c>
      <c r="C17" s="22">
        <f>+[6]ciiu_desagregado!B5</f>
        <v>1035.7162671199956</v>
      </c>
      <c r="D17" s="25">
        <f>+[6]ciiu_desagregado!C5</f>
        <v>1489.5228965800582</v>
      </c>
      <c r="E17" s="22">
        <f t="shared" si="0"/>
        <v>43.81572867653778</v>
      </c>
      <c r="F17" s="22">
        <f t="shared" si="1"/>
        <v>10.314509954059343</v>
      </c>
      <c r="G17" s="22">
        <f>+[6]ciiu_desagregado!D5</f>
        <v>119.43301994000001</v>
      </c>
      <c r="H17" s="25">
        <f>+[6]ciiu_desagregado!E5</f>
        <v>152.36232258000032</v>
      </c>
      <c r="I17" s="22">
        <f t="shared" si="3"/>
        <v>27.571355607137061</v>
      </c>
      <c r="J17" s="22">
        <f t="shared" si="4"/>
        <v>9.409031855319304</v>
      </c>
      <c r="K17" s="16"/>
    </row>
    <row r="18" spans="1:11">
      <c r="A18" s="14"/>
      <c r="B18" s="9" t="str">
        <f>+[6]ciiu_desagregado!A6</f>
        <v>Vehículos automotores</v>
      </c>
      <c r="C18" s="22">
        <f>+[6]ciiu_desagregado!B6</f>
        <v>739.50859708001087</v>
      </c>
      <c r="D18" s="25">
        <f>+[6]ciiu_desagregado!C6</f>
        <v>1344.2023077799997</v>
      </c>
      <c r="E18" s="22">
        <f t="shared" si="0"/>
        <v>81.769666111746943</v>
      </c>
      <c r="F18" s="22">
        <f t="shared" si="1"/>
        <v>9.3082074237998462</v>
      </c>
      <c r="G18" s="22">
        <f>+[6]ciiu_desagregado!D6</f>
        <v>96.576873439999659</v>
      </c>
      <c r="H18" s="25">
        <f>+[6]ciiu_desagregado!E6</f>
        <v>241.10316449999931</v>
      </c>
      <c r="I18" s="22">
        <f t="shared" si="3"/>
        <v>149.64896451093907</v>
      </c>
      <c r="J18" s="22">
        <f t="shared" si="4"/>
        <v>14.889162338724827</v>
      </c>
      <c r="K18" s="16"/>
    </row>
    <row r="19" spans="1:11">
      <c r="A19" s="14"/>
      <c r="B19" s="9" t="str">
        <f>+[6]ciiu_desagregado!A7</f>
        <v>Maquinaria de oficina</v>
      </c>
      <c r="C19" s="22">
        <f>+[6]ciiu_desagregado!B7</f>
        <v>636.48256831999754</v>
      </c>
      <c r="D19" s="25">
        <f>+[6]ciiu_desagregado!C7</f>
        <v>847.06671650999181</v>
      </c>
      <c r="E19" s="22">
        <f t="shared" si="0"/>
        <v>33.085611243970646</v>
      </c>
      <c r="F19" s="22">
        <f t="shared" si="1"/>
        <v>5.8656890063623655</v>
      </c>
      <c r="G19" s="22">
        <f>+[6]ciiu_desagregado!D7</f>
        <v>75.202176859999994</v>
      </c>
      <c r="H19" s="25">
        <f>+[6]ciiu_desagregado!E7</f>
        <v>89.389937840000101</v>
      </c>
      <c r="I19" s="22">
        <f t="shared" si="3"/>
        <v>18.866157300755717</v>
      </c>
      <c r="J19" s="22">
        <f t="shared" si="4"/>
        <v>5.5202149615430969</v>
      </c>
      <c r="K19" s="16"/>
    </row>
    <row r="20" spans="1:11">
      <c r="A20" s="14"/>
      <c r="B20" s="9" t="str">
        <f>+[6]ciiu_desagregado!A8</f>
        <v>Instrumentos médicos</v>
      </c>
      <c r="C20" s="22">
        <f>+[6]ciiu_desagregado!B8</f>
        <v>600.38098049999996</v>
      </c>
      <c r="D20" s="25">
        <f>+[6]ciiu_desagregado!C8</f>
        <v>767.80063549000431</v>
      </c>
      <c r="E20" s="22">
        <f t="shared" si="0"/>
        <v>27.885569401378518</v>
      </c>
      <c r="F20" s="22">
        <f t="shared" si="1"/>
        <v>5.316794602941564</v>
      </c>
      <c r="G20" s="22">
        <f>+[6]ciiu_desagregado!D8</f>
        <v>69.430411660000061</v>
      </c>
      <c r="H20" s="25">
        <f>+[6]ciiu_desagregado!E8</f>
        <v>80.079995320000222</v>
      </c>
      <c r="I20" s="22">
        <f t="shared" si="3"/>
        <v>15.338499953235264</v>
      </c>
      <c r="J20" s="22">
        <f t="shared" si="4"/>
        <v>4.94528577788041</v>
      </c>
      <c r="K20" s="16"/>
    </row>
    <row r="21" spans="1:11">
      <c r="A21" s="14"/>
      <c r="B21" s="9" t="str">
        <f>+[6]ciiu_desagregado!A9</f>
        <v>Aparatos eléctricos</v>
      </c>
      <c r="C21" s="22">
        <f>+[6]ciiu_desagregado!B9</f>
        <v>446.85304672999837</v>
      </c>
      <c r="D21" s="25">
        <f>+[6]ciiu_desagregado!C9</f>
        <v>554.83888425000418</v>
      </c>
      <c r="E21" s="22">
        <f t="shared" si="0"/>
        <v>24.16585011789212</v>
      </c>
      <c r="F21" s="22">
        <f t="shared" si="1"/>
        <v>3.842096826866908</v>
      </c>
      <c r="G21" s="22">
        <f>+[6]ciiu_desagregado!D9</f>
        <v>45.385481579999926</v>
      </c>
      <c r="H21" s="25">
        <f>+[6]ciiu_desagregado!E9</f>
        <v>56.811613159999844</v>
      </c>
      <c r="I21" s="22">
        <f t="shared" si="3"/>
        <v>25.175741629753002</v>
      </c>
      <c r="J21" s="22">
        <f t="shared" si="4"/>
        <v>3.5083626248467419</v>
      </c>
      <c r="K21" s="16"/>
    </row>
    <row r="22" spans="1:11">
      <c r="A22" s="14"/>
      <c r="B22" s="9" t="str">
        <f>+[6]ciiu_desagregado!A10</f>
        <v>Alimentos y bebidas</v>
      </c>
      <c r="C22" s="22">
        <f>+[6]ciiu_desagregado!B10</f>
        <v>380.66521082000094</v>
      </c>
      <c r="D22" s="25">
        <f>+[6]ciiu_desagregado!C10</f>
        <v>542.70714570000143</v>
      </c>
      <c r="E22" s="22">
        <f t="shared" si="0"/>
        <v>42.568096656624263</v>
      </c>
      <c r="F22" s="22">
        <f t="shared" si="1"/>
        <v>3.758088089356828</v>
      </c>
      <c r="G22" s="22">
        <f>+[6]ciiu_desagregado!D10</f>
        <v>46.579993440000102</v>
      </c>
      <c r="H22" s="25">
        <f>+[6]ciiu_desagregado!E10</f>
        <v>59.678591419999968</v>
      </c>
      <c r="I22" s="22">
        <f t="shared" si="3"/>
        <v>28.12065226430791</v>
      </c>
      <c r="J22" s="22">
        <f t="shared" si="4"/>
        <v>3.6854109220902096</v>
      </c>
      <c r="K22" s="16"/>
    </row>
    <row r="23" spans="1:11">
      <c r="A23" s="14"/>
      <c r="B23" s="9" t="str">
        <f>+[6]ciiu_desagregado!A11</f>
        <v>Productos metalúrgicos</v>
      </c>
      <c r="C23" s="22">
        <f>+[6]ciiu_desagregado!B11</f>
        <v>317.75222934000072</v>
      </c>
      <c r="D23" s="25">
        <f>+[6]ciiu_desagregado!C11</f>
        <v>527.80436332000158</v>
      </c>
      <c r="E23" s="22">
        <f t="shared" si="0"/>
        <v>66.105636588702325</v>
      </c>
      <c r="F23" s="22">
        <f t="shared" si="1"/>
        <v>3.6548906846344043</v>
      </c>
      <c r="G23" s="22">
        <f>+[6]ciiu_desagregado!D11</f>
        <v>23.805587219999989</v>
      </c>
      <c r="H23" s="25">
        <f>+[6]ciiu_desagregado!E11</f>
        <v>70.892676790000024</v>
      </c>
      <c r="I23" s="22">
        <f t="shared" si="3"/>
        <v>197.7984795537426</v>
      </c>
      <c r="J23" s="22">
        <f t="shared" si="4"/>
        <v>4.3779291555215689</v>
      </c>
      <c r="K23" s="16"/>
    </row>
    <row r="24" spans="1:11">
      <c r="A24" s="14"/>
      <c r="B24" s="9" t="str">
        <f>+[6]ciiu_desagregado!A12</f>
        <v>Textiles</v>
      </c>
      <c r="C24" s="22">
        <f>+[6]ciiu_desagregado!B12</f>
        <v>290.95389177999988</v>
      </c>
      <c r="D24" s="25">
        <f>+[6]ciiu_desagregado!C12</f>
        <v>397.8923628800012</v>
      </c>
      <c r="E24" s="22">
        <f t="shared" si="0"/>
        <v>36.754439146963236</v>
      </c>
      <c r="F24" s="22">
        <f t="shared" si="1"/>
        <v>2.7552881174185972</v>
      </c>
      <c r="G24" s="22">
        <f>+[6]ciiu_desagregado!D12</f>
        <v>32.082408909999977</v>
      </c>
      <c r="H24" s="25">
        <f>+[6]ciiu_desagregado!E12</f>
        <v>51.002534730000029</v>
      </c>
      <c r="I24" s="22">
        <f t="shared" si="3"/>
        <v>58.973519953181295</v>
      </c>
      <c r="J24" s="22">
        <f t="shared" si="4"/>
        <v>3.1496269277769002</v>
      </c>
      <c r="K24" s="16"/>
    </row>
    <row r="25" spans="1:11">
      <c r="A25" s="14"/>
      <c r="B25" s="9" t="str">
        <f>+[6]ciiu_desagregado!A13</f>
        <v>Caucho y de plástico</v>
      </c>
      <c r="C25" s="22">
        <f>+[6]ciiu_desagregado!B13</f>
        <v>264.15190699000181</v>
      </c>
      <c r="D25" s="25">
        <f>+[6]ciiu_desagregado!C13</f>
        <v>369.94068594000129</v>
      </c>
      <c r="E25" s="22">
        <f t="shared" si="0"/>
        <v>40.048463081511507</v>
      </c>
      <c r="F25" s="22">
        <f t="shared" si="1"/>
        <v>2.5617309383431803</v>
      </c>
      <c r="G25" s="22">
        <f>+[6]ciiu_desagregado!D13</f>
        <v>29.545497540000007</v>
      </c>
      <c r="H25" s="25">
        <f>+[6]ciiu_desagregado!E13</f>
        <v>43.81128159</v>
      </c>
      <c r="I25" s="22">
        <f t="shared" si="3"/>
        <v>48.284121906176544</v>
      </c>
      <c r="J25" s="22">
        <f t="shared" si="4"/>
        <v>2.705535969276331</v>
      </c>
      <c r="K25" s="16"/>
    </row>
    <row r="26" spans="1:11">
      <c r="A26" s="14"/>
      <c r="B26" s="9" t="str">
        <f>+[6]ciiu_desagregado!A14</f>
        <v>Agricultura</v>
      </c>
      <c r="C26" s="22">
        <f>+[6]ciiu_desagregado!B14</f>
        <v>256.11200726999988</v>
      </c>
      <c r="D26" s="25">
        <f>+[6]ciiu_desagregado!C14</f>
        <v>342.29979310999812</v>
      </c>
      <c r="E26" s="22">
        <f t="shared" si="0"/>
        <v>33.652379971836631</v>
      </c>
      <c r="F26" s="22">
        <f t="shared" si="1"/>
        <v>2.370325848237651</v>
      </c>
      <c r="G26" s="22">
        <f>+[6]ciiu_desagregado!D14</f>
        <v>27.920685330000001</v>
      </c>
      <c r="H26" s="25">
        <f>+[6]ciiu_desagregado!E14</f>
        <v>22.538195279999972</v>
      </c>
      <c r="I26" s="22">
        <f t="shared" si="3"/>
        <v>-19.277786294939879</v>
      </c>
      <c r="J26" s="22">
        <f t="shared" si="4"/>
        <v>1.3918309576803674</v>
      </c>
      <c r="K26" s="16"/>
    </row>
    <row r="27" spans="1:11">
      <c r="A27" s="14"/>
      <c r="B27" s="9" t="str">
        <f>+[6]ciiu_desagregado!A15</f>
        <v>Productos de metal</v>
      </c>
      <c r="C27" s="22">
        <f>+[6]ciiu_desagregado!B15</f>
        <v>179.16768528000156</v>
      </c>
      <c r="D27" s="25">
        <f>+[6]ciiu_desagregado!C15</f>
        <v>256.5977796200001</v>
      </c>
      <c r="E27" s="22">
        <f t="shared" si="0"/>
        <v>43.216551142574346</v>
      </c>
      <c r="F27" s="22">
        <f t="shared" si="1"/>
        <v>1.7768644967840304</v>
      </c>
      <c r="G27" s="22">
        <f>+[6]ciiu_desagregado!D15</f>
        <v>21.860717720000029</v>
      </c>
      <c r="H27" s="25">
        <f>+[6]ciiu_desagregado!E15</f>
        <v>32.465438510000091</v>
      </c>
      <c r="I27" s="22">
        <f t="shared" si="3"/>
        <v>48.510396254272891</v>
      </c>
      <c r="J27" s="22">
        <f t="shared" si="4"/>
        <v>2.004881127859611</v>
      </c>
      <c r="K27" s="16"/>
    </row>
    <row r="28" spans="1:11">
      <c r="A28" s="14"/>
      <c r="B28" s="9" t="str">
        <f>+[6]ciiu_desagregado!A16</f>
        <v>Muebles industrias</v>
      </c>
      <c r="C28" s="22">
        <f>+[6]ciiu_desagregado!B16</f>
        <v>186.23837700999934</v>
      </c>
      <c r="D28" s="25">
        <f>+[6]ciiu_desagregado!C16</f>
        <v>249.02350548999866</v>
      </c>
      <c r="E28" s="22">
        <f t="shared" si="0"/>
        <v>33.712239919610298</v>
      </c>
      <c r="F28" s="22">
        <f t="shared" si="1"/>
        <v>1.7244148660411605</v>
      </c>
      <c r="G28" s="22">
        <f>+[6]ciiu_desagregado!D16</f>
        <v>25.713811420000035</v>
      </c>
      <c r="H28" s="25">
        <f>+[6]ciiu_desagregado!E16</f>
        <v>34.823987379999977</v>
      </c>
      <c r="I28" s="22">
        <f t="shared" si="3"/>
        <v>35.42911554882955</v>
      </c>
      <c r="J28" s="22">
        <f t="shared" si="4"/>
        <v>2.1505317130855235</v>
      </c>
      <c r="K28" s="16"/>
    </row>
    <row r="29" spans="1:11">
      <c r="A29" s="14"/>
      <c r="B29" s="9" t="str">
        <f>+[6]ciiu_desagregado!A17</f>
        <v>Papel</v>
      </c>
      <c r="C29" s="22">
        <f>+[6]ciiu_desagregado!B17</f>
        <v>158.43010016999932</v>
      </c>
      <c r="D29" s="25">
        <f>+[6]ciiu_desagregado!C17</f>
        <v>221.3051241399989</v>
      </c>
      <c r="E29" s="22">
        <f t="shared" si="0"/>
        <v>39.686286824620545</v>
      </c>
      <c r="F29" s="22">
        <f t="shared" si="1"/>
        <v>1.5324731906218603</v>
      </c>
      <c r="G29" s="22">
        <f>+[6]ciiu_desagregado!D17</f>
        <v>19.983666919999987</v>
      </c>
      <c r="H29" s="25">
        <f>+[6]ciiu_desagregado!E17</f>
        <v>24.733575179999971</v>
      </c>
      <c r="I29" s="22">
        <f t="shared" si="3"/>
        <v>23.768952309979685</v>
      </c>
      <c r="J29" s="22">
        <f t="shared" si="4"/>
        <v>1.5274051538716975</v>
      </c>
      <c r="K29" s="16"/>
    </row>
    <row r="30" spans="1:11">
      <c r="A30" s="14"/>
      <c r="B30" s="9" t="str">
        <f>+[6]ciiu_desagregado!A18</f>
        <v>Cueros</v>
      </c>
      <c r="C30" s="22">
        <f>+[6]ciiu_desagregado!B18</f>
        <v>99.506752100000483</v>
      </c>
      <c r="D30" s="25">
        <f>+[6]ciiu_desagregado!C18</f>
        <v>142.37242665000014</v>
      </c>
      <c r="E30" s="22">
        <f t="shared" si="0"/>
        <v>43.078156653049327</v>
      </c>
      <c r="F30" s="22">
        <f t="shared" si="1"/>
        <v>0.9858873705376987</v>
      </c>
      <c r="G30" s="22">
        <f>+[6]ciiu_desagregado!D18</f>
        <v>17.208800400000023</v>
      </c>
      <c r="H30" s="25">
        <f>+[6]ciiu_desagregado!E18</f>
        <v>23.795193399999974</v>
      </c>
      <c r="I30" s="22">
        <f t="shared" si="3"/>
        <v>38.273399928561801</v>
      </c>
      <c r="J30" s="22">
        <f t="shared" si="4"/>
        <v>1.4694560237261183</v>
      </c>
      <c r="K30" s="16"/>
    </row>
    <row r="31" spans="1:11">
      <c r="A31" s="14"/>
      <c r="B31" s="9" t="str">
        <f>+[6]ciiu_desagregado!A19</f>
        <v>Minerales no metálicos</v>
      </c>
      <c r="C31" s="22">
        <f>+[6]ciiu_desagregado!B19</f>
        <v>108.49207157999989</v>
      </c>
      <c r="D31" s="25">
        <f>+[6]ciiu_desagregado!C19</f>
        <v>134.19355591000121</v>
      </c>
      <c r="E31" s="22">
        <f t="shared" si="0"/>
        <v>23.689735070686304</v>
      </c>
      <c r="F31" s="22">
        <f t="shared" si="1"/>
        <v>0.92925108528530243</v>
      </c>
      <c r="G31" s="22">
        <f>+[6]ciiu_desagregado!D19</f>
        <v>13.227439109999983</v>
      </c>
      <c r="H31" s="25">
        <f>+[6]ciiu_desagregado!E19</f>
        <v>19.910118749999992</v>
      </c>
      <c r="I31" s="22">
        <f t="shared" si="3"/>
        <v>50.52134116382274</v>
      </c>
      <c r="J31" s="22">
        <f t="shared" si="4"/>
        <v>1.2295358746817266</v>
      </c>
      <c r="K31" s="16"/>
    </row>
    <row r="32" spans="1:11">
      <c r="A32" s="14"/>
      <c r="B32" s="9" t="str">
        <f>+[6]ciiu_desagregado!A20</f>
        <v>Refinación del petróleo</v>
      </c>
      <c r="C32" s="22">
        <f>+[6]ciiu_desagregado!B20</f>
        <v>34.963296889999931</v>
      </c>
      <c r="D32" s="25">
        <f>+[6]ciiu_desagregado!C20</f>
        <v>116.85241043000028</v>
      </c>
      <c r="E32" s="22">
        <f t="shared" si="0"/>
        <v>234.21450728069627</v>
      </c>
      <c r="F32" s="22">
        <f t="shared" si="1"/>
        <v>0.80916873000299339</v>
      </c>
      <c r="G32" s="22">
        <f>+[6]ciiu_desagregado!D20</f>
        <v>2.843139310000002</v>
      </c>
      <c r="H32" s="25">
        <f>+[6]ciiu_desagregado!E20</f>
        <v>69.195971320000041</v>
      </c>
      <c r="I32" s="22">
        <f t="shared" si="3"/>
        <v>2333.7875768739591</v>
      </c>
      <c r="J32" s="22">
        <f t="shared" si="4"/>
        <v>4.2731502604115787</v>
      </c>
      <c r="K32" s="16"/>
    </row>
    <row r="33" spans="1:11">
      <c r="A33" s="14"/>
      <c r="B33" s="9" t="str">
        <f>+[6]ciiu_desagregado!A21</f>
        <v>Prendas de vestir</v>
      </c>
      <c r="C33" s="22">
        <f>+[6]ciiu_desagregado!B21</f>
        <v>87.789638340000195</v>
      </c>
      <c r="D33" s="25">
        <f>+[6]ciiu_desagregado!C21</f>
        <v>106.23940039999914</v>
      </c>
      <c r="E33" s="22">
        <f t="shared" si="0"/>
        <v>21.015876598722194</v>
      </c>
      <c r="F33" s="22">
        <f t="shared" si="1"/>
        <v>0.73567674283829998</v>
      </c>
      <c r="G33" s="22">
        <f>+[6]ciiu_desagregado!D21</f>
        <v>11.236092659999999</v>
      </c>
      <c r="H33" s="25">
        <f>+[6]ciiu_desagregado!E21</f>
        <v>13.704878039999979</v>
      </c>
      <c r="I33" s="22">
        <f t="shared" si="3"/>
        <v>21.971920797598511</v>
      </c>
      <c r="J33" s="22">
        <f t="shared" si="4"/>
        <v>0.84633544480078848</v>
      </c>
      <c r="K33" s="16"/>
    </row>
    <row r="34" spans="1:11">
      <c r="A34" s="14"/>
      <c r="B34" s="9" t="str">
        <f>+[6]ciiu_desagregado!A22</f>
        <v>Edición</v>
      </c>
      <c r="C34" s="22">
        <f>+[6]ciiu_desagregado!B22</f>
        <v>76.458532919999925</v>
      </c>
      <c r="D34" s="25">
        <f>+[6]ciiu_desagregado!C22</f>
        <v>105.42420544000035</v>
      </c>
      <c r="E34" s="22">
        <f t="shared" si="0"/>
        <v>37.884159444058099</v>
      </c>
      <c r="F34" s="22">
        <f t="shared" si="1"/>
        <v>0.73003175641431683</v>
      </c>
      <c r="G34" s="22">
        <f>+[6]ciiu_desagregado!D22</f>
        <v>7.2380613599999926</v>
      </c>
      <c r="H34" s="25">
        <f>+[6]ciiu_desagregado!E22</f>
        <v>8.1208709199999909</v>
      </c>
      <c r="I34" s="22">
        <f t="shared" si="3"/>
        <v>12.196768113609902</v>
      </c>
      <c r="J34" s="22">
        <f t="shared" si="4"/>
        <v>0.50149887377239233</v>
      </c>
      <c r="K34" s="16"/>
    </row>
    <row r="35" spans="1:11">
      <c r="A35" s="14"/>
      <c r="B35" s="9" t="str">
        <f>+[6]ciiu_desagregado!A23</f>
        <v>Madera</v>
      </c>
      <c r="C35" s="22">
        <f>+[6]ciiu_desagregado!B23</f>
        <v>46.874839789999832</v>
      </c>
      <c r="D35" s="25">
        <f>+[6]ciiu_desagregado!C23</f>
        <v>73.590098820000037</v>
      </c>
      <c r="E35" s="22">
        <f t="shared" si="0"/>
        <v>56.992747387905894</v>
      </c>
      <c r="F35" s="22">
        <f t="shared" si="1"/>
        <v>0.5095898885085075</v>
      </c>
      <c r="G35" s="22">
        <f>+[6]ciiu_desagregado!D23</f>
        <v>4.9426374300000013</v>
      </c>
      <c r="H35" s="25">
        <f>+[6]ciiu_desagregado!E23</f>
        <v>10.974334499999982</v>
      </c>
      <c r="I35" s="22">
        <f t="shared" si="3"/>
        <v>122.03397792016438</v>
      </c>
      <c r="J35" s="22">
        <f t="shared" si="4"/>
        <v>0.67771258112196509</v>
      </c>
      <c r="K35" s="16"/>
    </row>
    <row r="36" spans="1:11">
      <c r="A36" s="14"/>
      <c r="B36" s="9" t="str">
        <f>+[6]ciiu_desagregado!A24</f>
        <v>Minerales no metálicos</v>
      </c>
      <c r="C36" s="22">
        <f>+[6]ciiu_desagregado!B24</f>
        <v>13.080474200000024</v>
      </c>
      <c r="D36" s="25">
        <f>+[6]ciiu_desagregado!C24</f>
        <v>21.227782430000005</v>
      </c>
      <c r="E36" s="22">
        <f t="shared" si="0"/>
        <v>62.286031113458918</v>
      </c>
      <c r="F36" s="22">
        <f t="shared" si="1"/>
        <v>0.14699617822563146</v>
      </c>
      <c r="G36" s="22">
        <f>+[6]ciiu_desagregado!D24</f>
        <v>2.1570465699999999</v>
      </c>
      <c r="H36" s="25">
        <f>+[6]ciiu_desagregado!E24</f>
        <v>4.4648363500000006</v>
      </c>
      <c r="I36" s="22">
        <f t="shared" si="3"/>
        <v>106.98840776534561</v>
      </c>
      <c r="J36" s="22">
        <f t="shared" si="4"/>
        <v>0.27572293946805421</v>
      </c>
      <c r="K36" s="16"/>
    </row>
    <row r="37" spans="1:11">
      <c r="A37" s="14"/>
      <c r="B37" s="9" t="str">
        <f>+[6]ciiu_desagregado!A25</f>
        <v>Tabaco</v>
      </c>
      <c r="C37" s="22">
        <f>+[6]ciiu_desagregado!B25</f>
        <v>5.5380302100000041</v>
      </c>
      <c r="D37" s="25">
        <f>+[6]ciiu_desagregado!C25</f>
        <v>16.334371240000007</v>
      </c>
      <c r="E37" s="22">
        <f t="shared" si="0"/>
        <v>194.94911765748557</v>
      </c>
      <c r="F37" s="22">
        <f t="shared" si="1"/>
        <v>0.11311073843518139</v>
      </c>
      <c r="G37" s="22">
        <f>+[6]ciiu_desagregado!D25</f>
        <v>1.0661540300000001</v>
      </c>
      <c r="H37" s="25">
        <f>+[6]ciiu_desagregado!E25</f>
        <v>1.9468504099999997</v>
      </c>
      <c r="I37" s="22">
        <f t="shared" si="3"/>
        <v>82.604985322805518</v>
      </c>
      <c r="J37" s="22">
        <f t="shared" si="4"/>
        <v>0.12022642616000614</v>
      </c>
      <c r="K37" s="16"/>
    </row>
    <row r="38" spans="1:11">
      <c r="A38" s="14"/>
      <c r="B38" s="9" t="str">
        <f>+[6]ciiu_desagregado!A26</f>
        <v>Sin información</v>
      </c>
      <c r="C38" s="22">
        <f>+[6]ciiu_desagregado!B26</f>
        <v>7.4650176400000037</v>
      </c>
      <c r="D38" s="25">
        <f>+[6]ciiu_desagregado!C26</f>
        <v>8.9066635899999991</v>
      </c>
      <c r="E38" s="22">
        <f t="shared" si="0"/>
        <v>19.312023353771934</v>
      </c>
      <c r="F38" s="22">
        <f t="shared" si="1"/>
        <v>6.1676037654366619E-2</v>
      </c>
      <c r="G38" s="22">
        <f>+[6]ciiu_desagregado!D26</f>
        <v>0.65050891999999971</v>
      </c>
      <c r="H38" s="25">
        <f>+[6]ciiu_desagregado!E26</f>
        <v>1.2684746099999999</v>
      </c>
      <c r="I38" s="22">
        <f t="shared" si="3"/>
        <v>94.997266140485891</v>
      </c>
      <c r="J38" s="22">
        <f t="shared" si="4"/>
        <v>7.8333788899069862E-2</v>
      </c>
      <c r="K38" s="16"/>
    </row>
    <row r="39" spans="1:11">
      <c r="A39" s="14"/>
      <c r="B39" s="9" t="str">
        <f>+[6]ciiu_desagregado!A27</f>
        <v>Minerales metalíferos</v>
      </c>
      <c r="C39" s="22">
        <f>+[6]ciiu_desagregado!B27</f>
        <v>2.4383758699999989</v>
      </c>
      <c r="D39" s="25">
        <f>+[6]ciiu_desagregado!C27</f>
        <v>2.4595956300000004</v>
      </c>
      <c r="E39" s="22">
        <f t="shared" si="0"/>
        <v>0.87024155139796555</v>
      </c>
      <c r="F39" s="22">
        <f t="shared" si="1"/>
        <v>1.7031979613636179E-2</v>
      </c>
      <c r="G39" s="22">
        <f>+[6]ciiu_desagregado!D27</f>
        <v>0.15181222</v>
      </c>
      <c r="H39" s="25">
        <f>+[6]ciiu_desagregado!E27</f>
        <v>0.42908617999999993</v>
      </c>
      <c r="I39" s="22">
        <f t="shared" si="3"/>
        <v>182.64271479594987</v>
      </c>
      <c r="J39" s="22">
        <f t="shared" si="4"/>
        <v>2.6497925917199308E-2</v>
      </c>
      <c r="K39" s="16"/>
    </row>
    <row r="40" spans="1:11">
      <c r="A40" s="14"/>
      <c r="B40" s="9" t="str">
        <f>+[6]ciiu_desagregado!A28</f>
        <v>Silvicultura</v>
      </c>
      <c r="C40" s="22">
        <f>+[6]ciiu_desagregado!B28</f>
        <v>1.9037332199999994</v>
      </c>
      <c r="D40" s="25">
        <f>+[6]ciiu_desagregado!C28</f>
        <v>1.8210543099999998</v>
      </c>
      <c r="E40" s="22">
        <f t="shared" si="0"/>
        <v>-4.3429882470611965</v>
      </c>
      <c r="F40" s="22">
        <f t="shared" si="1"/>
        <v>1.2610267925725779E-2</v>
      </c>
      <c r="G40" s="22">
        <f>+[6]ciiu_desagregado!D28</f>
        <v>0.11299925</v>
      </c>
      <c r="H40" s="25">
        <f>+[6]ciiu_desagregado!E28</f>
        <v>0.23975121000000005</v>
      </c>
      <c r="I40" s="22">
        <f t="shared" si="3"/>
        <v>112.17062060146424</v>
      </c>
      <c r="J40" s="22">
        <f t="shared" si="4"/>
        <v>1.4805673305858736E-2</v>
      </c>
      <c r="K40" s="16"/>
    </row>
    <row r="41" spans="1:11">
      <c r="A41" s="14"/>
      <c r="B41" s="9" t="str">
        <f>+[6]ciiu_desagregado!A29</f>
        <v>Pesca</v>
      </c>
      <c r="C41" s="22">
        <f>+[6]ciiu_desagregado!B29</f>
        <v>1.3462128200000005</v>
      </c>
      <c r="D41" s="25">
        <f>+[6]ciiu_desagregado!C29</f>
        <v>1.3594526500000008</v>
      </c>
      <c r="E41" s="22">
        <f t="shared" si="0"/>
        <v>0.98348714284270944</v>
      </c>
      <c r="F41" s="22">
        <f t="shared" si="1"/>
        <v>9.4138115786551839E-3</v>
      </c>
      <c r="G41" s="22">
        <f>+[6]ciiu_desagregado!D29</f>
        <v>0.13486281999999999</v>
      </c>
      <c r="H41" s="25">
        <f>+[6]ciiu_desagregado!E29</f>
        <v>0.14452457000000002</v>
      </c>
      <c r="I41" s="22">
        <f t="shared" si="3"/>
        <v>7.164131670982421</v>
      </c>
      <c r="J41" s="22">
        <f t="shared" si="4"/>
        <v>8.9250167625419385E-3</v>
      </c>
      <c r="K41" s="16"/>
    </row>
    <row r="42" spans="1:11">
      <c r="A42" s="14"/>
      <c r="B42" s="9" t="str">
        <f>+[6]ciiu_desagregado!A30</f>
        <v>Reciclaje</v>
      </c>
      <c r="C42" s="22">
        <f>+[6]ciiu_desagregado!B30</f>
        <v>0.61150842000000005</v>
      </c>
      <c r="D42" s="25">
        <f>+[6]ciiu_desagregado!C30</f>
        <v>0.85853038000000004</v>
      </c>
      <c r="E42" s="22">
        <f t="shared" si="0"/>
        <v>40.395512460809613</v>
      </c>
      <c r="F42" s="22">
        <f t="shared" si="1"/>
        <v>5.9450715196820063E-3</v>
      </c>
      <c r="G42" s="22">
        <f>+[6]ciiu_desagregado!D30</f>
        <v>5.8442189999999998E-2</v>
      </c>
      <c r="H42" s="25">
        <f>+[6]ciiu_desagregado!E30</f>
        <v>0.13494192000000002</v>
      </c>
      <c r="I42" s="22">
        <f t="shared" si="3"/>
        <v>130.89812342761289</v>
      </c>
      <c r="J42" s="22">
        <f t="shared" si="4"/>
        <v>8.3332467134798836E-3</v>
      </c>
      <c r="K42" s="16"/>
    </row>
    <row r="43" spans="1:11">
      <c r="A43" s="14"/>
      <c r="B43" s="9" t="str">
        <f>+[6]ciiu_desagregado!A31</f>
        <v>Esparcimiento</v>
      </c>
      <c r="C43" s="22">
        <f>+[6]ciiu_desagregado!B31</f>
        <v>0.62711635999999971</v>
      </c>
      <c r="D43" s="25">
        <f>+[6]ciiu_desagregado!C31</f>
        <v>0.85807904999999973</v>
      </c>
      <c r="E43" s="22">
        <f t="shared" si="0"/>
        <v>36.829319841057909</v>
      </c>
      <c r="F43" s="22">
        <f t="shared" si="1"/>
        <v>5.9419461915730812E-3</v>
      </c>
      <c r="G43" s="22">
        <f>+[6]ciiu_desagregado!D31</f>
        <v>4.2475460000000007E-2</v>
      </c>
      <c r="H43" s="25">
        <f>+[6]ciiu_desagregado!E31</f>
        <v>0.15394456999999998</v>
      </c>
      <c r="I43" s="22">
        <f t="shared" si="3"/>
        <v>262.43179002652346</v>
      </c>
      <c r="J43" s="22">
        <f t="shared" si="4"/>
        <v>9.5067424712096376E-3</v>
      </c>
      <c r="K43" s="16"/>
    </row>
    <row r="44" spans="1:11">
      <c r="A44" s="14"/>
      <c r="B44" s="9" t="str">
        <f>+[6]ciiu_desagregado!A32</f>
        <v>Carbón</v>
      </c>
      <c r="C44" s="22">
        <f>+[6]ciiu_desagregado!B32</f>
        <v>0.73742808000000037</v>
      </c>
      <c r="D44" s="25">
        <f>+[6]ciiu_desagregado!C32</f>
        <v>0.83842107999999982</v>
      </c>
      <c r="E44" s="22">
        <f t="shared" si="0"/>
        <v>13.695301648941726</v>
      </c>
      <c r="F44" s="22">
        <f t="shared" si="1"/>
        <v>5.8058205048131519E-3</v>
      </c>
      <c r="G44" s="22">
        <f>+[6]ciiu_desagregado!D32</f>
        <v>6.2694790000000014E-2</v>
      </c>
      <c r="H44" s="25">
        <f>+[6]ciiu_desagregado!E32</f>
        <v>6.7552269999999998E-2</v>
      </c>
      <c r="I44" s="22">
        <f t="shared" si="3"/>
        <v>7.7478208316831054</v>
      </c>
      <c r="J44" s="22">
        <f t="shared" si="4"/>
        <v>4.1716446006222936E-3</v>
      </c>
      <c r="K44" s="16"/>
    </row>
    <row r="45" spans="1:11">
      <c r="A45" s="14"/>
      <c r="B45" s="9" t="str">
        <f>+[6]ciiu_desagregado!A33</f>
        <v>Activ. empresariales</v>
      </c>
      <c r="C45" s="22">
        <f>+[6]ciiu_desagregado!B33</f>
        <v>0.15368261000000003</v>
      </c>
      <c r="D45" s="25">
        <f>+[6]ciiu_desagregado!C33</f>
        <v>0.51344842000000002</v>
      </c>
      <c r="E45" s="22">
        <f t="shared" si="0"/>
        <v>234.09662941044527</v>
      </c>
      <c r="F45" s="22">
        <f t="shared" si="1"/>
        <v>3.5554799802981051E-3</v>
      </c>
      <c r="G45" s="22">
        <f>+[6]ciiu_desagregado!D33</f>
        <v>0.10899803999999999</v>
      </c>
      <c r="H45" s="25">
        <f>+[6]ciiu_desagregado!E33</f>
        <v>1.5400000000000001E-6</v>
      </c>
      <c r="I45" s="22">
        <f t="shared" si="3"/>
        <v>-99.998587130557581</v>
      </c>
      <c r="J45" s="22">
        <f t="shared" si="4"/>
        <v>9.5101655132511958E-8</v>
      </c>
      <c r="K45" s="16"/>
    </row>
    <row r="46" spans="1:11">
      <c r="A46" s="14"/>
      <c r="B46" s="9" t="str">
        <f>+[6]ciiu_desagregado!A34</f>
        <v>Comercio al por mayor</v>
      </c>
      <c r="C46" s="22">
        <f>+[6]ciiu_desagregado!B34</f>
        <v>2.1376809999999996E-2</v>
      </c>
      <c r="D46" s="25">
        <f>+[6]ciiu_desagregado!C34</f>
        <v>4.0813719999999998E-2</v>
      </c>
      <c r="E46" s="22">
        <f t="shared" ref="E46" si="5">IF(OR(OR(D46=0,C46=0),D46=""),"",(D46/C46-1)*100)</f>
        <v>90.925212882558284</v>
      </c>
      <c r="F46" s="22">
        <f t="shared" ref="F46" si="6">(D46/D$13)*100</f>
        <v>2.8262306149757436E-4</v>
      </c>
      <c r="G46" s="22">
        <f>+[6]ciiu_desagregado!D34</f>
        <v>1.2483000000000001E-4</v>
      </c>
      <c r="H46" s="25">
        <f>+[6]ciiu_desagregado!E34</f>
        <v>0</v>
      </c>
      <c r="I46" s="22" t="str">
        <f t="shared" ref="I46" si="7">IF(OR(OR(H46=0,G46=0),H46=""),"",(H46/G46-1)*100)</f>
        <v/>
      </c>
      <c r="J46" s="22">
        <f t="shared" ref="J46" si="8">(H46/H$13)*100</f>
        <v>0</v>
      </c>
      <c r="K46" s="16"/>
    </row>
    <row r="47" spans="1:11">
      <c r="A47" s="14"/>
      <c r="B47" s="9" t="str">
        <f>+[6]ciiu_desagregado!A35</f>
        <v>Petróleo</v>
      </c>
      <c r="C47" s="22">
        <f>+[6]ciiu_desagregado!B35</f>
        <v>1.4578099999999999E-3</v>
      </c>
      <c r="D47" s="25">
        <f>+[6]ciiu_desagregado!C35</f>
        <v>7.2803399999999997E-3</v>
      </c>
      <c r="E47" s="22">
        <f t="shared" si="0"/>
        <v>399.40252845020956</v>
      </c>
      <c r="F47" s="22">
        <f t="shared" si="1"/>
        <v>5.0414222951087295E-5</v>
      </c>
      <c r="G47" s="22">
        <f>+[6]ciiu_desagregado!D35</f>
        <v>0</v>
      </c>
      <c r="H47" s="25">
        <f>+[6]ciiu_desagregado!E35</f>
        <v>1.7505999999999999E-4</v>
      </c>
      <c r="I47" s="22" t="str">
        <f t="shared" si="3"/>
        <v/>
      </c>
      <c r="J47" s="22">
        <f t="shared" si="4"/>
        <v>1.0810711524349053E-5</v>
      </c>
      <c r="K47" s="16"/>
    </row>
    <row r="48" spans="1:11">
      <c r="A48" s="14"/>
      <c r="B48" s="9" t="str">
        <f>+[6]ciiu_desagregado!A36</f>
        <v>Otras actividades</v>
      </c>
      <c r="C48" s="22">
        <f>+[6]ciiu_desagregado!B36</f>
        <v>1.893889E-2</v>
      </c>
      <c r="D48" s="25">
        <f>+[6]ciiu_desagregado!C36</f>
        <v>0</v>
      </c>
      <c r="E48" s="22" t="str">
        <f t="shared" si="0"/>
        <v/>
      </c>
      <c r="F48" s="22">
        <f t="shared" si="1"/>
        <v>0</v>
      </c>
      <c r="G48" s="22">
        <f>+[6]ciiu_desagregado!D36</f>
        <v>0</v>
      </c>
      <c r="H48" s="25">
        <f>+[6]ciiu_desagregado!E36</f>
        <v>0</v>
      </c>
      <c r="I48" s="22" t="str">
        <f t="shared" si="3"/>
        <v/>
      </c>
      <c r="J48" s="22">
        <f t="shared" si="4"/>
        <v>0</v>
      </c>
      <c r="K48" s="16"/>
    </row>
    <row r="49" spans="1:11">
      <c r="A49" s="14"/>
      <c r="B49" s="9"/>
      <c r="C49" s="4"/>
      <c r="D49" s="4"/>
      <c r="E49" s="4"/>
      <c r="F49" s="5"/>
      <c r="G49" s="5"/>
      <c r="H49" s="5"/>
      <c r="I49" s="6"/>
      <c r="J49" s="6"/>
      <c r="K49" s="16"/>
    </row>
    <row r="50" spans="1:11">
      <c r="A50" s="17"/>
      <c r="B50" s="39" t="s">
        <v>25</v>
      </c>
      <c r="C50" s="18"/>
      <c r="D50" s="18"/>
      <c r="E50" s="18"/>
      <c r="F50" s="18"/>
      <c r="G50" s="18"/>
      <c r="H50" s="18"/>
      <c r="I50" s="18"/>
      <c r="J50" s="18"/>
      <c r="K50" s="19"/>
    </row>
    <row r="51" spans="1:11">
      <c r="B51" s="20"/>
      <c r="C51" s="20"/>
      <c r="D51" s="89"/>
      <c r="E51" s="20"/>
    </row>
    <row r="52" spans="1:11">
      <c r="B52" s="20"/>
      <c r="C52" s="20"/>
      <c r="D52" s="89"/>
      <c r="E52" s="20"/>
    </row>
    <row r="53" spans="1:11">
      <c r="C53" s="20"/>
      <c r="D53" s="89"/>
    </row>
    <row r="54" spans="1:11">
      <c r="C54" s="20"/>
      <c r="D54" s="89"/>
    </row>
    <row r="55" spans="1:11">
      <c r="C55" s="20"/>
      <c r="D55" s="89"/>
    </row>
    <row r="56" spans="1:11">
      <c r="C56" s="20"/>
      <c r="D56" s="89"/>
    </row>
    <row r="57" spans="1:11">
      <c r="C57" s="20"/>
      <c r="D57" s="89"/>
    </row>
    <row r="58" spans="1:11">
      <c r="C58" s="20"/>
      <c r="D58" s="89"/>
    </row>
    <row r="59" spans="1:11">
      <c r="C59" s="20"/>
      <c r="D59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7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7" customWidth="1"/>
    <col min="2" max="2" width="28.5703125" style="7" customWidth="1"/>
    <col min="3" max="3" width="13" style="7" customWidth="1"/>
    <col min="4" max="4" width="12.5703125" style="7" customWidth="1"/>
    <col min="5" max="5" width="10.28515625" style="7" customWidth="1"/>
    <col min="6" max="6" width="9" style="7" customWidth="1"/>
    <col min="7" max="7" width="7" style="7" customWidth="1"/>
    <col min="8" max="8" width="7.140625" style="7" customWidth="1"/>
    <col min="9" max="9" width="10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69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57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7"/>
      <c r="D9" s="107"/>
      <c r="E9" s="107"/>
      <c r="F9" s="107"/>
      <c r="G9" s="107"/>
      <c r="H9" s="107"/>
      <c r="I9" s="8"/>
      <c r="J9" s="8"/>
      <c r="K9" s="16"/>
    </row>
    <row r="10" spans="1:14" ht="15.75" customHeight="1">
      <c r="A10" s="14"/>
      <c r="B10" s="9"/>
      <c r="C10" s="114" t="s">
        <v>140</v>
      </c>
      <c r="D10" s="114"/>
      <c r="E10" s="113" t="s">
        <v>1</v>
      </c>
      <c r="F10" s="113" t="s">
        <v>4</v>
      </c>
      <c r="G10" s="114" t="s">
        <v>141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107">
        <v>2009</v>
      </c>
      <c r="D11" s="107">
        <v>2010</v>
      </c>
      <c r="E11" s="113"/>
      <c r="F11" s="113"/>
      <c r="G11" s="107">
        <v>2009</v>
      </c>
      <c r="H11" s="107">
        <v>2010</v>
      </c>
      <c r="I11" s="113"/>
      <c r="J11" s="113"/>
      <c r="K11" s="16"/>
      <c r="N11" s="2"/>
    </row>
    <row r="12" spans="1:14" ht="12" customHeight="1">
      <c r="A12" s="14"/>
      <c r="B12" s="9"/>
      <c r="C12" s="107"/>
      <c r="D12" s="107"/>
      <c r="E12" s="107"/>
      <c r="F12" s="107"/>
      <c r="G12" s="107"/>
      <c r="H12" s="107"/>
      <c r="I12" s="107"/>
      <c r="J12" s="107"/>
      <c r="K12" s="16"/>
    </row>
    <row r="13" spans="1:14">
      <c r="A13" s="14"/>
      <c r="B13" s="10" t="s">
        <v>61</v>
      </c>
      <c r="C13" s="23">
        <f>+'Resumen importaciones totales'!C13</f>
        <v>11531.093251530019</v>
      </c>
      <c r="D13" s="23">
        <f>+'Resumen importaciones totales'!D13</f>
        <v>14441.043764700104</v>
      </c>
      <c r="E13" s="25">
        <f>IF(OR(OR(D13=0,C13=0),D13=""),"",(D13/C13-1)*100)</f>
        <v>25.235686241492971</v>
      </c>
      <c r="F13" s="23">
        <f>(D13/D$13)*100</f>
        <v>100</v>
      </c>
      <c r="G13" s="23">
        <f>+'Resumen importaciones totales'!G13</f>
        <v>1265.9982494300002</v>
      </c>
      <c r="H13" s="23">
        <f>+'Resumen importaciones totales'!H13</f>
        <v>1619.3198718299989</v>
      </c>
      <c r="I13" s="25">
        <f>IF(OR(OR(H13=0,G13=0),H13=""),"",(H13/G13-1)*100)</f>
        <v>27.908539570183244</v>
      </c>
      <c r="J13" s="23">
        <f>(H13/H$13)*100</f>
        <v>100</v>
      </c>
      <c r="K13" s="16"/>
    </row>
    <row r="14" spans="1:14">
      <c r="A14" s="14"/>
      <c r="B14" s="9" t="str">
        <f>+[6]capitulos!A2</f>
        <v>Equipo rodante de transporte</v>
      </c>
      <c r="C14" s="21">
        <f>+[6]capitulos!B2</f>
        <v>2164.8880748099987</v>
      </c>
      <c r="D14" s="23">
        <f>+[6]capitulos!C2</f>
        <v>1833.6362722900158</v>
      </c>
      <c r="E14" s="22">
        <f t="shared" ref="E14:E46" si="0">IF(OR(OR(D14=0,C14=0),D14=""),"",(D14/C14-1)*100)</f>
        <v>-15.301105233768508</v>
      </c>
      <c r="F14" s="22">
        <f t="shared" ref="F14:F46" si="1">(D14/D$13)*100</f>
        <v>12.697394330818268</v>
      </c>
      <c r="G14" s="21">
        <f>+[6]capitulos!D2</f>
        <v>190.69734326000005</v>
      </c>
      <c r="H14" s="23">
        <f>+[6]capitulos!E2</f>
        <v>90.178834359999925</v>
      </c>
      <c r="I14" s="22">
        <f t="shared" ref="I14:I46" si="2">IF(OR(OR(H14=0,G14=0),H14=""),"",(H14/G14-1)*100)</f>
        <v>-52.7110169348041</v>
      </c>
      <c r="J14" s="22">
        <f>(H14/H$13)*100</f>
        <v>5.5689327308809293</v>
      </c>
      <c r="K14" s="16"/>
    </row>
    <row r="15" spans="1:14">
      <c r="A15" s="14"/>
      <c r="B15" s="9" t="str">
        <f>+[6]capitulos!A3</f>
        <v>Químicos y farmacéuticos</v>
      </c>
      <c r="C15" s="21">
        <f>+[6]capitulos!B3</f>
        <v>1330.5951143799971</v>
      </c>
      <c r="D15" s="23">
        <f>+[6]capitulos!C3</f>
        <v>1715.7192209499924</v>
      </c>
      <c r="E15" s="22">
        <f t="shared" si="0"/>
        <v>28.94374873377221</v>
      </c>
      <c r="F15" s="22">
        <f t="shared" si="1"/>
        <v>11.880853274220533</v>
      </c>
      <c r="G15" s="21">
        <f>+[6]capitulos!D3</f>
        <v>152.73153991000032</v>
      </c>
      <c r="H15" s="23">
        <f>+[6]capitulos!E3</f>
        <v>193.85078967999993</v>
      </c>
      <c r="I15" s="22">
        <f t="shared" si="2"/>
        <v>26.922566088333699</v>
      </c>
      <c r="J15" s="22">
        <f t="shared" ref="J15:J46" si="3">(H15/H$13)*100</f>
        <v>11.971123991761337</v>
      </c>
      <c r="K15" s="16"/>
    </row>
    <row r="16" spans="1:14">
      <c r="A16" s="14"/>
      <c r="B16" s="9" t="str">
        <f>+[6]capitulos!A4</f>
        <v>Aparatos de oficina</v>
      </c>
      <c r="C16" s="21">
        <f>+[6]capitulos!B4</f>
        <v>1038.1873994399916</v>
      </c>
      <c r="D16" s="23">
        <f>+[6]capitulos!C4</f>
        <v>1373.7064713100149</v>
      </c>
      <c r="E16" s="22">
        <f t="shared" si="0"/>
        <v>32.317775389202907</v>
      </c>
      <c r="F16" s="22">
        <f t="shared" si="1"/>
        <v>9.5125151179717555</v>
      </c>
      <c r="G16" s="21">
        <f>+[6]capitulos!D4</f>
        <v>125.11660248000024</v>
      </c>
      <c r="H16" s="23">
        <f>+[6]capitulos!E4</f>
        <v>142.73508722000005</v>
      </c>
      <c r="I16" s="22">
        <f t="shared" si="2"/>
        <v>14.081652147496659</v>
      </c>
      <c r="J16" s="22">
        <f t="shared" si="3"/>
        <v>8.8145084676009464</v>
      </c>
      <c r="K16" s="16"/>
    </row>
    <row r="17" spans="1:11">
      <c r="A17" s="14"/>
      <c r="B17" s="9" t="str">
        <f>+[6]capitulos!A5</f>
        <v>Otro equipo fijo</v>
      </c>
      <c r="C17" s="21">
        <f>+[6]capitulos!B5</f>
        <v>905.62564977999091</v>
      </c>
      <c r="D17" s="23">
        <f>+[6]capitulos!C5</f>
        <v>1255.9541440900025</v>
      </c>
      <c r="E17" s="22">
        <f t="shared" si="0"/>
        <v>38.683587903580133</v>
      </c>
      <c r="F17" s="22">
        <f t="shared" si="1"/>
        <v>8.6971147276769223</v>
      </c>
      <c r="G17" s="21">
        <f>+[6]capitulos!D5</f>
        <v>86.868086849999827</v>
      </c>
      <c r="H17" s="23">
        <f>+[6]capitulos!E5</f>
        <v>141.49916890000046</v>
      </c>
      <c r="I17" s="22">
        <f t="shared" si="2"/>
        <v>62.889703262758957</v>
      </c>
      <c r="J17" s="22">
        <f t="shared" si="3"/>
        <v>8.7381851703018842</v>
      </c>
      <c r="K17" s="16"/>
    </row>
    <row r="18" spans="1:11">
      <c r="A18" s="14"/>
      <c r="B18" s="9" t="str">
        <f>+[6]capitulos!A6</f>
        <v>Maquinaria industrial</v>
      </c>
      <c r="C18" s="21">
        <f>+[6]capitulos!B6</f>
        <v>849.77638192999007</v>
      </c>
      <c r="D18" s="23">
        <f>+[6]capitulos!C6</f>
        <v>1014.9251458500081</v>
      </c>
      <c r="E18" s="22">
        <f t="shared" si="0"/>
        <v>19.434379141596803</v>
      </c>
      <c r="F18" s="22">
        <f t="shared" si="1"/>
        <v>7.0280594836981649</v>
      </c>
      <c r="G18" s="21">
        <f>+[6]capitulos!D6</f>
        <v>88.197601779999914</v>
      </c>
      <c r="H18" s="23">
        <f>+[6]capitulos!E6</f>
        <v>123.43402212999995</v>
      </c>
      <c r="I18" s="22">
        <f t="shared" si="2"/>
        <v>39.951676280148462</v>
      </c>
      <c r="J18" s="22">
        <f t="shared" si="3"/>
        <v>7.6225842884585084</v>
      </c>
      <c r="K18" s="16"/>
    </row>
    <row r="19" spans="1:11">
      <c r="A19" s="14"/>
      <c r="B19" s="9" t="str">
        <f>+[6]capitulos!A7</f>
        <v>Productos mineros</v>
      </c>
      <c r="C19" s="21">
        <f>+[6]capitulos!B7</f>
        <v>692.6549944699965</v>
      </c>
      <c r="D19" s="23">
        <f>+[6]capitulos!C7</f>
        <v>984.74016519998088</v>
      </c>
      <c r="E19" s="22">
        <f t="shared" si="0"/>
        <v>42.168925808942028</v>
      </c>
      <c r="F19" s="22">
        <f t="shared" si="1"/>
        <v>6.8190373303008327</v>
      </c>
      <c r="G19" s="21">
        <f>+[6]capitulos!D7</f>
        <v>76.184069220001078</v>
      </c>
      <c r="H19" s="23">
        <f>+[6]capitulos!E7</f>
        <v>118.27035794000004</v>
      </c>
      <c r="I19" s="22">
        <f t="shared" si="2"/>
        <v>55.242899402582424</v>
      </c>
      <c r="J19" s="22">
        <f t="shared" si="3"/>
        <v>7.3037057098757341</v>
      </c>
      <c r="K19" s="16"/>
    </row>
    <row r="20" spans="1:11">
      <c r="A20" s="14"/>
      <c r="B20" s="9" t="str">
        <f>+[6]capitulos!A8</f>
        <v>Farmacéuticos</v>
      </c>
      <c r="C20" s="21">
        <f>+[6]capitulos!B8</f>
        <v>697.45569975999672</v>
      </c>
      <c r="D20" s="23">
        <f>+[6]capitulos!C8</f>
        <v>807.30026523999481</v>
      </c>
      <c r="E20" s="22">
        <f t="shared" si="0"/>
        <v>15.749325085134004</v>
      </c>
      <c r="F20" s="22">
        <f t="shared" si="1"/>
        <v>5.5903179741991451</v>
      </c>
      <c r="G20" s="21">
        <f>+[6]capitulos!D8</f>
        <v>79.541868780000186</v>
      </c>
      <c r="H20" s="23">
        <f>+[6]capitulos!E8</f>
        <v>84.466214829999885</v>
      </c>
      <c r="I20" s="22">
        <f t="shared" si="2"/>
        <v>6.1908855367977855</v>
      </c>
      <c r="J20" s="22">
        <f t="shared" si="3"/>
        <v>5.21615378773462</v>
      </c>
      <c r="K20" s="16"/>
    </row>
    <row r="21" spans="1:11">
      <c r="A21" s="14"/>
      <c r="B21" s="9" t="str">
        <f>+[6]capitulos!A9</f>
        <v>Vehículos particulares</v>
      </c>
      <c r="C21" s="21">
        <f>+[6]capitulos!B9</f>
        <v>369.46288548999985</v>
      </c>
      <c r="D21" s="23">
        <f>+[6]capitulos!C9</f>
        <v>761.76068400999804</v>
      </c>
      <c r="E21" s="22">
        <f t="shared" si="0"/>
        <v>106.18057020794214</v>
      </c>
      <c r="F21" s="22">
        <f t="shared" si="1"/>
        <v>5.274969707328613</v>
      </c>
      <c r="G21" s="21">
        <f>+[6]capitulos!D9</f>
        <v>51.01087839000008</v>
      </c>
      <c r="H21" s="23">
        <f>+[6]capitulos!E9</f>
        <v>145.75153172000006</v>
      </c>
      <c r="I21" s="22">
        <f t="shared" si="2"/>
        <v>185.72637115884771</v>
      </c>
      <c r="J21" s="22">
        <f t="shared" si="3"/>
        <v>9.0007869510849492</v>
      </c>
      <c r="K21" s="16"/>
    </row>
    <row r="22" spans="1:11">
      <c r="A22" s="14"/>
      <c r="B22" s="9" t="str">
        <f>+[6]capitulos!A10</f>
        <v>Partes equipo de transporte</v>
      </c>
      <c r="C22" s="21">
        <f>+[6]capitulos!B10</f>
        <v>559.18238342000393</v>
      </c>
      <c r="D22" s="23">
        <f>+[6]capitulos!C10</f>
        <v>693.21555880999711</v>
      </c>
      <c r="E22" s="22">
        <f t="shared" si="0"/>
        <v>23.969491773012528</v>
      </c>
      <c r="F22" s="22">
        <f t="shared" si="1"/>
        <v>4.8003147840636231</v>
      </c>
      <c r="G22" s="21">
        <f>+[6]capitulos!D10</f>
        <v>54.65295686999967</v>
      </c>
      <c r="H22" s="23">
        <f>+[6]capitulos!E10</f>
        <v>69.659055519999953</v>
      </c>
      <c r="I22" s="22">
        <f t="shared" si="2"/>
        <v>27.457066386535246</v>
      </c>
      <c r="J22" s="22">
        <f t="shared" si="3"/>
        <v>4.3017477109867128</v>
      </c>
      <c r="K22" s="16"/>
    </row>
    <row r="23" spans="1:11">
      <c r="A23" s="14"/>
      <c r="B23" s="9" t="str">
        <f>+[6]capitulos!A11</f>
        <v>Agropecuarios no alimenticios</v>
      </c>
      <c r="C23" s="21">
        <f>+[6]capitulos!B11</f>
        <v>425.19488627999647</v>
      </c>
      <c r="D23" s="23">
        <f>+[6]capitulos!C11</f>
        <v>613.32980234999729</v>
      </c>
      <c r="E23" s="22">
        <f t="shared" si="0"/>
        <v>44.246749464929238</v>
      </c>
      <c r="F23" s="22">
        <f t="shared" si="1"/>
        <v>4.2471293096502452</v>
      </c>
      <c r="G23" s="21">
        <f>+[6]capitulos!D11</f>
        <v>50.777428540000045</v>
      </c>
      <c r="H23" s="23">
        <f>+[6]capitulos!E11</f>
        <v>78.848612859999889</v>
      </c>
      <c r="I23" s="22">
        <f t="shared" si="2"/>
        <v>55.282800108490513</v>
      </c>
      <c r="J23" s="22">
        <f t="shared" si="3"/>
        <v>4.8692425895380884</v>
      </c>
      <c r="K23" s="16"/>
    </row>
    <row r="24" spans="1:11">
      <c r="A24" s="14"/>
      <c r="B24" s="9" t="str">
        <f>+[6]capitulos!A12</f>
        <v>Aparatos domésticos</v>
      </c>
      <c r="C24" s="21">
        <f>+[6]capitulos!B12</f>
        <v>250.70383044999909</v>
      </c>
      <c r="D24" s="23">
        <f>+[6]capitulos!C12</f>
        <v>427.0656601700004</v>
      </c>
      <c r="E24" s="22">
        <f t="shared" si="0"/>
        <v>70.346683336844862</v>
      </c>
      <c r="F24" s="22">
        <f t="shared" si="1"/>
        <v>2.9573046597499131</v>
      </c>
      <c r="G24" s="21">
        <f>+[6]capitulos!D12</f>
        <v>40.310197869999989</v>
      </c>
      <c r="H24" s="23">
        <f>+[6]capitulos!E12</f>
        <v>35.414298869999989</v>
      </c>
      <c r="I24" s="22">
        <f t="shared" si="2"/>
        <v>-12.145559334114974</v>
      </c>
      <c r="J24" s="22">
        <f t="shared" si="3"/>
        <v>2.1869859986327573</v>
      </c>
      <c r="K24" s="16"/>
    </row>
    <row r="25" spans="1:11">
      <c r="A25" s="14"/>
      <c r="B25" s="9" t="str">
        <f>+[6]capitulos!A13</f>
        <v>Productos alimenticios</v>
      </c>
      <c r="C25" s="21">
        <f>+[6]capitulos!B13</f>
        <v>250.29487986999956</v>
      </c>
      <c r="D25" s="23">
        <f>+[6]capitulos!C13</f>
        <v>386.77209353000018</v>
      </c>
      <c r="E25" s="22">
        <f t="shared" si="0"/>
        <v>54.52657031213959</v>
      </c>
      <c r="F25" s="22">
        <f t="shared" si="1"/>
        <v>2.6782835079790526</v>
      </c>
      <c r="G25" s="21">
        <f>+[6]capitulos!D13</f>
        <v>30.57710796000001</v>
      </c>
      <c r="H25" s="23">
        <f>+[6]capitulos!E13</f>
        <v>24.897179199999989</v>
      </c>
      <c r="I25" s="22">
        <f t="shared" si="2"/>
        <v>-18.575755324638031</v>
      </c>
      <c r="J25" s="22">
        <f t="shared" si="3"/>
        <v>1.5375084091238629</v>
      </c>
      <c r="K25" s="16"/>
    </row>
    <row r="26" spans="1:11">
      <c r="A26" s="14"/>
      <c r="B26" s="9" t="str">
        <f>+[6]capitulos!A14</f>
        <v>Materiales de construcción</v>
      </c>
      <c r="C26" s="21">
        <f>+[6]capitulos!B14</f>
        <v>286.41423300999992</v>
      </c>
      <c r="D26" s="23">
        <f>+[6]capitulos!C14</f>
        <v>378.14682995999709</v>
      </c>
      <c r="E26" s="22">
        <f t="shared" si="0"/>
        <v>32.027946371922944</v>
      </c>
      <c r="F26" s="22">
        <f t="shared" si="1"/>
        <v>2.6185560830744428</v>
      </c>
      <c r="G26" s="21">
        <f>+[6]capitulos!D14</f>
        <v>25.789017239999929</v>
      </c>
      <c r="H26" s="23">
        <f>+[6]capitulos!E14</f>
        <v>58.045034400000247</v>
      </c>
      <c r="I26" s="22">
        <f t="shared" si="2"/>
        <v>125.07656596533576</v>
      </c>
      <c r="J26" s="22">
        <f t="shared" si="3"/>
        <v>3.584531716664686</v>
      </c>
      <c r="K26" s="16"/>
    </row>
    <row r="27" spans="1:11">
      <c r="A27" s="14"/>
      <c r="B27" s="9" t="str">
        <f>+[6]capitulos!A15</f>
        <v>Otros consumo no duradero</v>
      </c>
      <c r="C27" s="21">
        <f>+[6]capitulos!B15</f>
        <v>284.24917849999849</v>
      </c>
      <c r="D27" s="23">
        <f>+[6]capitulos!C15</f>
        <v>370.63162874999745</v>
      </c>
      <c r="E27" s="22">
        <f t="shared" si="0"/>
        <v>30.389692137667666</v>
      </c>
      <c r="F27" s="22">
        <f t="shared" si="1"/>
        <v>2.566515515007127</v>
      </c>
      <c r="G27" s="21">
        <f>+[6]capitulos!D15</f>
        <v>33.207211520000122</v>
      </c>
      <c r="H27" s="23">
        <f>+[6]capitulos!E15</f>
        <v>47.501322100000003</v>
      </c>
      <c r="I27" s="22">
        <f t="shared" si="2"/>
        <v>43.0451999</v>
      </c>
      <c r="J27" s="22">
        <f t="shared" si="3"/>
        <v>2.9334119173328368</v>
      </c>
      <c r="K27" s="16"/>
    </row>
    <row r="28" spans="1:11">
      <c r="A28" s="14"/>
      <c r="B28" s="9" t="str">
        <f>+[6]capitulos!A16</f>
        <v>Alimentos</v>
      </c>
      <c r="C28" s="21">
        <f>+[6]capitulos!B16</f>
        <v>218.52082795000027</v>
      </c>
      <c r="D28" s="23">
        <f>+[6]capitulos!C16</f>
        <v>287.54462823000074</v>
      </c>
      <c r="E28" s="22">
        <f t="shared" si="0"/>
        <v>31.586829011920912</v>
      </c>
      <c r="F28" s="22">
        <f t="shared" si="1"/>
        <v>1.9911623627433288</v>
      </c>
      <c r="G28" s="21">
        <f>+[6]capitulos!D16</f>
        <v>24.909030699999978</v>
      </c>
      <c r="H28" s="23">
        <f>+[6]capitulos!E16</f>
        <v>37.656572009999962</v>
      </c>
      <c r="I28" s="22">
        <f t="shared" si="2"/>
        <v>51.176384434742374</v>
      </c>
      <c r="J28" s="22">
        <f t="shared" si="3"/>
        <v>2.3254560550439085</v>
      </c>
      <c r="K28" s="16"/>
    </row>
    <row r="29" spans="1:11">
      <c r="A29" s="14"/>
      <c r="B29" s="9" t="str">
        <f>+[6]capitulos!A17</f>
        <v>Objetos de adorno</v>
      </c>
      <c r="C29" s="21">
        <f>+[6]capitulos!B17</f>
        <v>227.59087467999868</v>
      </c>
      <c r="D29" s="23">
        <f>+[6]capitulos!C17</f>
        <v>281.9372023199997</v>
      </c>
      <c r="E29" s="22">
        <f t="shared" si="0"/>
        <v>23.878957236934028</v>
      </c>
      <c r="F29" s="22">
        <f t="shared" si="1"/>
        <v>1.9523325800671769</v>
      </c>
      <c r="G29" s="21">
        <f>+[6]capitulos!D17</f>
        <v>30.057612740000078</v>
      </c>
      <c r="H29" s="23">
        <f>+[6]capitulos!E17</f>
        <v>37.269822059999981</v>
      </c>
      <c r="I29" s="22">
        <f t="shared" si="2"/>
        <v>23.994617877294154</v>
      </c>
      <c r="J29" s="22">
        <f t="shared" si="3"/>
        <v>2.3015725742858471</v>
      </c>
      <c r="K29" s="16"/>
    </row>
    <row r="30" spans="1:11">
      <c r="A30" s="14"/>
      <c r="B30" s="9" t="str">
        <f>+[6]capitulos!A18</f>
        <v>Partes maquinaria industrial</v>
      </c>
      <c r="C30" s="21">
        <f>+[6]capitulos!B18</f>
        <v>195.31164069000081</v>
      </c>
      <c r="D30" s="23">
        <f>+[6]capitulos!C18</f>
        <v>247.44541832000044</v>
      </c>
      <c r="E30" s="22">
        <f t="shared" si="0"/>
        <v>26.692611585167381</v>
      </c>
      <c r="F30" s="22">
        <f t="shared" si="1"/>
        <v>1.7134870744236617</v>
      </c>
      <c r="G30" s="21">
        <f>+[6]capitulos!D18</f>
        <v>37.954883729999949</v>
      </c>
      <c r="H30" s="23">
        <f>+[6]capitulos!E18</f>
        <v>31.985674450000005</v>
      </c>
      <c r="I30" s="22">
        <f t="shared" si="2"/>
        <v>-15.727117812988622</v>
      </c>
      <c r="J30" s="22">
        <f t="shared" si="3"/>
        <v>1.9752536238472074</v>
      </c>
      <c r="K30" s="16"/>
    </row>
    <row r="31" spans="1:11">
      <c r="A31" s="14"/>
      <c r="B31" s="9" t="str">
        <f>+[6]capitulos!A19</f>
        <v>Vestuario</v>
      </c>
      <c r="C31" s="21">
        <f>+[6]capitulos!B19</f>
        <v>129.37297249999961</v>
      </c>
      <c r="D31" s="23">
        <f>+[6]capitulos!C19</f>
        <v>166.90310386999906</v>
      </c>
      <c r="E31" s="22">
        <f t="shared" si="0"/>
        <v>29.009251812622281</v>
      </c>
      <c r="F31" s="22">
        <f t="shared" si="1"/>
        <v>1.1557551281575604</v>
      </c>
      <c r="G31" s="21">
        <f>+[6]capitulos!D19</f>
        <v>16.696289470000053</v>
      </c>
      <c r="H31" s="23">
        <f>+[6]capitulos!E19</f>
        <v>20.398016699999967</v>
      </c>
      <c r="I31" s="22">
        <f t="shared" si="2"/>
        <v>22.170957425308124</v>
      </c>
      <c r="J31" s="22">
        <f t="shared" si="3"/>
        <v>1.2596656815523484</v>
      </c>
      <c r="K31" s="16"/>
    </row>
    <row r="32" spans="1:11">
      <c r="A32" s="14"/>
      <c r="B32" s="9" t="str">
        <f>+[6]capitulos!A20</f>
        <v>Muebles</v>
      </c>
      <c r="C32" s="21">
        <f>+[6]capitulos!B20</f>
        <v>91.273119169999774</v>
      </c>
      <c r="D32" s="23">
        <f>+[6]capitulos!C20</f>
        <v>146.94644170999982</v>
      </c>
      <c r="E32" s="22">
        <f t="shared" si="0"/>
        <v>60.996406221536368</v>
      </c>
      <c r="F32" s="22">
        <f t="shared" si="1"/>
        <v>1.0175610856411765</v>
      </c>
      <c r="G32" s="21">
        <f>+[6]capitulos!D20</f>
        <v>11.218020810000011</v>
      </c>
      <c r="H32" s="23">
        <f>+[6]capitulos!E20</f>
        <v>18.941494929999976</v>
      </c>
      <c r="I32" s="22">
        <f t="shared" si="2"/>
        <v>68.848812556267291</v>
      </c>
      <c r="J32" s="22">
        <f t="shared" si="3"/>
        <v>1.1697191678747281</v>
      </c>
      <c r="K32" s="16"/>
    </row>
    <row r="33" spans="1:11">
      <c r="A33" s="14"/>
      <c r="B33" s="9" t="str">
        <f>+[6]capitulos!A21</f>
        <v>Materias primas agricultura</v>
      </c>
      <c r="C33" s="21">
        <f>+[6]capitulos!B21</f>
        <v>148.09465519999992</v>
      </c>
      <c r="D33" s="23">
        <f>+[6]capitulos!C21</f>
        <v>132.80545671999994</v>
      </c>
      <c r="E33" s="22">
        <f t="shared" si="0"/>
        <v>-10.323936714226534</v>
      </c>
      <c r="F33" s="22">
        <f t="shared" si="1"/>
        <v>0.91963890480431554</v>
      </c>
      <c r="G33" s="21">
        <f>+[6]capitulos!D21</f>
        <v>14.96920568999999</v>
      </c>
      <c r="H33" s="23">
        <f>+[6]capitulos!E21</f>
        <v>10.178156649999996</v>
      </c>
      <c r="I33" s="22">
        <f t="shared" si="2"/>
        <v>-32.006033848546821</v>
      </c>
      <c r="J33" s="22">
        <f t="shared" si="3"/>
        <v>0.62854515819024859</v>
      </c>
      <c r="K33" s="16"/>
    </row>
    <row r="34" spans="1:11">
      <c r="A34" s="14"/>
      <c r="B34" s="9" t="str">
        <f>+[6]capitulos!A22</f>
        <v>Armas y equipo militar</v>
      </c>
      <c r="C34" s="21">
        <f>+[6]capitulos!B22</f>
        <v>77.40097200999999</v>
      </c>
      <c r="D34" s="23">
        <f>+[6]capitulos!C22</f>
        <v>97.926910689999971</v>
      </c>
      <c r="E34" s="22">
        <f t="shared" si="0"/>
        <v>26.518967587833497</v>
      </c>
      <c r="F34" s="22">
        <f t="shared" si="1"/>
        <v>0.67811518533981541</v>
      </c>
      <c r="G34" s="21">
        <f>+[6]capitulos!D22</f>
        <v>10.009458329999999</v>
      </c>
      <c r="H34" s="23">
        <f>+[6]capitulos!E22</f>
        <v>5.5201848800000022</v>
      </c>
      <c r="I34" s="22">
        <f t="shared" si="2"/>
        <v>-44.850313593343039</v>
      </c>
      <c r="J34" s="22">
        <f t="shared" si="3"/>
        <v>0.34089527189965391</v>
      </c>
      <c r="K34" s="16"/>
    </row>
    <row r="35" spans="1:11">
      <c r="A35" s="14"/>
      <c r="B35" s="9" t="str">
        <f>+[6]capitulos!A23</f>
        <v>Herramientas</v>
      </c>
      <c r="C35" s="21">
        <f>+[6]capitulos!B23</f>
        <v>61.402855079999782</v>
      </c>
      <c r="D35" s="23">
        <f>+[6]capitulos!C23</f>
        <v>88.247864180000363</v>
      </c>
      <c r="E35" s="22">
        <f t="shared" si="0"/>
        <v>43.719480250592738</v>
      </c>
      <c r="F35" s="22">
        <f t="shared" si="1"/>
        <v>0.61109062210388643</v>
      </c>
      <c r="G35" s="21">
        <f>+[6]capitulos!D23</f>
        <v>6.2634647500000078</v>
      </c>
      <c r="H35" s="23">
        <f>+[6]capitulos!E23</f>
        <v>9.0776084100000034</v>
      </c>
      <c r="I35" s="22">
        <f t="shared" si="2"/>
        <v>44.929504233259898</v>
      </c>
      <c r="J35" s="22">
        <f t="shared" si="3"/>
        <v>0.56058154833494189</v>
      </c>
      <c r="K35" s="16"/>
    </row>
    <row r="36" spans="1:11">
      <c r="A36" s="14"/>
      <c r="B36" s="9" t="str">
        <f>+[6]capitulos!A24</f>
        <v>Lubricantes</v>
      </c>
      <c r="C36" s="21">
        <f>+[6]capitulos!B24</f>
        <v>31.481093380000061</v>
      </c>
      <c r="D36" s="23">
        <f>+[6]capitulos!C24</f>
        <v>82.255434880000038</v>
      </c>
      <c r="E36" s="22">
        <f t="shared" si="0"/>
        <v>161.28519072421074</v>
      </c>
      <c r="F36" s="22">
        <f t="shared" si="1"/>
        <v>0.56959480367386195</v>
      </c>
      <c r="G36" s="21">
        <f>+[6]capitulos!D24</f>
        <v>2.6539998299999992</v>
      </c>
      <c r="H36" s="23">
        <f>+[6]capitulos!E24</f>
        <v>47.426984139999981</v>
      </c>
      <c r="I36" s="22">
        <f t="shared" si="2"/>
        <v>1687.0002704559327</v>
      </c>
      <c r="J36" s="22">
        <f t="shared" si="3"/>
        <v>2.9288212270502543</v>
      </c>
      <c r="K36" s="16"/>
    </row>
    <row r="37" spans="1:11">
      <c r="A37" s="14"/>
      <c r="B37" s="9" t="str">
        <f>+[6]capitulos!A25</f>
        <v>Alimentos para animales</v>
      </c>
      <c r="C37" s="21">
        <f>+[6]capitulos!B25</f>
        <v>65.933377250000021</v>
      </c>
      <c r="D37" s="23">
        <f>+[6]capitulos!C25</f>
        <v>65.300893270000017</v>
      </c>
      <c r="E37" s="22">
        <f t="shared" si="0"/>
        <v>-0.95927738935897011</v>
      </c>
      <c r="F37" s="22">
        <f t="shared" si="1"/>
        <v>0.45218956700084567</v>
      </c>
      <c r="G37" s="21">
        <f>+[6]capitulos!D25</f>
        <v>6.7688455200000002</v>
      </c>
      <c r="H37" s="23">
        <f>+[6]capitulos!E25</f>
        <v>3.5989776200000017</v>
      </c>
      <c r="I37" s="22">
        <f t="shared" si="2"/>
        <v>-46.830259172468139</v>
      </c>
      <c r="J37" s="22">
        <f t="shared" si="3"/>
        <v>0.22225242106939533</v>
      </c>
      <c r="K37" s="16"/>
    </row>
    <row r="38" spans="1:11">
      <c r="A38" s="14"/>
      <c r="B38" s="9" t="str">
        <f>+[6]capitulos!A26</f>
        <v>Utensilios domésticos</v>
      </c>
      <c r="C38" s="21">
        <f>+[6]capitulos!B26</f>
        <v>43.477008139999725</v>
      </c>
      <c r="D38" s="23">
        <f>+[6]capitulos!C26</f>
        <v>58.979221539999969</v>
      </c>
      <c r="E38" s="22">
        <f t="shared" si="0"/>
        <v>35.656118171889318</v>
      </c>
      <c r="F38" s="22">
        <f t="shared" si="1"/>
        <v>0.40841384113916768</v>
      </c>
      <c r="G38" s="21">
        <f>+[6]capitulos!D26</f>
        <v>5.8207717799999932</v>
      </c>
      <c r="H38" s="23">
        <f>+[6]capitulos!E26</f>
        <v>6.5636223900000052</v>
      </c>
      <c r="I38" s="22">
        <f t="shared" si="2"/>
        <v>12.762063830649151</v>
      </c>
      <c r="J38" s="22">
        <f t="shared" si="3"/>
        <v>0.4053320473726067</v>
      </c>
      <c r="K38" s="16"/>
    </row>
    <row r="39" spans="1:11">
      <c r="A39" s="14"/>
      <c r="B39" s="9" t="str">
        <f>+[6]capitulos!A27</f>
        <v>Bebidas</v>
      </c>
      <c r="C39" s="21">
        <f>+[6]capitulos!B27</f>
        <v>36.137957750000012</v>
      </c>
      <c r="D39" s="23">
        <f>+[6]capitulos!C27</f>
        <v>38.887349430000064</v>
      </c>
      <c r="E39" s="22">
        <f t="shared" si="0"/>
        <v>7.6080438718207688</v>
      </c>
      <c r="F39" s="22">
        <f t="shared" si="1"/>
        <v>0.26928350930600226</v>
      </c>
      <c r="G39" s="21">
        <f>+[6]capitulos!D27</f>
        <v>6.2699023900000013</v>
      </c>
      <c r="H39" s="23">
        <f>+[6]capitulos!E27</f>
        <v>3.2993105599999981</v>
      </c>
      <c r="I39" s="22">
        <f t="shared" si="2"/>
        <v>-47.378597707324154</v>
      </c>
      <c r="J39" s="22">
        <f t="shared" si="3"/>
        <v>0.20374668509881474</v>
      </c>
      <c r="K39" s="16"/>
    </row>
    <row r="40" spans="1:11">
      <c r="A40" s="14"/>
      <c r="B40" s="9" t="str">
        <f>+[6]capitulos!A28</f>
        <v>Combustibles</v>
      </c>
      <c r="C40" s="21">
        <f>+[6]capitulos!B28</f>
        <v>2.0922221699999999</v>
      </c>
      <c r="D40" s="23">
        <f>+[6]capitulos!C28</f>
        <v>35.730261280000008</v>
      </c>
      <c r="E40" s="22">
        <f t="shared" si="0"/>
        <v>1607.7661154885864</v>
      </c>
      <c r="F40" s="22">
        <f t="shared" si="1"/>
        <v>0.24742159820427645</v>
      </c>
      <c r="G40" s="21">
        <f>+[6]capitulos!D28</f>
        <v>7.7257510000000015E-2</v>
      </c>
      <c r="H40" s="23">
        <f>+[6]capitulos!E28</f>
        <v>22.395432830000004</v>
      </c>
      <c r="I40" s="22">
        <f t="shared" si="2"/>
        <v>28888.033435196139</v>
      </c>
      <c r="J40" s="22">
        <f t="shared" si="3"/>
        <v>1.383014759442855</v>
      </c>
      <c r="K40" s="16"/>
    </row>
    <row r="41" spans="1:11">
      <c r="A41" s="14"/>
      <c r="B41" s="9" t="str">
        <f>+[6]capitulos!A29</f>
        <v>Bienes no clasificados</v>
      </c>
      <c r="C41" s="21">
        <f>+[6]capitulos!B29</f>
        <v>25.026322609999941</v>
      </c>
      <c r="D41" s="23">
        <f>+[6]capitulos!C29</f>
        <v>26.873533789999968</v>
      </c>
      <c r="E41" s="22">
        <f t="shared" si="0"/>
        <v>7.3810731555978837</v>
      </c>
      <c r="F41" s="22">
        <f t="shared" si="1"/>
        <v>0.18609135342204297</v>
      </c>
      <c r="G41" s="21">
        <f>+[6]capitulos!D29</f>
        <v>1.9409968999999996</v>
      </c>
      <c r="H41" s="23">
        <f>+[6]capitulos!E29</f>
        <v>2.0663948199999997</v>
      </c>
      <c r="I41" s="22">
        <f t="shared" si="2"/>
        <v>6.4604904830090293</v>
      </c>
      <c r="J41" s="22">
        <f t="shared" si="3"/>
        <v>0.12760881009042147</v>
      </c>
      <c r="K41" s="16"/>
    </row>
    <row r="42" spans="1:11">
      <c r="A42" s="14"/>
      <c r="B42" s="9" t="str">
        <f>+[6]capitulos!A30</f>
        <v>Material de transporte</v>
      </c>
      <c r="C42" s="21">
        <f>+[6]capitulos!B30</f>
        <v>31.14467861999999</v>
      </c>
      <c r="D42" s="23">
        <f>+[6]capitulos!C30</f>
        <v>18.295910969999998</v>
      </c>
      <c r="E42" s="22">
        <f t="shared" si="0"/>
        <v>-41.255097882914029</v>
      </c>
      <c r="F42" s="22">
        <f t="shared" si="1"/>
        <v>0.12669382676287422</v>
      </c>
      <c r="G42" s="21">
        <f>+[6]capitulos!D30</f>
        <v>1.3949525</v>
      </c>
      <c r="H42" s="23">
        <f>+[6]capitulos!E30</f>
        <v>2.4960109099999999</v>
      </c>
      <c r="I42" s="22">
        <f t="shared" si="2"/>
        <v>78.931605914896721</v>
      </c>
      <c r="J42" s="22">
        <f t="shared" si="3"/>
        <v>0.15413946024013461</v>
      </c>
      <c r="K42" s="16"/>
    </row>
    <row r="43" spans="1:11">
      <c r="A43" s="14"/>
      <c r="B43" s="9" t="str">
        <f>+[6]capitulos!A31</f>
        <v>Tabaco</v>
      </c>
      <c r="C43" s="21">
        <f>+[6]capitulos!B31</f>
        <v>5.5380302100000014</v>
      </c>
      <c r="D43" s="23">
        <f>+[6]capitulos!C31</f>
        <v>16.334371240000003</v>
      </c>
      <c r="E43" s="22">
        <f t="shared" si="0"/>
        <v>194.9491176574856</v>
      </c>
      <c r="F43" s="22">
        <f t="shared" si="1"/>
        <v>0.11311073843518138</v>
      </c>
      <c r="G43" s="21">
        <f>+[6]capitulos!D31</f>
        <v>1.0661540299999999</v>
      </c>
      <c r="H43" s="23">
        <f>+[6]capitulos!E31</f>
        <v>1.9468504099999997</v>
      </c>
      <c r="I43" s="22">
        <f t="shared" si="2"/>
        <v>82.604985322805561</v>
      </c>
      <c r="J43" s="22">
        <f t="shared" si="3"/>
        <v>0.12022642616000614</v>
      </c>
      <c r="K43" s="16"/>
    </row>
    <row r="44" spans="1:11">
      <c r="A44" s="14"/>
      <c r="B44" s="9" t="str">
        <f>+[6]capitulos!A32</f>
        <v>Equipo fijo de transporte</v>
      </c>
      <c r="C44" s="21">
        <f>+[6]capitulos!B32</f>
        <v>12.987397069999989</v>
      </c>
      <c r="D44" s="23">
        <f>+[6]capitulos!C32</f>
        <v>15.924589379999988</v>
      </c>
      <c r="E44" s="22">
        <f t="shared" si="0"/>
        <v>22.615711941114935</v>
      </c>
      <c r="F44" s="22">
        <f t="shared" si="1"/>
        <v>0.11027311903123156</v>
      </c>
      <c r="G44" s="21">
        <f>+[6]capitulos!D32</f>
        <v>0.9401666399999995</v>
      </c>
      <c r="H44" s="23">
        <f>+[6]capitulos!E32</f>
        <v>1.9366650800000005</v>
      </c>
      <c r="I44" s="22">
        <f t="shared" si="2"/>
        <v>105.99168249577558</v>
      </c>
      <c r="J44" s="22">
        <f t="shared" si="3"/>
        <v>0.1195974380164537</v>
      </c>
      <c r="K44" s="16"/>
    </row>
    <row r="45" spans="1:11">
      <c r="A45" s="14"/>
      <c r="B45" s="9" t="str">
        <f>+[6]capitulos!A33</f>
        <v>Máquinas y herramientas</v>
      </c>
      <c r="C45" s="21">
        <f>+[6]capitulos!B33</f>
        <v>22.902630589999951</v>
      </c>
      <c r="D45" s="23">
        <f>+[6]capitulos!C33</f>
        <v>14.275363159999998</v>
      </c>
      <c r="E45" s="22">
        <f t="shared" si="0"/>
        <v>-37.669329713447439</v>
      </c>
      <c r="F45" s="22">
        <f t="shared" si="1"/>
        <v>9.8852710320668807E-2</v>
      </c>
      <c r="G45" s="21">
        <f>+[6]capitulos!D33</f>
        <v>1.2462985499999988</v>
      </c>
      <c r="H45" s="23">
        <f>+[6]capitulos!E33</f>
        <v>1.672688089999999</v>
      </c>
      <c r="I45" s="22">
        <f t="shared" si="2"/>
        <v>34.212471803004242</v>
      </c>
      <c r="J45" s="22">
        <f t="shared" si="3"/>
        <v>0.10329571810353247</v>
      </c>
      <c r="K45" s="16"/>
    </row>
    <row r="46" spans="1:11">
      <c r="A46" s="14"/>
      <c r="B46" s="9" t="str">
        <f>+[6]capitulos!A34</f>
        <v>Equipo para la agricultura</v>
      </c>
      <c r="C46" s="21">
        <f>+[6]capitulos!B34</f>
        <v>0.71902487000000015</v>
      </c>
      <c r="D46" s="23">
        <f>+[6]capitulos!C34</f>
        <v>1.5258672099999995</v>
      </c>
      <c r="E46" s="22">
        <f t="shared" si="0"/>
        <v>112.21341203399531</v>
      </c>
      <c r="F46" s="22">
        <f t="shared" si="1"/>
        <v>1.0566183683549602E-2</v>
      </c>
      <c r="G46" s="21">
        <f>+[6]capitulos!D34</f>
        <v>7.9026890000000002E-2</v>
      </c>
      <c r="H46" s="23">
        <f>+[6]capitulos!E34</f>
        <v>0.33789515999999997</v>
      </c>
      <c r="I46" s="22">
        <f t="shared" si="2"/>
        <v>327.56985628562632</v>
      </c>
      <c r="J46" s="22">
        <f t="shared" si="3"/>
        <v>2.086648634887334E-2</v>
      </c>
      <c r="K46" s="16"/>
    </row>
    <row r="47" spans="1:11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1">
      <c r="A48" s="17"/>
      <c r="B48" s="39" t="s">
        <v>25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89"/>
      <c r="E49" s="20"/>
    </row>
    <row r="50" spans="2:5">
      <c r="B50" s="20"/>
      <c r="C50" s="20"/>
      <c r="D50" s="89"/>
      <c r="E50" s="20"/>
    </row>
    <row r="51" spans="2:5">
      <c r="C51" s="20"/>
      <c r="D51" s="89"/>
    </row>
    <row r="52" spans="2:5">
      <c r="C52" s="20"/>
      <c r="D52" s="89"/>
    </row>
    <row r="53" spans="2:5">
      <c r="C53" s="20"/>
      <c r="D53" s="89"/>
    </row>
    <row r="54" spans="2:5">
      <c r="C54" s="20"/>
      <c r="D54" s="89"/>
    </row>
    <row r="55" spans="2:5">
      <c r="C55" s="20"/>
      <c r="D55" s="89"/>
    </row>
    <row r="56" spans="2:5">
      <c r="C56" s="20"/>
      <c r="D56" s="89"/>
    </row>
    <row r="57" spans="2:5">
      <c r="C57" s="20"/>
      <c r="D57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7" customWidth="1"/>
    <col min="2" max="2" width="33.140625" style="7" customWidth="1"/>
    <col min="3" max="4" width="11.140625" style="7" customWidth="1"/>
    <col min="5" max="5" width="10.42578125" style="7" customWidth="1"/>
    <col min="6" max="6" width="9" style="7" customWidth="1"/>
    <col min="7" max="7" width="6.28515625" style="7" customWidth="1"/>
    <col min="8" max="8" width="6.42578125" style="7" customWidth="1"/>
    <col min="9" max="9" width="10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70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57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14" t="s">
        <v>140</v>
      </c>
      <c r="D10" s="114"/>
      <c r="E10" s="113" t="s">
        <v>1</v>
      </c>
      <c r="F10" s="113" t="s">
        <v>4</v>
      </c>
      <c r="G10" s="114" t="s">
        <v>141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105">
        <v>2009</v>
      </c>
      <c r="D11" s="105">
        <v>2010</v>
      </c>
      <c r="E11" s="113"/>
      <c r="F11" s="113"/>
      <c r="G11" s="105">
        <v>2009</v>
      </c>
      <c r="H11" s="105">
        <v>2010</v>
      </c>
      <c r="I11" s="113"/>
      <c r="J11" s="113"/>
      <c r="K11" s="16"/>
      <c r="N11" s="2"/>
    </row>
    <row r="12" spans="1:14" ht="12" customHeight="1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61</v>
      </c>
      <c r="C13" s="23">
        <f>+'Resumen importaciones totales'!C13</f>
        <v>11531.093251530019</v>
      </c>
      <c r="D13" s="23">
        <f>+'Resumen importaciones totales'!D13</f>
        <v>14441.043764700104</v>
      </c>
      <c r="E13" s="25">
        <f>IF(OR(OR(D13=0,C13=0),D13=""),"",(D13/C13-1)*100)</f>
        <v>25.235686241492971</v>
      </c>
      <c r="F13" s="23">
        <f>(D13/D$13)*100</f>
        <v>100</v>
      </c>
      <c r="G13" s="23">
        <f>+'Resumen importaciones totales'!G13</f>
        <v>1265.9982494300002</v>
      </c>
      <c r="H13" s="23">
        <f>+'Resumen importaciones totales'!H13</f>
        <v>1619.3198718299989</v>
      </c>
      <c r="I13" s="25">
        <f>IF(OR(OR(H13=0,G13=0),H13=""),"",(H13/G13-1)*100)</f>
        <v>27.908539570183244</v>
      </c>
      <c r="J13" s="23">
        <f>(H13/H$13)*100</f>
        <v>100</v>
      </c>
      <c r="K13" s="16"/>
    </row>
    <row r="14" spans="1:14">
      <c r="A14" s="14"/>
      <c r="B14" s="9" t="str">
        <f>+[6]Subpartida!J2</f>
        <v>Aviones &gt; 15 mil Kg</v>
      </c>
      <c r="C14" s="21">
        <f>+[6]Subpartida!C2/1000000</f>
        <v>1668.0773655800001</v>
      </c>
      <c r="D14" s="23">
        <f>+[6]Subpartida!G2/1000000</f>
        <v>1300.4912949600002</v>
      </c>
      <c r="E14" s="22">
        <f t="shared" ref="E14:E34" si="0">IF(OR(OR(D14=0,C14=0),D14=""),"",(D14/C14-1)*100)</f>
        <v>-22.036512106990202</v>
      </c>
      <c r="F14" s="22">
        <f t="shared" ref="F14:F34" si="1">(D14/D$13)*100</f>
        <v>9.0055214577975313</v>
      </c>
      <c r="G14" s="21">
        <f>+[6]Subpartida!D2/1000000</f>
        <v>135.43723948000002</v>
      </c>
      <c r="H14" s="23">
        <f>+[6]Subpartida!H2/1000000</f>
        <v>6.5389501599999997</v>
      </c>
      <c r="I14" s="22">
        <f t="shared" ref="I14:I34" si="2">IF(OR(OR(H14=0,G14=0),H14=""),"",(H14/G14-1)*100)</f>
        <v>-95.171970290367881</v>
      </c>
      <c r="J14" s="22">
        <f>(H14/H$13)*100</f>
        <v>0.40380843054870375</v>
      </c>
      <c r="K14" s="16"/>
    </row>
    <row r="15" spans="1:14">
      <c r="A15" s="14"/>
      <c r="B15" s="9" t="str">
        <f>+[6]Subpartida!J3</f>
        <v>Teléfonos móviles</v>
      </c>
      <c r="C15" s="21">
        <f>+[6]Subpartida!C3/1000000</f>
        <v>269.89569981999989</v>
      </c>
      <c r="D15" s="23">
        <f>+[6]Subpartida!G3/1000000</f>
        <v>518.14954155000135</v>
      </c>
      <c r="E15" s="22">
        <f t="shared" si="0"/>
        <v>91.981399442661768</v>
      </c>
      <c r="F15" s="22">
        <f t="shared" si="1"/>
        <v>3.5880338706304151</v>
      </c>
      <c r="G15" s="21">
        <f>+[6]Subpartida!D3/1000000</f>
        <v>22.967183790000018</v>
      </c>
      <c r="H15" s="23">
        <f>+[6]Subpartida!H3/1000000</f>
        <v>56.345343230000033</v>
      </c>
      <c r="I15" s="22">
        <f t="shared" si="2"/>
        <v>145.32978768834934</v>
      </c>
      <c r="J15" s="22">
        <f t="shared" ref="J15:J34" si="3">(H15/H$13)*100</f>
        <v>3.479568441676935</v>
      </c>
      <c r="K15" s="16"/>
    </row>
    <row r="16" spans="1:14">
      <c r="A16" s="14"/>
      <c r="B16" s="9" t="str">
        <f>+[6]Subpartida!J4</f>
        <v>Vehículos entre 1500 y 3000 cm3</v>
      </c>
      <c r="C16" s="21">
        <f>+[6]Subpartida!C4/1000000</f>
        <v>203.57791705999978</v>
      </c>
      <c r="D16" s="23">
        <f>+[6]Subpartida!G4/1000000</f>
        <v>409.34418975999949</v>
      </c>
      <c r="E16" s="22">
        <f t="shared" si="0"/>
        <v>101.0749474557965</v>
      </c>
      <c r="F16" s="22">
        <f t="shared" si="1"/>
        <v>2.8345886656794597</v>
      </c>
      <c r="G16" s="21">
        <f>+[6]Subpartida!D4/1000000</f>
        <v>30.299958169999996</v>
      </c>
      <c r="H16" s="23">
        <f>+[6]Subpartida!H4/1000000</f>
        <v>81.308793579999985</v>
      </c>
      <c r="I16" s="22">
        <f t="shared" si="2"/>
        <v>168.3462238588298</v>
      </c>
      <c r="J16" s="22">
        <f t="shared" si="3"/>
        <v>5.0211693807050386</v>
      </c>
      <c r="K16" s="16"/>
    </row>
    <row r="17" spans="1:11">
      <c r="A17" s="14"/>
      <c r="B17" s="9" t="str">
        <f>+[6]Subpartida!J5</f>
        <v>Portátiles</v>
      </c>
      <c r="C17" s="21">
        <f>+[6]Subpartida!C5/1000000</f>
        <v>261.44048582999983</v>
      </c>
      <c r="D17" s="23">
        <f>+[6]Subpartida!G5/1000000</f>
        <v>379.13872648999882</v>
      </c>
      <c r="E17" s="22">
        <f t="shared" si="0"/>
        <v>45.019133240339684</v>
      </c>
      <c r="F17" s="22">
        <f t="shared" si="1"/>
        <v>2.6254246761357445</v>
      </c>
      <c r="G17" s="21">
        <f>+[6]Subpartida!D5/1000000</f>
        <v>36.401146389999994</v>
      </c>
      <c r="H17" s="23">
        <f>+[6]Subpartida!H5/1000000</f>
        <v>41.262632430000018</v>
      </c>
      <c r="I17" s="22">
        <f t="shared" si="2"/>
        <v>13.35531026389749</v>
      </c>
      <c r="J17" s="22">
        <f t="shared" si="3"/>
        <v>2.5481458696217305</v>
      </c>
      <c r="K17" s="16"/>
    </row>
    <row r="18" spans="1:11">
      <c r="A18" s="14"/>
      <c r="B18" s="9" t="str">
        <f>+[6]Subpartida!J6</f>
        <v>Medicamentos uso humano</v>
      </c>
      <c r="C18" s="21">
        <f>+[6]Subpartida!C6/1000000</f>
        <v>335.54145084999919</v>
      </c>
      <c r="D18" s="23">
        <f>+[6]Subpartida!G6/1000000</f>
        <v>363.53489369000215</v>
      </c>
      <c r="E18" s="22">
        <f t="shared" si="0"/>
        <v>8.342767419372322</v>
      </c>
      <c r="F18" s="22">
        <f t="shared" si="1"/>
        <v>2.5173727025094412</v>
      </c>
      <c r="G18" s="21">
        <f>+[6]Subpartida!D6/1000000</f>
        <v>39.642993739999994</v>
      </c>
      <c r="H18" s="23">
        <f>+[6]Subpartida!H6/1000000</f>
        <v>36.792759919999995</v>
      </c>
      <c r="I18" s="22">
        <f t="shared" si="2"/>
        <v>-7.1897542317145957</v>
      </c>
      <c r="J18" s="22">
        <f t="shared" si="3"/>
        <v>2.2721119255098361</v>
      </c>
      <c r="K18" s="16"/>
    </row>
    <row r="19" spans="1:11">
      <c r="A19" s="14"/>
      <c r="B19" s="9" t="str">
        <f>+[6]Subpartida!J7</f>
        <v>Aparatos de telecomunicación</v>
      </c>
      <c r="C19" s="21">
        <f>+[6]Subpartida!C7/1000000</f>
        <v>253.29410485999944</v>
      </c>
      <c r="D19" s="23">
        <f>+[6]Subpartida!G7/1000000</f>
        <v>283.5389968600004</v>
      </c>
      <c r="E19" s="22">
        <f t="shared" si="0"/>
        <v>11.940622154123126</v>
      </c>
      <c r="F19" s="22">
        <f t="shared" si="1"/>
        <v>1.9634245382808633</v>
      </c>
      <c r="G19" s="21">
        <f>+[6]Subpartida!D7/1000000</f>
        <v>24.452263499999983</v>
      </c>
      <c r="H19" s="23">
        <f>+[6]Subpartida!H7/1000000</f>
        <v>32.999033609999984</v>
      </c>
      <c r="I19" s="22">
        <f t="shared" si="2"/>
        <v>34.952879147568503</v>
      </c>
      <c r="J19" s="22">
        <f t="shared" si="3"/>
        <v>2.0378329312236292</v>
      </c>
      <c r="K19" s="16"/>
    </row>
    <row r="20" spans="1:11">
      <c r="A20" s="14"/>
      <c r="B20" s="9" t="str">
        <f>+[6]Subpartida!J8</f>
        <v>Máquinas procesamiento de datos</v>
      </c>
      <c r="C20" s="21">
        <f>+[6]Subpartida!C8/1000000</f>
        <v>171.17728064000033</v>
      </c>
      <c r="D20" s="23">
        <f>+[6]Subpartida!G8/1000000</f>
        <v>223.33226078000038</v>
      </c>
      <c r="E20" s="22">
        <f t="shared" si="0"/>
        <v>30.468400914538528</v>
      </c>
      <c r="F20" s="22">
        <f t="shared" si="1"/>
        <v>1.5465105183457515</v>
      </c>
      <c r="G20" s="21">
        <f>+[6]Subpartida!D8/1000000</f>
        <v>16.425922459999992</v>
      </c>
      <c r="H20" s="23">
        <f>+[6]Subpartida!H8/1000000</f>
        <v>16.78299275000002</v>
      </c>
      <c r="I20" s="22">
        <f t="shared" si="2"/>
        <v>2.1738218408710708</v>
      </c>
      <c r="J20" s="22">
        <f t="shared" si="3"/>
        <v>1.0364223302610065</v>
      </c>
      <c r="K20" s="16"/>
    </row>
    <row r="21" spans="1:11">
      <c r="A21" s="14"/>
      <c r="B21" s="9" t="str">
        <f>+[6]Subpartida!J9</f>
        <v>Aviones &lt; 15 mil Kg</v>
      </c>
      <c r="C21" s="21">
        <f>+[6]Subpartida!C9/1000000</f>
        <v>178.50196318000005</v>
      </c>
      <c r="D21" s="23">
        <f>+[6]Subpartida!G9/1000000</f>
        <v>130.76030673000002</v>
      </c>
      <c r="E21" s="22">
        <f t="shared" si="0"/>
        <v>-26.745731867305956</v>
      </c>
      <c r="F21" s="22">
        <f t="shared" si="1"/>
        <v>0.90547683990566119</v>
      </c>
      <c r="G21" s="21">
        <f>+[6]Subpartida!D9/1000000</f>
        <v>12.864000000000001</v>
      </c>
      <c r="H21" s="23">
        <f>+[6]Subpartida!H9/1000000</f>
        <v>0.60034580000000004</v>
      </c>
      <c r="I21" s="22">
        <f t="shared" si="2"/>
        <v>-95.333132773631846</v>
      </c>
      <c r="J21" s="22">
        <f t="shared" si="3"/>
        <v>3.7073947553150646E-2</v>
      </c>
      <c r="K21" s="16"/>
    </row>
    <row r="22" spans="1:11">
      <c r="A22" s="14"/>
      <c r="B22" s="9" t="str">
        <f>+[6]Subpartida!J10</f>
        <v>Aparatos receptores de televisión</v>
      </c>
      <c r="C22" s="21">
        <f>+[6]Subpartida!C10/1000000</f>
        <v>41.870213950000007</v>
      </c>
      <c r="D22" s="23">
        <f>+[6]Subpartida!G10/1000000</f>
        <v>121.92147059000001</v>
      </c>
      <c r="E22" s="22">
        <f t="shared" si="0"/>
        <v>191.18903174365079</v>
      </c>
      <c r="F22" s="22">
        <f t="shared" si="1"/>
        <v>0.84427048748392153</v>
      </c>
      <c r="G22" s="21">
        <f>+[6]Subpartida!D10/1000000</f>
        <v>11.022670950000002</v>
      </c>
      <c r="H22" s="23">
        <f>+[6]Subpartida!H10/1000000</f>
        <v>7.3485803900000004</v>
      </c>
      <c r="I22" s="22">
        <f t="shared" si="2"/>
        <v>-33.332125912730802</v>
      </c>
      <c r="J22" s="22">
        <f t="shared" si="3"/>
        <v>0.45380659608007801</v>
      </c>
      <c r="K22" s="16"/>
    </row>
    <row r="23" spans="1:11">
      <c r="A23" s="14"/>
      <c r="B23" s="9" t="str">
        <f>+[6]Subpartida!J11</f>
        <v>Medicamentos VIH</v>
      </c>
      <c r="C23" s="21">
        <f>+[6]Subpartida!C11/1000000</f>
        <v>84.820326169999959</v>
      </c>
      <c r="D23" s="23">
        <f>+[6]Subpartida!G11/1000000</f>
        <v>91.021013019999955</v>
      </c>
      <c r="E23" s="22">
        <f t="shared" si="0"/>
        <v>7.3103784552447371</v>
      </c>
      <c r="F23" s="22">
        <f t="shared" si="1"/>
        <v>0.63029386589418868</v>
      </c>
      <c r="G23" s="21">
        <f>+[6]Subpartida!D11/1000000</f>
        <v>7.9501816800000009</v>
      </c>
      <c r="H23" s="23">
        <f>+[6]Subpartida!H11/1000000</f>
        <v>7.1749039099999994</v>
      </c>
      <c r="I23" s="22">
        <f t="shared" si="2"/>
        <v>-9.7516987813038405</v>
      </c>
      <c r="J23" s="22">
        <f t="shared" si="3"/>
        <v>0.44308132289463087</v>
      </c>
      <c r="K23" s="16"/>
    </row>
    <row r="24" spans="1:11">
      <c r="A24" s="14"/>
      <c r="B24" s="9" t="str">
        <f>+[6]Subpartida!J12</f>
        <v>Partes de aviones o helicopteros</v>
      </c>
      <c r="C24" s="21">
        <f>+[6]Subpartida!C12/1000000</f>
        <v>93.373001080000179</v>
      </c>
      <c r="D24" s="23">
        <f>+[6]Subpartida!G12/1000000</f>
        <v>89.448509160000199</v>
      </c>
      <c r="E24" s="22">
        <f t="shared" si="0"/>
        <v>-4.2030264365579884</v>
      </c>
      <c r="F24" s="22">
        <f t="shared" si="1"/>
        <v>0.61940473706373933</v>
      </c>
      <c r="G24" s="21">
        <f>+[6]Subpartida!D12/1000000</f>
        <v>15.935208000000001</v>
      </c>
      <c r="H24" s="23">
        <f>+[6]Subpartida!H12/1000000</f>
        <v>6.8409291899999998</v>
      </c>
      <c r="I24" s="22">
        <f t="shared" si="2"/>
        <v>-57.0703489405347</v>
      </c>
      <c r="J24" s="22">
        <f t="shared" si="3"/>
        <v>0.42245694065799627</v>
      </c>
      <c r="K24" s="16"/>
    </row>
    <row r="25" spans="1:11">
      <c r="A25" s="14"/>
      <c r="B25" s="9" t="str">
        <f>+[6]Subpartida!J13</f>
        <v>Vehículos carga menor a 4537 ton</v>
      </c>
      <c r="C25" s="21">
        <f>+[6]Subpartida!C13/1000000</f>
        <v>29.865951430000013</v>
      </c>
      <c r="D25" s="23">
        <f>+[6]Subpartida!G13/1000000</f>
        <v>86.949521850000096</v>
      </c>
      <c r="E25" s="22">
        <f t="shared" si="0"/>
        <v>191.13260313769973</v>
      </c>
      <c r="F25" s="22">
        <f t="shared" si="1"/>
        <v>0.60209998159925782</v>
      </c>
      <c r="G25" s="21">
        <f>+[6]Subpartida!D13/1000000</f>
        <v>3.0206966099999994</v>
      </c>
      <c r="H25" s="23">
        <f>+[6]Subpartida!H13/1000000</f>
        <v>30.770210330000001</v>
      </c>
      <c r="I25" s="22">
        <f t="shared" si="2"/>
        <v>918.64617016271643</v>
      </c>
      <c r="J25" s="22">
        <f t="shared" si="3"/>
        <v>1.9001934617912446</v>
      </c>
      <c r="K25" s="16"/>
    </row>
    <row r="26" spans="1:11">
      <c r="A26" s="14"/>
      <c r="B26" s="9" t="str">
        <f>+[6]Subpartida!J14</f>
        <v>Vehículos entre 1000 y 1500 cm3</v>
      </c>
      <c r="C26" s="21">
        <f>+[6]Subpartida!C14/1000000</f>
        <v>21.129665200000009</v>
      </c>
      <c r="D26" s="23">
        <f>+[6]Subpartida!G14/1000000</f>
        <v>86.886268410000028</v>
      </c>
      <c r="E26" s="22">
        <f t="shared" si="0"/>
        <v>311.20513546991742</v>
      </c>
      <c r="F26" s="22">
        <f t="shared" si="1"/>
        <v>0.60166197004669486</v>
      </c>
      <c r="G26" s="21">
        <f>+[6]Subpartida!D14/1000000</f>
        <v>2.9820148000000017</v>
      </c>
      <c r="H26" s="23">
        <f>+[6]Subpartida!H14/1000000</f>
        <v>16.49983666000001</v>
      </c>
      <c r="I26" s="22">
        <f t="shared" si="2"/>
        <v>453.31169583732452</v>
      </c>
      <c r="J26" s="22">
        <f t="shared" si="3"/>
        <v>1.0189362180403239</v>
      </c>
      <c r="K26" s="16"/>
    </row>
    <row r="27" spans="1:11">
      <c r="A27" s="14"/>
      <c r="B27" s="9" t="str">
        <f>+[6]Subpartida!J15</f>
        <v>Propulsores a reacción</v>
      </c>
      <c r="C27" s="21">
        <f>+[6]Subpartida!C15/1000000</f>
        <v>64.229652680000001</v>
      </c>
      <c r="D27" s="23">
        <f>+[6]Subpartida!G15/1000000</f>
        <v>84.321755139999979</v>
      </c>
      <c r="E27" s="22">
        <f t="shared" si="0"/>
        <v>31.281661384814406</v>
      </c>
      <c r="F27" s="22">
        <f t="shared" si="1"/>
        <v>0.58390346649400304</v>
      </c>
      <c r="G27" s="21">
        <f>+[6]Subpartida!D15/1000000</f>
        <v>0</v>
      </c>
      <c r="H27" s="23">
        <f>+[6]Subpartida!H15/1000000</f>
        <v>6.9417105699999997</v>
      </c>
      <c r="I27" s="22" t="str">
        <f t="shared" si="2"/>
        <v/>
      </c>
      <c r="J27" s="22">
        <f t="shared" si="3"/>
        <v>0.42868062640120319</v>
      </c>
      <c r="K27" s="16"/>
    </row>
    <row r="28" spans="1:11">
      <c r="A28" s="14"/>
      <c r="B28" s="9" t="str">
        <f>+[6]Subpartida!J16</f>
        <v>Productos inmunológicos</v>
      </c>
      <c r="C28" s="21">
        <f>+[6]Subpartida!C16/1000000</f>
        <v>58.871162509999969</v>
      </c>
      <c r="D28" s="23">
        <f>+[6]Subpartida!G16/1000000</f>
        <v>82.207804780000075</v>
      </c>
      <c r="E28" s="22">
        <f t="shared" si="0"/>
        <v>39.64019271071146</v>
      </c>
      <c r="F28" s="22">
        <f t="shared" si="1"/>
        <v>0.56926497917657459</v>
      </c>
      <c r="G28" s="21">
        <f>+[6]Subpartida!D16/1000000</f>
        <v>9.2626105500000033</v>
      </c>
      <c r="H28" s="23">
        <f>+[6]Subpartida!H16/1000000</f>
        <v>10.418198359999998</v>
      </c>
      <c r="I28" s="22">
        <f t="shared" si="2"/>
        <v>12.475832852542791</v>
      </c>
      <c r="J28" s="22">
        <f t="shared" si="3"/>
        <v>0.64336877112650737</v>
      </c>
      <c r="K28" s="16"/>
    </row>
    <row r="29" spans="1:11">
      <c r="A29" s="14"/>
      <c r="B29" s="9" t="str">
        <f>+[6]Subpartida!J17</f>
        <v>Máquinas impresoras</v>
      </c>
      <c r="C29" s="21">
        <f>+[6]Subpartida!C17/1000000</f>
        <v>64.462034100000082</v>
      </c>
      <c r="D29" s="23">
        <f>+[6]Subpartida!G17/1000000</f>
        <v>76.25055718999981</v>
      </c>
      <c r="E29" s="22">
        <f t="shared" si="0"/>
        <v>18.28754437334721</v>
      </c>
      <c r="F29" s="22">
        <f t="shared" si="1"/>
        <v>0.52801278378774652</v>
      </c>
      <c r="G29" s="21">
        <f>+[6]Subpartida!D17/1000000</f>
        <v>7.6555160699999973</v>
      </c>
      <c r="H29" s="23">
        <f>+[6]Subpartida!H17/1000000</f>
        <v>7.4302754400000026</v>
      </c>
      <c r="I29" s="22">
        <f t="shared" si="2"/>
        <v>-2.9422004727108431</v>
      </c>
      <c r="J29" s="22">
        <f t="shared" si="3"/>
        <v>0.45885161846393097</v>
      </c>
      <c r="K29" s="16"/>
    </row>
    <row r="30" spans="1:11">
      <c r="A30" s="14"/>
      <c r="B30" s="9" t="str">
        <f>+[6]Subpartida!J18</f>
        <v>Vacunas para medicina humana</v>
      </c>
      <c r="C30" s="21">
        <f>+[6]Subpartida!C18/1000000</f>
        <v>65.992447969999958</v>
      </c>
      <c r="D30" s="23">
        <f>+[6]Subpartida!G18/1000000</f>
        <v>76.132669410000005</v>
      </c>
      <c r="E30" s="22">
        <f t="shared" si="0"/>
        <v>15.365730097798114</v>
      </c>
      <c r="F30" s="22">
        <f t="shared" si="1"/>
        <v>0.52719644542660971</v>
      </c>
      <c r="G30" s="21">
        <f>+[6]Subpartida!D18/1000000</f>
        <v>3.8348179599999996</v>
      </c>
      <c r="H30" s="23">
        <f>+[6]Subpartida!H18/1000000</f>
        <v>8.689800309999999</v>
      </c>
      <c r="I30" s="22">
        <f t="shared" si="2"/>
        <v>126.60268103052275</v>
      </c>
      <c r="J30" s="22">
        <f t="shared" si="3"/>
        <v>0.53663272224156833</v>
      </c>
      <c r="K30" s="16"/>
    </row>
    <row r="31" spans="1:11">
      <c r="A31" s="14"/>
      <c r="B31" s="9" t="str">
        <f>+[6]Subpartida!J19</f>
        <v>Productos para tratamiento VIH</v>
      </c>
      <c r="C31" s="21">
        <f>+[6]Subpartida!C19/1000000</f>
        <v>55.427012760000018</v>
      </c>
      <c r="D31" s="23">
        <f>+[6]Subpartida!G19/1000000</f>
        <v>75.113304120000038</v>
      </c>
      <c r="E31" s="22">
        <f t="shared" si="0"/>
        <v>35.517503794119357</v>
      </c>
      <c r="F31" s="22">
        <f t="shared" si="1"/>
        <v>0.52013763924466516</v>
      </c>
      <c r="G31" s="21">
        <f>+[6]Subpartida!D19/1000000</f>
        <v>9.1034895500000008</v>
      </c>
      <c r="H31" s="23">
        <f>+[6]Subpartida!H19/1000000</f>
        <v>11.826053999999999</v>
      </c>
      <c r="I31" s="22">
        <f t="shared" si="2"/>
        <v>29.906822378897523</v>
      </c>
      <c r="J31" s="22">
        <f t="shared" si="3"/>
        <v>0.73030994096523594</v>
      </c>
      <c r="K31" s="16"/>
    </row>
    <row r="32" spans="1:11">
      <c r="A32" s="14"/>
      <c r="B32" s="9" t="str">
        <f>+[6]Subpartida!J20</f>
        <v>Los demás trigos</v>
      </c>
      <c r="C32" s="21">
        <f>+[6]Subpartida!C20/1000000</f>
        <v>80.222217410000013</v>
      </c>
      <c r="D32" s="23">
        <f>+[6]Subpartida!G20/1000000</f>
        <v>73.261392179999973</v>
      </c>
      <c r="E32" s="22">
        <f t="shared" si="0"/>
        <v>-8.676929477559348</v>
      </c>
      <c r="F32" s="22">
        <f t="shared" si="1"/>
        <v>0.50731369126573234</v>
      </c>
      <c r="G32" s="21">
        <f>+[6]Subpartida!D20/1000000</f>
        <v>9.0071734500000016</v>
      </c>
      <c r="H32" s="23">
        <f>+[6]Subpartida!H20/1000000</f>
        <v>1.1354350900000001</v>
      </c>
      <c r="I32" s="22">
        <f t="shared" si="2"/>
        <v>-87.394102086487521</v>
      </c>
      <c r="J32" s="22">
        <f t="shared" si="3"/>
        <v>7.01180236068394E-2</v>
      </c>
      <c r="K32" s="16"/>
    </row>
    <row r="33" spans="1:11">
      <c r="A33" s="14"/>
      <c r="B33" s="9" t="str">
        <f>+[6]Subpartida!J21</f>
        <v>Aparatos de medicina y cirugía</v>
      </c>
      <c r="C33" s="21">
        <f>+[6]Subpartida!C21/1000000</f>
        <v>41.512104650000019</v>
      </c>
      <c r="D33" s="23">
        <f>+[6]Subpartida!G21/1000000</f>
        <v>68.077928660000239</v>
      </c>
      <c r="E33" s="22">
        <f t="shared" si="0"/>
        <v>63.995367698130458</v>
      </c>
      <c r="F33" s="22">
        <f t="shared" si="1"/>
        <v>0.47141972401199222</v>
      </c>
      <c r="G33" s="21">
        <f>+[6]Subpartida!D21/1000000</f>
        <v>5.9290570300000018</v>
      </c>
      <c r="H33" s="23">
        <f>+[6]Subpartida!H21/1000000</f>
        <v>7.5698035099999954</v>
      </c>
      <c r="I33" s="22">
        <f t="shared" si="2"/>
        <v>27.672975174603653</v>
      </c>
      <c r="J33" s="22">
        <f t="shared" si="3"/>
        <v>0.46746807975902471</v>
      </c>
      <c r="K33" s="16"/>
    </row>
    <row r="34" spans="1:11">
      <c r="A34" s="14"/>
      <c r="B34" s="9" t="s">
        <v>40</v>
      </c>
      <c r="C34" s="21">
        <f>+C13-SUM(C14:C33)</f>
        <v>7487.8111938000202</v>
      </c>
      <c r="D34" s="23">
        <f>+D13-SUM(D14:D33)</f>
        <v>9821.1613593701004</v>
      </c>
      <c r="E34" s="22">
        <f t="shared" si="0"/>
        <v>31.161979184279076</v>
      </c>
      <c r="F34" s="22">
        <f t="shared" si="1"/>
        <v>68.008666959220008</v>
      </c>
      <c r="G34" s="21">
        <f t="shared" ref="G34:H34" si="4">+G13-SUM(G14:G33)</f>
        <v>861.80410525000025</v>
      </c>
      <c r="H34" s="23">
        <f t="shared" si="4"/>
        <v>1224.0432825899989</v>
      </c>
      <c r="I34" s="22">
        <f t="shared" si="2"/>
        <v>42.032658597619111</v>
      </c>
      <c r="J34" s="22">
        <f t="shared" si="3"/>
        <v>75.589962420871387</v>
      </c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7"/>
      <c r="B36" s="39" t="s">
        <v>25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>
      <c r="B37" s="20"/>
      <c r="C37" s="20"/>
      <c r="D37" s="89"/>
      <c r="E37" s="20"/>
    </row>
    <row r="38" spans="1:11">
      <c r="B38" s="20"/>
      <c r="C38" s="20"/>
      <c r="D38" s="89"/>
      <c r="E38" s="20"/>
    </row>
    <row r="39" spans="1:11">
      <c r="C39" s="20"/>
      <c r="D39" s="89"/>
    </row>
    <row r="40" spans="1:11">
      <c r="C40" s="20"/>
      <c r="D40" s="89"/>
    </row>
    <row r="41" spans="1:11">
      <c r="C41" s="20"/>
      <c r="D41" s="89"/>
    </row>
    <row r="42" spans="1:11">
      <c r="C42" s="20"/>
      <c r="D42" s="89"/>
    </row>
    <row r="43" spans="1:11">
      <c r="C43" s="20"/>
      <c r="D43" s="89"/>
    </row>
    <row r="44" spans="1:11">
      <c r="C44" s="20"/>
      <c r="D44" s="89"/>
    </row>
    <row r="45" spans="1:11">
      <c r="C45" s="20"/>
      <c r="D45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61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7" customWidth="1"/>
    <col min="2" max="2" width="28.5703125" style="7" customWidth="1"/>
    <col min="3" max="4" width="13" style="7" customWidth="1"/>
    <col min="5" max="5" width="10.42578125" style="7" customWidth="1"/>
    <col min="6" max="6" width="9.140625" style="7" customWidth="1"/>
    <col min="7" max="7" width="6.5703125" style="7" customWidth="1"/>
    <col min="8" max="8" width="6.85546875" style="7" customWidth="1"/>
    <col min="9" max="9" width="10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97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57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10"/>
      <c r="D9" s="110"/>
      <c r="E9" s="110"/>
      <c r="F9" s="110"/>
      <c r="G9" s="110"/>
      <c r="H9" s="110"/>
      <c r="I9" s="8"/>
      <c r="J9" s="8"/>
      <c r="K9" s="16"/>
    </row>
    <row r="10" spans="1:14" ht="15.75" customHeight="1">
      <c r="A10" s="14"/>
      <c r="B10" s="9"/>
      <c r="C10" s="114" t="s">
        <v>140</v>
      </c>
      <c r="D10" s="114"/>
      <c r="E10" s="113" t="s">
        <v>1</v>
      </c>
      <c r="F10" s="113" t="s">
        <v>4</v>
      </c>
      <c r="G10" s="114" t="s">
        <v>141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110">
        <v>2009</v>
      </c>
      <c r="D11" s="110">
        <v>2010</v>
      </c>
      <c r="E11" s="113"/>
      <c r="F11" s="113"/>
      <c r="G11" s="110">
        <v>2009</v>
      </c>
      <c r="H11" s="110">
        <v>2010</v>
      </c>
      <c r="I11" s="113"/>
      <c r="J11" s="113"/>
      <c r="K11" s="16"/>
      <c r="N11" s="2"/>
    </row>
    <row r="12" spans="1:14" ht="12" customHeight="1">
      <c r="A12" s="14"/>
      <c r="B12" s="9"/>
      <c r="C12" s="110"/>
      <c r="D12" s="110"/>
      <c r="E12" s="110"/>
      <c r="F12" s="110"/>
      <c r="G12" s="110"/>
      <c r="H12" s="110"/>
      <c r="I12" s="110"/>
      <c r="J12" s="110"/>
      <c r="K12" s="16"/>
    </row>
    <row r="13" spans="1:14">
      <c r="A13" s="14"/>
      <c r="B13" s="10" t="s">
        <v>98</v>
      </c>
      <c r="C13" s="23">
        <f>+'Resumen importaciones totales'!C13</f>
        <v>11531.093251530019</v>
      </c>
      <c r="D13" s="23">
        <f>+'Resumen importaciones totales'!D13</f>
        <v>14441.043764700104</v>
      </c>
      <c r="E13" s="25">
        <f>IF(OR(OR(D13=0,C13=0),D13=""),"",(D13/C13-1)*100)</f>
        <v>25.235686241492971</v>
      </c>
      <c r="F13" s="23">
        <f>(D13/D$13)*100</f>
        <v>100</v>
      </c>
      <c r="G13" s="23">
        <f>+'Resumen importaciones totales'!G13</f>
        <v>1265.9982494300002</v>
      </c>
      <c r="H13" s="23">
        <f>+'Resumen importaciones totales'!H13</f>
        <v>1619.3198718299989</v>
      </c>
      <c r="I13" s="25">
        <f>IF(OR(OR(H13=0,G13=0),H13=""),"",(H13/G13-1)*100)</f>
        <v>27.908539570183244</v>
      </c>
      <c r="J13" s="23">
        <f>(H13/H$13)*100</f>
        <v>100</v>
      </c>
      <c r="K13" s="16"/>
    </row>
    <row r="14" spans="1:14">
      <c r="A14" s="14"/>
      <c r="B14" s="10" t="s">
        <v>99</v>
      </c>
      <c r="C14" s="21">
        <f>SUM(C15:C26)</f>
        <v>2431.1833566100026</v>
      </c>
      <c r="D14" s="23">
        <f>SUM(D15:D26)</f>
        <v>3462.2174671999946</v>
      </c>
      <c r="E14" s="22">
        <f t="shared" ref="E14:E50" si="0">IF(OR(OR(D14=0,C14=0),D14=""),"",(D14/C14-1)*100)</f>
        <v>42.408735144832811</v>
      </c>
      <c r="F14" s="22">
        <f t="shared" ref="F14:F50" si="1">(D14/D$13)*100</f>
        <v>23.974842287114239</v>
      </c>
      <c r="G14" s="21">
        <f t="shared" ref="G14:H14" si="2">SUM(G15:G26)</f>
        <v>310.11739681000006</v>
      </c>
      <c r="H14" s="23">
        <f t="shared" si="2"/>
        <v>444.72924145999968</v>
      </c>
      <c r="I14" s="22">
        <f t="shared" ref="I14:I50" si="3">IF(OR(OR(H14=0,G14=0),H14=""),"",(H14/G14-1)*100)</f>
        <v>43.406737588627564</v>
      </c>
      <c r="J14" s="22">
        <f>(H14/H$13)*100</f>
        <v>27.463952564073068</v>
      </c>
      <c r="K14" s="16"/>
    </row>
    <row r="15" spans="1:14">
      <c r="A15" s="14"/>
      <c r="B15" s="9" t="s">
        <v>100</v>
      </c>
      <c r="C15" s="21">
        <f>+[6]cuode!C3/1000000</f>
        <v>218.52082794999998</v>
      </c>
      <c r="D15" s="23">
        <f>+[6]cuode!F3/1000000</f>
        <v>287.54462822999955</v>
      </c>
      <c r="E15" s="22">
        <f t="shared" si="0"/>
        <v>31.586829011920535</v>
      </c>
      <c r="F15" s="22">
        <f t="shared" si="1"/>
        <v>1.9911623627433206</v>
      </c>
      <c r="G15" s="21">
        <f>+[6]cuode!D3/1000000</f>
        <v>24.909030699999978</v>
      </c>
      <c r="H15" s="23">
        <f>+[6]cuode!G3/1000000</f>
        <v>37.656572009999977</v>
      </c>
      <c r="I15" s="22">
        <f t="shared" si="3"/>
        <v>51.176384434742417</v>
      </c>
      <c r="J15" s="22">
        <f t="shared" ref="J15:J50" si="4">(H15/H$13)*100</f>
        <v>2.325456055043909</v>
      </c>
      <c r="K15" s="16"/>
    </row>
    <row r="16" spans="1:14">
      <c r="A16" s="14"/>
      <c r="B16" s="9" t="s">
        <v>101</v>
      </c>
      <c r="C16" s="21">
        <f>+[6]cuode!C4/1000000</f>
        <v>36.137957749999991</v>
      </c>
      <c r="D16" s="23">
        <f>+[6]cuode!F4/1000000</f>
        <v>38.887349429999993</v>
      </c>
      <c r="E16" s="22">
        <f t="shared" si="0"/>
        <v>7.6080438718206356</v>
      </c>
      <c r="F16" s="22">
        <f t="shared" si="1"/>
        <v>0.26928350930600176</v>
      </c>
      <c r="G16" s="21">
        <f>+[6]cuode!D4/1000000</f>
        <v>6.2699023900000013</v>
      </c>
      <c r="H16" s="23">
        <f>+[6]cuode!G4/1000000</f>
        <v>3.2993105599999977</v>
      </c>
      <c r="I16" s="22">
        <f t="shared" si="3"/>
        <v>-47.378597707324168</v>
      </c>
      <c r="J16" s="22">
        <f t="shared" si="4"/>
        <v>0.20374668509881472</v>
      </c>
      <c r="K16" s="16"/>
    </row>
    <row r="17" spans="1:11">
      <c r="A17" s="14"/>
      <c r="B17" s="9" t="s">
        <v>102</v>
      </c>
      <c r="C17" s="21">
        <f>+[6]cuode!C5/1000000</f>
        <v>5.5380302100000032</v>
      </c>
      <c r="D17" s="23">
        <f>+[6]cuode!F5/1000000</f>
        <v>16.334371240000003</v>
      </c>
      <c r="E17" s="22">
        <f t="shared" si="0"/>
        <v>194.94911765748552</v>
      </c>
      <c r="F17" s="22">
        <f t="shared" si="1"/>
        <v>0.11311073843518138</v>
      </c>
      <c r="G17" s="21">
        <f>+[6]cuode!D5/1000000</f>
        <v>1.0661540300000001</v>
      </c>
      <c r="H17" s="23">
        <f>+[6]cuode!G5/1000000</f>
        <v>1.9468504099999999</v>
      </c>
      <c r="I17" s="22">
        <f t="shared" si="3"/>
        <v>82.604985322805533</v>
      </c>
      <c r="J17" s="22">
        <f t="shared" si="4"/>
        <v>0.12022642616000614</v>
      </c>
      <c r="K17" s="16"/>
    </row>
    <row r="18" spans="1:11">
      <c r="A18" s="14"/>
      <c r="B18" s="9" t="s">
        <v>118</v>
      </c>
      <c r="C18" s="21">
        <f>+[6]cuode!C6/1000000</f>
        <v>697.45569976000479</v>
      </c>
      <c r="D18" s="23">
        <f>+[6]cuode!F6/1000000</f>
        <v>807.30026523999675</v>
      </c>
      <c r="E18" s="22">
        <f t="shared" si="0"/>
        <v>15.749325085132938</v>
      </c>
      <c r="F18" s="22">
        <f t="shared" si="1"/>
        <v>5.5903179741991584</v>
      </c>
      <c r="G18" s="21">
        <f>+[6]cuode!D6/1000000</f>
        <v>79.541868779999959</v>
      </c>
      <c r="H18" s="23">
        <f>+[6]cuode!G6/1000000</f>
        <v>84.466214829999799</v>
      </c>
      <c r="I18" s="22">
        <f t="shared" si="3"/>
        <v>6.1908855367979632</v>
      </c>
      <c r="J18" s="22">
        <f t="shared" si="4"/>
        <v>5.2161537877346147</v>
      </c>
      <c r="K18" s="16"/>
    </row>
    <row r="19" spans="1:11">
      <c r="A19" s="14"/>
      <c r="B19" s="9" t="s">
        <v>119</v>
      </c>
      <c r="C19" s="21">
        <f>+[6]cuode!C7/1000000</f>
        <v>129.37297249999901</v>
      </c>
      <c r="D19" s="23">
        <f>+[6]cuode!F7/1000000</f>
        <v>166.9031038700011</v>
      </c>
      <c r="E19" s="22">
        <f t="shared" si="0"/>
        <v>29.009251812624459</v>
      </c>
      <c r="F19" s="22">
        <f t="shared" si="1"/>
        <v>1.1557551281575744</v>
      </c>
      <c r="G19" s="21">
        <f>+[6]cuode!D7/1000000</f>
        <v>16.696289470000021</v>
      </c>
      <c r="H19" s="23">
        <f>+[6]cuode!G7/1000000</f>
        <v>20.398016699999939</v>
      </c>
      <c r="I19" s="22">
        <f t="shared" si="3"/>
        <v>22.170957425308192</v>
      </c>
      <c r="J19" s="22">
        <f t="shared" si="4"/>
        <v>1.2596656815523464</v>
      </c>
      <c r="K19" s="16"/>
    </row>
    <row r="20" spans="1:11">
      <c r="A20" s="14"/>
      <c r="B20" s="9" t="s">
        <v>120</v>
      </c>
      <c r="C20" s="21">
        <f>+[6]cuode!C8/1000000</f>
        <v>284.24917850000071</v>
      </c>
      <c r="D20" s="23">
        <f>+[6]cuode!F8/1000000</f>
        <v>370.63162874999603</v>
      </c>
      <c r="E20" s="22">
        <f t="shared" si="0"/>
        <v>30.389692137666135</v>
      </c>
      <c r="F20" s="22">
        <f t="shared" si="1"/>
        <v>2.5665155150071168</v>
      </c>
      <c r="G20" s="21">
        <f>+[6]cuode!D8/1000000</f>
        <v>33.207211520000115</v>
      </c>
      <c r="H20" s="23">
        <f>+[6]cuode!G8/1000000</f>
        <v>47.501322099999996</v>
      </c>
      <c r="I20" s="22">
        <f t="shared" si="3"/>
        <v>43.045199900000021</v>
      </c>
      <c r="J20" s="22">
        <f t="shared" si="4"/>
        <v>2.9334119173328359</v>
      </c>
      <c r="K20" s="16"/>
    </row>
    <row r="21" spans="1:11">
      <c r="A21" s="14"/>
      <c r="B21" s="9" t="s">
        <v>103</v>
      </c>
      <c r="C21" s="21">
        <f>+[6]cuode!C9/1000000</f>
        <v>43.477008140000038</v>
      </c>
      <c r="D21" s="23">
        <f>+[6]cuode!F9/1000000</f>
        <v>58.979221540000239</v>
      </c>
      <c r="E21" s="22">
        <f t="shared" ref="E21:E36" si="5">IF(OR(OR(D21=0,C21=0),D21=""),"",(D21/C21-1)*100)</f>
        <v>35.656118171888963</v>
      </c>
      <c r="F21" s="22">
        <f t="shared" ref="F21:F36" si="6">(D21/D$13)*100</f>
        <v>0.40841384113916962</v>
      </c>
      <c r="G21" s="21">
        <f>+[6]cuode!D9/1000000</f>
        <v>5.8207717799999985</v>
      </c>
      <c r="H21" s="23">
        <f>+[6]cuode!G9/1000000</f>
        <v>6.5636223900000044</v>
      </c>
      <c r="I21" s="22">
        <f t="shared" ref="I21:I36" si="7">IF(OR(OR(H21=0,G21=0),H21=""),"",(H21/G21-1)*100)</f>
        <v>12.762063830649041</v>
      </c>
      <c r="J21" s="22">
        <f t="shared" ref="J21:J36" si="8">(H21/H$13)*100</f>
        <v>0.40533204737260664</v>
      </c>
      <c r="K21" s="16"/>
    </row>
    <row r="22" spans="1:11">
      <c r="A22" s="14"/>
      <c r="B22" s="9" t="s">
        <v>121</v>
      </c>
      <c r="C22" s="21">
        <f>+[6]cuode!C10/1000000</f>
        <v>227.59087467999944</v>
      </c>
      <c r="D22" s="23">
        <f>+[6]cuode!F10/1000000</f>
        <v>281.93720231999947</v>
      </c>
      <c r="E22" s="22">
        <f t="shared" si="5"/>
        <v>23.878957236933516</v>
      </c>
      <c r="F22" s="22">
        <f t="shared" si="6"/>
        <v>1.9523325800671751</v>
      </c>
      <c r="G22" s="21">
        <f>+[6]cuode!D10/1000000</f>
        <v>30.057612740000078</v>
      </c>
      <c r="H22" s="23">
        <f>+[6]cuode!G10/1000000</f>
        <v>37.269822059999981</v>
      </c>
      <c r="I22" s="22">
        <f t="shared" si="7"/>
        <v>23.994617877294154</v>
      </c>
      <c r="J22" s="22">
        <f t="shared" si="8"/>
        <v>2.3015725742858471</v>
      </c>
      <c r="K22" s="16"/>
    </row>
    <row r="23" spans="1:11">
      <c r="A23" s="14"/>
      <c r="B23" s="9" t="s">
        <v>122</v>
      </c>
      <c r="C23" s="21">
        <f>+[6]cuode!C11/1000000</f>
        <v>91.27311916999939</v>
      </c>
      <c r="D23" s="23">
        <f>+[6]cuode!F11/1000000</f>
        <v>146.94644171000022</v>
      </c>
      <c r="E23" s="22">
        <f t="shared" si="5"/>
        <v>60.996406221537484</v>
      </c>
      <c r="F23" s="22">
        <f t="shared" si="6"/>
        <v>1.0175610856411794</v>
      </c>
      <c r="G23" s="21">
        <f>+[6]cuode!D11/1000000</f>
        <v>11.218020809999999</v>
      </c>
      <c r="H23" s="23">
        <f>+[6]cuode!G11/1000000</f>
        <v>18.941494930000026</v>
      </c>
      <c r="I23" s="22">
        <f t="shared" si="7"/>
        <v>68.848812556267916</v>
      </c>
      <c r="J23" s="22">
        <f t="shared" si="8"/>
        <v>1.1697191678747312</v>
      </c>
      <c r="K23" s="16"/>
    </row>
    <row r="24" spans="1:11">
      <c r="A24" s="14"/>
      <c r="B24" s="9" t="s">
        <v>123</v>
      </c>
      <c r="C24" s="21">
        <f>+[6]cuode!C12/1000000</f>
        <v>250.70383045000028</v>
      </c>
      <c r="D24" s="23">
        <f>+[6]cuode!F12/1000000</f>
        <v>427.06566017000137</v>
      </c>
      <c r="E24" s="22">
        <f t="shared" si="5"/>
        <v>70.346683336844436</v>
      </c>
      <c r="F24" s="22">
        <f t="shared" si="6"/>
        <v>2.9573046597499193</v>
      </c>
      <c r="G24" s="21">
        <f>+[6]cuode!D12/1000000</f>
        <v>40.310197869999975</v>
      </c>
      <c r="H24" s="23">
        <f>+[6]cuode!G12/1000000</f>
        <v>35.414298869999961</v>
      </c>
      <c r="I24" s="22">
        <f t="shared" si="7"/>
        <v>-12.145559334115019</v>
      </c>
      <c r="J24" s="22">
        <f t="shared" si="8"/>
        <v>2.1869859986327556</v>
      </c>
      <c r="K24" s="16"/>
    </row>
    <row r="25" spans="1:11">
      <c r="A25" s="14"/>
      <c r="B25" s="9" t="s">
        <v>124</v>
      </c>
      <c r="C25" s="21">
        <f>+[6]cuode!C13/1000000</f>
        <v>369.46288548999991</v>
      </c>
      <c r="D25" s="23">
        <f>+[6]cuode!F13/1000000</f>
        <v>761.76068400999952</v>
      </c>
      <c r="E25" s="22">
        <f t="shared" si="5"/>
        <v>106.18057020794254</v>
      </c>
      <c r="F25" s="22">
        <f t="shared" si="6"/>
        <v>5.2749697073286237</v>
      </c>
      <c r="G25" s="21">
        <f>+[6]cuode!D13/1000000</f>
        <v>51.010878389999974</v>
      </c>
      <c r="H25" s="23">
        <f>+[6]cuode!G13/1000000</f>
        <v>145.75153171999997</v>
      </c>
      <c r="I25" s="22">
        <f t="shared" si="7"/>
        <v>185.72637115884811</v>
      </c>
      <c r="J25" s="22">
        <f t="shared" si="8"/>
        <v>9.0007869510849439</v>
      </c>
      <c r="K25" s="16"/>
    </row>
    <row r="26" spans="1:11">
      <c r="A26" s="14"/>
      <c r="B26" s="9" t="s">
        <v>104</v>
      </c>
      <c r="C26" s="21">
        <f>+[6]cuode!C14/1000000</f>
        <v>77.400972009999961</v>
      </c>
      <c r="D26" s="23">
        <f>+[6]cuode!F14/1000000</f>
        <v>97.926910690000014</v>
      </c>
      <c r="E26" s="22">
        <f t="shared" si="5"/>
        <v>26.518967587833608</v>
      </c>
      <c r="F26" s="22">
        <f t="shared" si="6"/>
        <v>0.67811518533981574</v>
      </c>
      <c r="G26" s="21">
        <f>+[6]cuode!D14/1000000</f>
        <v>10.009458329999999</v>
      </c>
      <c r="H26" s="23">
        <f>+[6]cuode!G14/1000000</f>
        <v>5.5201848799999995</v>
      </c>
      <c r="I26" s="22">
        <f t="shared" si="7"/>
        <v>-44.850313593343074</v>
      </c>
      <c r="J26" s="22">
        <f t="shared" si="8"/>
        <v>0.34089527189965374</v>
      </c>
      <c r="K26" s="16"/>
    </row>
    <row r="27" spans="1:11">
      <c r="A27" s="14"/>
      <c r="B27" s="10" t="s">
        <v>36</v>
      </c>
      <c r="C27" s="21">
        <f>SUM(C28:C36)</f>
        <v>3232.7554560099898</v>
      </c>
      <c r="D27" s="23">
        <f>SUM(D28:D36)</f>
        <v>4394.8001581399803</v>
      </c>
      <c r="E27" s="22">
        <f t="shared" si="5"/>
        <v>35.945951308183325</v>
      </c>
      <c r="F27" s="22">
        <f t="shared" si="6"/>
        <v>30.432704378908493</v>
      </c>
      <c r="G27" s="21">
        <f t="shared" ref="G27:H27" si="9">SUM(G28:G36)</f>
        <v>360.52847141999996</v>
      </c>
      <c r="H27" s="23">
        <f t="shared" si="9"/>
        <v>557.51152532000015</v>
      </c>
      <c r="I27" s="22">
        <f t="shared" si="7"/>
        <v>54.637308705232179</v>
      </c>
      <c r="J27" s="22">
        <f t="shared" si="8"/>
        <v>34.428745982716464</v>
      </c>
      <c r="K27" s="16"/>
    </row>
    <row r="28" spans="1:11">
      <c r="A28" s="14"/>
      <c r="B28" s="9" t="s">
        <v>125</v>
      </c>
      <c r="C28" s="21">
        <f>+[6]cuode!C15/1000000</f>
        <v>2.0922221699999999</v>
      </c>
      <c r="D28" s="23">
        <f>+[6]cuode!F15/1000000</f>
        <v>35.730261279999979</v>
      </c>
      <c r="E28" s="22">
        <f t="shared" si="5"/>
        <v>1607.7661154885852</v>
      </c>
      <c r="F28" s="22">
        <f t="shared" si="6"/>
        <v>0.24742159820427628</v>
      </c>
      <c r="G28" s="21">
        <f>+[6]cuode!D15/1000000</f>
        <v>7.7257510000000015E-2</v>
      </c>
      <c r="H28" s="23">
        <f>+[6]cuode!G15/1000000</f>
        <v>22.395432830000001</v>
      </c>
      <c r="I28" s="22">
        <f t="shared" si="7"/>
        <v>28888.033435196132</v>
      </c>
      <c r="J28" s="22">
        <f t="shared" si="8"/>
        <v>1.3830147594428546</v>
      </c>
      <c r="K28" s="16"/>
    </row>
    <row r="29" spans="1:11">
      <c r="A29" s="14"/>
      <c r="B29" s="9" t="s">
        <v>105</v>
      </c>
      <c r="C29" s="21">
        <f>+[6]cuode!C16/1000000</f>
        <v>31.481093380000029</v>
      </c>
      <c r="D29" s="23">
        <f>+[6]cuode!F16/1000000</f>
        <v>82.255434879999939</v>
      </c>
      <c r="E29" s="22">
        <f t="shared" si="5"/>
        <v>161.28519072421068</v>
      </c>
      <c r="F29" s="22">
        <f t="shared" si="6"/>
        <v>0.56959480367386128</v>
      </c>
      <c r="G29" s="21">
        <f>+[6]cuode!D16/1000000</f>
        <v>2.6539998300000005</v>
      </c>
      <c r="H29" s="23">
        <f>+[6]cuode!G16/1000000</f>
        <v>47.426984140000002</v>
      </c>
      <c r="I29" s="22">
        <f t="shared" si="7"/>
        <v>1687.0002704559327</v>
      </c>
      <c r="J29" s="22">
        <f t="shared" si="8"/>
        <v>2.928821227050256</v>
      </c>
      <c r="K29" s="16"/>
    </row>
    <row r="30" spans="1:11">
      <c r="A30" s="14"/>
      <c r="B30" s="9" t="s">
        <v>106</v>
      </c>
      <c r="C30" s="21">
        <f>+[6]cuode!C17/1000000</f>
        <v>65.933377250000021</v>
      </c>
      <c r="D30" s="23">
        <f>+[6]cuode!F17/1000000</f>
        <v>65.300893269999975</v>
      </c>
      <c r="E30" s="22">
        <f t="shared" si="5"/>
        <v>-0.95927738935903673</v>
      </c>
      <c r="F30" s="22">
        <f t="shared" si="6"/>
        <v>0.45218956700084539</v>
      </c>
      <c r="G30" s="21">
        <f>+[6]cuode!D17/1000000</f>
        <v>6.7688455200000011</v>
      </c>
      <c r="H30" s="23">
        <f>+[6]cuode!G17/1000000</f>
        <v>3.5989776200000003</v>
      </c>
      <c r="I30" s="22">
        <f t="shared" si="7"/>
        <v>-46.830259172468161</v>
      </c>
      <c r="J30" s="22">
        <f t="shared" si="8"/>
        <v>0.22225242106939525</v>
      </c>
      <c r="K30" s="16"/>
    </row>
    <row r="31" spans="1:11">
      <c r="A31" s="14"/>
      <c r="B31" s="9" t="s">
        <v>107</v>
      </c>
      <c r="C31" s="21">
        <f>+[6]cuode!C18/1000000</f>
        <v>148.09465520000018</v>
      </c>
      <c r="D31" s="23">
        <f>+[6]cuode!F18/1000000</f>
        <v>132.80545671999991</v>
      </c>
      <c r="E31" s="22">
        <f t="shared" si="5"/>
        <v>-10.323936714226701</v>
      </c>
      <c r="F31" s="22">
        <f t="shared" si="6"/>
        <v>0.91963890480431543</v>
      </c>
      <c r="G31" s="21">
        <f>+[6]cuode!D18/1000000</f>
        <v>14.969205689999987</v>
      </c>
      <c r="H31" s="23">
        <f>+[6]cuode!G18/1000000</f>
        <v>10.17815665</v>
      </c>
      <c r="I31" s="22">
        <f t="shared" si="7"/>
        <v>-32.006033848546778</v>
      </c>
      <c r="J31" s="22">
        <f t="shared" si="8"/>
        <v>0.62854515819024881</v>
      </c>
      <c r="K31" s="16"/>
    </row>
    <row r="32" spans="1:11">
      <c r="A32" s="14"/>
      <c r="B32" s="9" t="s">
        <v>126</v>
      </c>
      <c r="C32" s="21">
        <f>+[6]cuode!C19/1000000</f>
        <v>250.29487986999956</v>
      </c>
      <c r="D32" s="23">
        <f>+[6]cuode!F19/1000000</f>
        <v>386.77209353000035</v>
      </c>
      <c r="E32" s="22">
        <f t="shared" si="5"/>
        <v>54.526570312139654</v>
      </c>
      <c r="F32" s="22">
        <f t="shared" si="6"/>
        <v>2.6782835079790535</v>
      </c>
      <c r="G32" s="21">
        <f>+[6]cuode!D19/1000000</f>
        <v>30.577107960000003</v>
      </c>
      <c r="H32" s="23">
        <f>+[6]cuode!G19/1000000</f>
        <v>24.897179200000011</v>
      </c>
      <c r="I32" s="22">
        <f t="shared" si="7"/>
        <v>-18.575755324637942</v>
      </c>
      <c r="J32" s="22">
        <f t="shared" si="8"/>
        <v>1.537508409123864</v>
      </c>
      <c r="K32" s="16"/>
    </row>
    <row r="33" spans="1:11">
      <c r="A33" s="14"/>
      <c r="B33" s="9" t="s">
        <v>108</v>
      </c>
      <c r="C33" s="21">
        <f>+[6]cuode!C20/1000000</f>
        <v>425.19488628000022</v>
      </c>
      <c r="D33" s="23">
        <f>+[6]cuode!F20/1000000</f>
        <v>613.32980234999889</v>
      </c>
      <c r="E33" s="22">
        <f t="shared" si="5"/>
        <v>44.246749464928349</v>
      </c>
      <c r="F33" s="22">
        <f t="shared" si="6"/>
        <v>4.2471293096502567</v>
      </c>
      <c r="G33" s="21">
        <f>+[6]cuode!D20/1000000</f>
        <v>50.777428540000038</v>
      </c>
      <c r="H33" s="23">
        <f>+[6]cuode!G20/1000000</f>
        <v>78.848612859999989</v>
      </c>
      <c r="I33" s="22">
        <f t="shared" si="7"/>
        <v>55.28280010849074</v>
      </c>
      <c r="J33" s="22">
        <f t="shared" si="8"/>
        <v>4.8692425895380946</v>
      </c>
      <c r="K33" s="16"/>
    </row>
    <row r="34" spans="1:11">
      <c r="A34" s="14"/>
      <c r="B34" s="9" t="s">
        <v>127</v>
      </c>
      <c r="C34" s="21">
        <f>+[6]cuode!C21/1000000</f>
        <v>692.65499446999092</v>
      </c>
      <c r="D34" s="23">
        <f>+[6]cuode!F21/1000000</f>
        <v>984.74016519999498</v>
      </c>
      <c r="E34" s="22">
        <f t="shared" si="5"/>
        <v>42.168925808945225</v>
      </c>
      <c r="F34" s="22">
        <f t="shared" si="6"/>
        <v>6.8190373303009313</v>
      </c>
      <c r="G34" s="21">
        <f>+[6]cuode!D21/1000000</f>
        <v>76.184069220000794</v>
      </c>
      <c r="H34" s="23">
        <f>+[6]cuode!G21/1000000</f>
        <v>118.27035794000025</v>
      </c>
      <c r="I34" s="22">
        <f t="shared" si="7"/>
        <v>55.242899402583291</v>
      </c>
      <c r="J34" s="22">
        <f t="shared" si="8"/>
        <v>7.3037057098757465</v>
      </c>
      <c r="K34" s="16"/>
    </row>
    <row r="35" spans="1:11">
      <c r="A35" s="14"/>
      <c r="B35" s="9" t="s">
        <v>109</v>
      </c>
      <c r="C35" s="21">
        <f>+[6]cuode!C22/1000000</f>
        <v>1330.595114379998</v>
      </c>
      <c r="D35" s="23">
        <f>+[6]cuode!F22/1000000</f>
        <v>1715.7192209499881</v>
      </c>
      <c r="E35" s="22">
        <f t="shared" si="5"/>
        <v>28.943748733771791</v>
      </c>
      <c r="F35" s="22">
        <f t="shared" si="6"/>
        <v>11.880853274220502</v>
      </c>
      <c r="G35" s="21">
        <f>+[6]cuode!D22/1000000</f>
        <v>152.73153990999916</v>
      </c>
      <c r="H35" s="23">
        <f>+[6]cuode!G22/1000000</f>
        <v>193.85078967999985</v>
      </c>
      <c r="I35" s="22">
        <f t="shared" si="7"/>
        <v>26.922566088334634</v>
      </c>
      <c r="J35" s="22">
        <f t="shared" si="8"/>
        <v>11.971123991761331</v>
      </c>
      <c r="K35" s="16"/>
    </row>
    <row r="36" spans="1:11">
      <c r="A36" s="14"/>
      <c r="B36" s="9" t="s">
        <v>128</v>
      </c>
      <c r="C36" s="21">
        <f>+[6]cuode!C23/1000000</f>
        <v>286.41423301000094</v>
      </c>
      <c r="D36" s="23">
        <f>+[6]cuode!F23/1000000</f>
        <v>378.14682995999846</v>
      </c>
      <c r="E36" s="22">
        <f t="shared" si="5"/>
        <v>32.027946371922944</v>
      </c>
      <c r="F36" s="22">
        <f t="shared" si="6"/>
        <v>2.6185560830744521</v>
      </c>
      <c r="G36" s="21">
        <f>+[6]cuode!D23/1000000</f>
        <v>25.789017239999993</v>
      </c>
      <c r="H36" s="23">
        <f>+[6]cuode!G23/1000000</f>
        <v>58.045034400000063</v>
      </c>
      <c r="I36" s="22">
        <f t="shared" si="7"/>
        <v>125.07656596533448</v>
      </c>
      <c r="J36" s="22">
        <f t="shared" si="8"/>
        <v>3.5845317166646748</v>
      </c>
      <c r="K36" s="16"/>
    </row>
    <row r="37" spans="1:11">
      <c r="A37" s="14"/>
      <c r="B37" s="10" t="s">
        <v>129</v>
      </c>
      <c r="C37" s="21">
        <f>SUM(C38:C49)</f>
        <v>5842.1281162999885</v>
      </c>
      <c r="D37" s="23">
        <f>SUM(D38:D49)</f>
        <v>6557.1526055700015</v>
      </c>
      <c r="E37" s="22">
        <f t="shared" si="0"/>
        <v>12.239110047502022</v>
      </c>
      <c r="F37" s="22">
        <f t="shared" si="1"/>
        <v>45.406361980554344</v>
      </c>
      <c r="G37" s="21">
        <f t="shared" ref="G37:H37" si="10">SUM(G38:G49)</f>
        <v>593.41138429999978</v>
      </c>
      <c r="H37" s="23">
        <f t="shared" si="10"/>
        <v>615.01271022999936</v>
      </c>
      <c r="I37" s="22">
        <f t="shared" si="3"/>
        <v>3.6401940544974476</v>
      </c>
      <c r="J37" s="22">
        <f t="shared" si="4"/>
        <v>37.979692643120067</v>
      </c>
      <c r="K37" s="16"/>
    </row>
    <row r="38" spans="1:11">
      <c r="A38" s="14"/>
      <c r="B38" s="9" t="s">
        <v>110</v>
      </c>
      <c r="C38" s="21">
        <f>+[6]cuode!C24/1000000</f>
        <v>22.902630589999994</v>
      </c>
      <c r="D38" s="23">
        <f>+[6]cuode!F24/1000000</f>
        <v>14.275363160000015</v>
      </c>
      <c r="E38" s="22">
        <f t="shared" si="0"/>
        <v>-37.669329713447475</v>
      </c>
      <c r="F38" s="22">
        <f t="shared" si="1"/>
        <v>9.8852710320668918E-2</v>
      </c>
      <c r="G38" s="21">
        <f>+[6]cuode!D24/1000000</f>
        <v>1.2462985500000003</v>
      </c>
      <c r="H38" s="23">
        <f>+[6]cuode!G24/1000000</f>
        <v>1.6726880899999996</v>
      </c>
      <c r="I38" s="22">
        <f t="shared" si="3"/>
        <v>34.212471803004107</v>
      </c>
      <c r="J38" s="22">
        <f t="shared" si="4"/>
        <v>0.10329571810353251</v>
      </c>
      <c r="K38" s="16"/>
    </row>
    <row r="39" spans="1:11">
      <c r="A39" s="14"/>
      <c r="B39" s="9" t="s">
        <v>111</v>
      </c>
      <c r="C39" s="21">
        <f>+[6]cuode!C25/1000000</f>
        <v>0.71902487000000015</v>
      </c>
      <c r="D39" s="23">
        <f>+[6]cuode!F25/1000000</f>
        <v>1.5258672100000004</v>
      </c>
      <c r="E39" s="22">
        <f t="shared" si="0"/>
        <v>112.21341203399544</v>
      </c>
      <c r="F39" s="22">
        <f t="shared" si="1"/>
        <v>1.0566183683549609E-2</v>
      </c>
      <c r="G39" s="21">
        <f>+[6]cuode!D25/1000000</f>
        <v>7.9026890000000002E-2</v>
      </c>
      <c r="H39" s="23">
        <f>+[6]cuode!G25/1000000</f>
        <v>0.33789515999999997</v>
      </c>
      <c r="I39" s="22">
        <f t="shared" si="3"/>
        <v>327.56985628562632</v>
      </c>
      <c r="J39" s="22">
        <f t="shared" si="4"/>
        <v>2.086648634887334E-2</v>
      </c>
      <c r="K39" s="16"/>
    </row>
    <row r="40" spans="1:11">
      <c r="A40" s="14"/>
      <c r="B40" s="9" t="s">
        <v>130</v>
      </c>
      <c r="C40" s="21">
        <f>+[6]cuode!C26/1000000</f>
        <v>31.144678619999983</v>
      </c>
      <c r="D40" s="23">
        <f>+[6]cuode!F26/1000000</f>
        <v>18.295910969999994</v>
      </c>
      <c r="E40" s="22">
        <f t="shared" si="0"/>
        <v>-41.255097882914015</v>
      </c>
      <c r="F40" s="22">
        <f t="shared" si="1"/>
        <v>0.12669382676287419</v>
      </c>
      <c r="G40" s="21">
        <f>+[6]cuode!D26/1000000</f>
        <v>1.3949525</v>
      </c>
      <c r="H40" s="23">
        <f>+[6]cuode!G26/1000000</f>
        <v>2.4960109100000003</v>
      </c>
      <c r="I40" s="22">
        <f t="shared" si="3"/>
        <v>78.931605914896764</v>
      </c>
      <c r="J40" s="22">
        <f t="shared" si="4"/>
        <v>0.15413946024013464</v>
      </c>
      <c r="K40" s="16"/>
    </row>
    <row r="41" spans="1:11">
      <c r="A41" s="14"/>
      <c r="B41" s="9" t="s">
        <v>131</v>
      </c>
      <c r="C41" s="21">
        <f>+[6]cuode!C27/1000000</f>
        <v>1038.1873994399925</v>
      </c>
      <c r="D41" s="23">
        <f>+[6]cuode!F27/1000000</f>
        <v>1373.706471310006</v>
      </c>
      <c r="E41" s="22">
        <f t="shared" si="0"/>
        <v>32.317775389201927</v>
      </c>
      <c r="F41" s="22">
        <f t="shared" si="1"/>
        <v>9.5125151179716934</v>
      </c>
      <c r="G41" s="21">
        <f>+[6]cuode!D27/1000000</f>
        <v>125.11660248000007</v>
      </c>
      <c r="H41" s="23">
        <f>+[6]cuode!G27/1000000</f>
        <v>142.73508722</v>
      </c>
      <c r="I41" s="22">
        <f t="shared" si="3"/>
        <v>14.08165214749677</v>
      </c>
      <c r="J41" s="22">
        <f t="shared" si="4"/>
        <v>8.8145084676009446</v>
      </c>
      <c r="K41" s="16"/>
    </row>
    <row r="42" spans="1:11">
      <c r="A42" s="14"/>
      <c r="B42" s="9" t="s">
        <v>132</v>
      </c>
      <c r="C42" s="21">
        <f>+[6]cuode!C28/1000000</f>
        <v>61.40285507999976</v>
      </c>
      <c r="D42" s="23">
        <f>+[6]cuode!F28/1000000</f>
        <v>88.247864179999766</v>
      </c>
      <c r="E42" s="22">
        <f t="shared" si="0"/>
        <v>43.719480250591801</v>
      </c>
      <c r="F42" s="22">
        <f t="shared" si="1"/>
        <v>0.61109062210388232</v>
      </c>
      <c r="G42" s="21">
        <f>+[6]cuode!D28/1000000</f>
        <v>6.2634647499999971</v>
      </c>
      <c r="H42" s="23">
        <f>+[6]cuode!G28/1000000</f>
        <v>9.0776084100000087</v>
      </c>
      <c r="I42" s="22">
        <f t="shared" si="3"/>
        <v>44.929504233260232</v>
      </c>
      <c r="J42" s="22">
        <f t="shared" si="4"/>
        <v>0.56058154833494211</v>
      </c>
      <c r="K42" s="16"/>
    </row>
    <row r="43" spans="1:11">
      <c r="A43" s="14"/>
      <c r="B43" s="9" t="s">
        <v>112</v>
      </c>
      <c r="C43" s="21">
        <f>+[6]cuode!C29/1000000</f>
        <v>195.31164069000033</v>
      </c>
      <c r="D43" s="23">
        <f>+[6]cuode!F29/1000000</f>
        <v>247.44541832000064</v>
      </c>
      <c r="E43" s="22">
        <f t="shared" si="0"/>
        <v>26.692611585167782</v>
      </c>
      <c r="F43" s="22">
        <f t="shared" si="1"/>
        <v>1.713487074423663</v>
      </c>
      <c r="G43" s="21">
        <f>+[6]cuode!D29/1000000</f>
        <v>37.95488372999997</v>
      </c>
      <c r="H43" s="23">
        <f>+[6]cuode!G29/1000000</f>
        <v>31.98567445000004</v>
      </c>
      <c r="I43" s="22">
        <f t="shared" si="3"/>
        <v>-15.727117812988578</v>
      </c>
      <c r="J43" s="22">
        <f t="shared" si="4"/>
        <v>1.9752536238472094</v>
      </c>
      <c r="K43" s="16"/>
    </row>
    <row r="44" spans="1:11">
      <c r="A44" s="14"/>
      <c r="B44" s="9" t="s">
        <v>133</v>
      </c>
      <c r="C44" s="21">
        <f>+[6]cuode!C30/1000000</f>
        <v>849.77638192999473</v>
      </c>
      <c r="D44" s="23">
        <f>+[6]cuode!F30/1000000</f>
        <v>1014.9251458499957</v>
      </c>
      <c r="E44" s="22">
        <f t="shared" si="0"/>
        <v>19.434379141594693</v>
      </c>
      <c r="F44" s="22">
        <f t="shared" si="1"/>
        <v>7.0280594836980796</v>
      </c>
      <c r="G44" s="21">
        <f>+[6]cuode!D30/1000000</f>
        <v>88.197601779999957</v>
      </c>
      <c r="H44" s="23">
        <f>+[6]cuode!G30/1000000</f>
        <v>123.43402212999945</v>
      </c>
      <c r="I44" s="22">
        <f t="shared" si="3"/>
        <v>39.951676280147844</v>
      </c>
      <c r="J44" s="22">
        <f t="shared" si="4"/>
        <v>7.6225842884584765</v>
      </c>
      <c r="K44" s="16"/>
    </row>
    <row r="45" spans="1:11">
      <c r="A45" s="14"/>
      <c r="B45" s="9" t="s">
        <v>113</v>
      </c>
      <c r="C45" s="21">
        <f>+[6]cuode!C31/1000000</f>
        <v>905.62564977999682</v>
      </c>
      <c r="D45" s="23">
        <f>+[6]cuode!F31/1000000</f>
        <v>1255.9541440899927</v>
      </c>
      <c r="E45" s="22">
        <f t="shared" si="0"/>
        <v>38.683587903578157</v>
      </c>
      <c r="F45" s="22">
        <f t="shared" si="1"/>
        <v>8.697114727676853</v>
      </c>
      <c r="G45" s="21">
        <f>+[6]cuode!D31/1000000</f>
        <v>86.868086850000054</v>
      </c>
      <c r="H45" s="23">
        <f>+[6]cuode!G31/1000000</f>
        <v>141.49916889999997</v>
      </c>
      <c r="I45" s="22">
        <f t="shared" si="3"/>
        <v>62.889703262757976</v>
      </c>
      <c r="J45" s="22">
        <f t="shared" si="4"/>
        <v>8.7381851703018558</v>
      </c>
      <c r="K45" s="16"/>
    </row>
    <row r="46" spans="1:11">
      <c r="A46" s="14"/>
      <c r="B46" s="9" t="s">
        <v>114</v>
      </c>
      <c r="C46" s="21">
        <f>+[6]cuode!C32/1000000</f>
        <v>559.18238342000609</v>
      </c>
      <c r="D46" s="23">
        <f>+[6]cuode!F32/1000000</f>
        <v>693.2155588100054</v>
      </c>
      <c r="E46" s="22">
        <f t="shared" si="0"/>
        <v>23.96949177301353</v>
      </c>
      <c r="F46" s="22">
        <f t="shared" si="1"/>
        <v>4.8003147840636808</v>
      </c>
      <c r="G46" s="21">
        <f>+[6]cuode!D32/1000000</f>
        <v>54.652956869999684</v>
      </c>
      <c r="H46" s="23">
        <f>+[6]cuode!G32/1000000</f>
        <v>69.659055520000052</v>
      </c>
      <c r="I46" s="22">
        <f t="shared" si="3"/>
        <v>27.457066386535402</v>
      </c>
      <c r="J46" s="22">
        <f t="shared" si="4"/>
        <v>4.301747710986719</v>
      </c>
      <c r="K46" s="16"/>
    </row>
    <row r="47" spans="1:11">
      <c r="A47" s="14"/>
      <c r="B47" s="9" t="s">
        <v>134</v>
      </c>
      <c r="C47" s="21">
        <f>+[6]cuode!C33/1000000</f>
        <v>2164.8880748099987</v>
      </c>
      <c r="D47" s="23">
        <f>+[6]cuode!F33/1000000</f>
        <v>1833.6362722900008</v>
      </c>
      <c r="E47" s="22">
        <f t="shared" si="0"/>
        <v>-15.301105233769196</v>
      </c>
      <c r="F47" s="22">
        <f t="shared" si="1"/>
        <v>12.697394330818163</v>
      </c>
      <c r="G47" s="21">
        <f>+[6]cuode!D33/1000000</f>
        <v>190.69734326000005</v>
      </c>
      <c r="H47" s="23">
        <f>+[6]cuode!G33/1000000</f>
        <v>90.178834359999925</v>
      </c>
      <c r="I47" s="22">
        <f t="shared" si="3"/>
        <v>-52.7110169348041</v>
      </c>
      <c r="J47" s="22">
        <f t="shared" si="4"/>
        <v>5.5689327308809293</v>
      </c>
      <c r="K47" s="16"/>
    </row>
    <row r="48" spans="1:11">
      <c r="A48" s="14"/>
      <c r="B48" s="9" t="s">
        <v>115</v>
      </c>
      <c r="C48" s="21">
        <f>+[6]cuode!C34/1000000</f>
        <v>12.98739707</v>
      </c>
      <c r="D48" s="23">
        <f>+[6]cuode!F34/1000000</f>
        <v>15.924589379999979</v>
      </c>
      <c r="E48" s="22">
        <f t="shared" si="0"/>
        <v>22.615711941114757</v>
      </c>
      <c r="F48" s="22">
        <f t="shared" si="1"/>
        <v>0.11027311903123149</v>
      </c>
      <c r="G48" s="21">
        <f>+[6]cuode!D34/1000000</f>
        <v>0.94016664000000016</v>
      </c>
      <c r="H48" s="23">
        <f>+[6]cuode!G34/1000000</f>
        <v>1.9366650800000011</v>
      </c>
      <c r="I48" s="22">
        <f t="shared" si="3"/>
        <v>105.99168249577554</v>
      </c>
      <c r="J48" s="22">
        <f t="shared" si="4"/>
        <v>0.11959743801645374</v>
      </c>
      <c r="K48" s="16"/>
    </row>
    <row r="49" spans="1:11">
      <c r="A49" s="14"/>
      <c r="B49" s="9" t="s">
        <v>116</v>
      </c>
      <c r="C49" s="21">
        <f>+[6]cuode!C35/1000000</f>
        <v>0</v>
      </c>
      <c r="D49" s="23">
        <f>+[6]cuode!F35/1000000</f>
        <v>0</v>
      </c>
      <c r="E49" s="22" t="str">
        <f t="shared" si="0"/>
        <v/>
      </c>
      <c r="F49" s="22">
        <f t="shared" si="1"/>
        <v>0</v>
      </c>
      <c r="G49" s="21">
        <f>+[6]cuode!D35/1000000</f>
        <v>0</v>
      </c>
      <c r="H49" s="23">
        <f>+[6]cuode!G35/1000000</f>
        <v>0</v>
      </c>
      <c r="I49" s="22" t="str">
        <f t="shared" si="3"/>
        <v/>
      </c>
      <c r="J49" s="22">
        <f t="shared" si="4"/>
        <v>0</v>
      </c>
      <c r="K49" s="16"/>
    </row>
    <row r="50" spans="1:11">
      <c r="A50" s="14"/>
      <c r="B50" s="10" t="s">
        <v>117</v>
      </c>
      <c r="C50" s="21">
        <f>+[6]cuode!$C$2/1000000</f>
        <v>25.026322610000019</v>
      </c>
      <c r="D50" s="23">
        <f>+[6]cuode!$F$2/1000000</f>
        <v>26.873533789999996</v>
      </c>
      <c r="E50" s="22">
        <f t="shared" si="0"/>
        <v>7.3810731555976616</v>
      </c>
      <c r="F50" s="22">
        <f t="shared" si="1"/>
        <v>0.18609135342204317</v>
      </c>
      <c r="G50" s="21">
        <f>+[6]cuode!$D$2/1000000</f>
        <v>1.9409969000000005</v>
      </c>
      <c r="H50" s="23">
        <f>+[6]cuode!$G$2/1000000</f>
        <v>2.0663948200000015</v>
      </c>
      <c r="I50" s="22">
        <f t="shared" si="3"/>
        <v>6.4604904830090737</v>
      </c>
      <c r="J50" s="22">
        <f t="shared" si="4"/>
        <v>0.12760881009042158</v>
      </c>
      <c r="K50" s="16"/>
    </row>
    <row r="51" spans="1:11">
      <c r="A51" s="14"/>
      <c r="B51" s="9"/>
      <c r="C51" s="4"/>
      <c r="D51" s="4"/>
      <c r="E51" s="4"/>
      <c r="F51" s="5"/>
      <c r="G51" s="5"/>
      <c r="H51" s="5"/>
      <c r="I51" s="6"/>
      <c r="J51" s="6"/>
      <c r="K51" s="16"/>
    </row>
    <row r="52" spans="1:11">
      <c r="A52" s="17"/>
      <c r="B52" s="39" t="s">
        <v>25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>
      <c r="B53" s="20"/>
      <c r="C53" s="20"/>
      <c r="D53" s="89"/>
      <c r="E53" s="20"/>
    </row>
    <row r="54" spans="1:11">
      <c r="B54" s="20"/>
      <c r="C54" s="20"/>
      <c r="D54" s="89"/>
      <c r="E54" s="20"/>
    </row>
    <row r="55" spans="1:11">
      <c r="C55" s="20"/>
      <c r="D55" s="89"/>
    </row>
    <row r="56" spans="1:11">
      <c r="C56" s="20"/>
      <c r="D56" s="89"/>
    </row>
    <row r="57" spans="1:11">
      <c r="C57" s="20"/>
      <c r="D57" s="89"/>
    </row>
    <row r="58" spans="1:11">
      <c r="C58" s="20"/>
      <c r="D58" s="89"/>
    </row>
    <row r="59" spans="1:11">
      <c r="C59" s="20"/>
      <c r="D59" s="89"/>
    </row>
    <row r="60" spans="1:11">
      <c r="C60" s="20"/>
      <c r="D60" s="89"/>
    </row>
    <row r="61" spans="1:11">
      <c r="C61" s="20"/>
      <c r="D61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Normal="100" zoomScaleSheetLayoutView="100" workbookViewId="0">
      <pane ySplit="11" topLeftCell="A12" activePane="bottomLeft" state="frozen"/>
      <selection activeCell="F11" sqref="F11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15" t="s">
        <v>56</v>
      </c>
      <c r="D7" s="115"/>
      <c r="E7" s="115"/>
      <c r="F7" s="115"/>
      <c r="G7" s="115"/>
      <c r="H7" s="115"/>
      <c r="I7" s="115"/>
      <c r="J7" s="115"/>
      <c r="K7" s="66"/>
    </row>
    <row r="8" spans="1:14">
      <c r="A8" s="64"/>
      <c r="B8" s="44"/>
      <c r="C8" s="112" t="s">
        <v>57</v>
      </c>
      <c r="D8" s="112"/>
      <c r="E8" s="112"/>
      <c r="F8" s="112"/>
      <c r="G8" s="112"/>
      <c r="H8" s="112"/>
      <c r="I8" s="112"/>
      <c r="J8" s="112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16" t="s">
        <v>2</v>
      </c>
      <c r="D10" s="116"/>
      <c r="E10" s="116"/>
      <c r="F10" s="116"/>
      <c r="G10" s="116"/>
      <c r="H10" s="113" t="s">
        <v>1</v>
      </c>
      <c r="I10" s="113" t="s">
        <v>10</v>
      </c>
      <c r="J10" s="113" t="s">
        <v>3</v>
      </c>
      <c r="K10" s="66"/>
    </row>
    <row r="11" spans="1:14">
      <c r="A11" s="64"/>
      <c r="B11" s="46"/>
      <c r="C11" s="82">
        <v>2006</v>
      </c>
      <c r="D11" s="82">
        <v>2007</v>
      </c>
      <c r="E11" s="82">
        <v>2008</v>
      </c>
      <c r="F11" s="82">
        <v>2009</v>
      </c>
      <c r="G11" s="82">
        <v>2010</v>
      </c>
      <c r="H11" s="113"/>
      <c r="I11" s="113"/>
      <c r="J11" s="113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11</v>
      </c>
      <c r="C13" s="76">
        <f>+[16]Historico!B7/1000000</f>
        <v>671.00992299999996</v>
      </c>
      <c r="D13" s="76">
        <f>+[16]Historico!C7/1000000</f>
        <v>872.22953600000005</v>
      </c>
      <c r="E13" s="76">
        <f>+[16]Historico!D7/1000000</f>
        <v>991.00436400000001</v>
      </c>
      <c r="F13" s="76">
        <f>+[16]Historico!E7/1000000</f>
        <v>1365.154295</v>
      </c>
      <c r="G13" s="77">
        <f>+[16]Historico!F7/1000000</f>
        <v>1175.533729</v>
      </c>
      <c r="H13" s="78">
        <f t="shared" ref="H13:H24" si="0">IF(OR(OR(G13=0,F13=0),G13=""),"",(G13/F13-1)*100)</f>
        <v>-13.890046472732232</v>
      </c>
      <c r="I13" s="78">
        <f t="shared" ref="I13:I24" si="1">IF(OR(OR(G13=0,F13=0),G13=""),"",G13/F13*100)</f>
        <v>86.109953527267763</v>
      </c>
      <c r="J13" s="78">
        <f t="shared" ref="J13:J24" si="2">IF(OR(OR(G13=0,F13=0),G13=""),"",(F13/E13-1)*100)</f>
        <v>37.754619918101604</v>
      </c>
      <c r="K13" s="66"/>
      <c r="M13" s="42">
        <f t="shared" ref="M13:M24" si="3">IF(G13="","",1)</f>
        <v>1</v>
      </c>
    </row>
    <row r="14" spans="1:14">
      <c r="A14" s="64"/>
      <c r="B14" s="75" t="s">
        <v>12</v>
      </c>
      <c r="C14" s="76">
        <f>+[16]Historico!B8/1000000</f>
        <v>667.24038099999996</v>
      </c>
      <c r="D14" s="76">
        <f>+[16]Historico!C8/1000000</f>
        <v>976.40298700000005</v>
      </c>
      <c r="E14" s="76">
        <f>+[16]Historico!D8/1000000</f>
        <v>1092.3961220000001</v>
      </c>
      <c r="F14" s="76">
        <f>+[16]Historico!E8/1000000</f>
        <v>1087.848133</v>
      </c>
      <c r="G14" s="77">
        <f>+[16]Historico!F8/1000000</f>
        <v>1168.950225</v>
      </c>
      <c r="H14" s="78">
        <f t="shared" si="0"/>
        <v>7.4552770317619421</v>
      </c>
      <c r="I14" s="78">
        <f t="shared" si="1"/>
        <v>107.45527703176194</v>
      </c>
      <c r="J14" s="78">
        <f t="shared" si="2"/>
        <v>-0.41633148529248709</v>
      </c>
      <c r="K14" s="66"/>
      <c r="M14" s="42">
        <f t="shared" si="3"/>
        <v>1</v>
      </c>
    </row>
    <row r="15" spans="1:14">
      <c r="A15" s="64"/>
      <c r="B15" s="75" t="s">
        <v>13</v>
      </c>
      <c r="C15" s="76">
        <f>+[16]Historico!B9/1000000</f>
        <v>853.75759900000003</v>
      </c>
      <c r="D15" s="76">
        <f>+[16]Historico!C9/1000000</f>
        <v>1024.479975</v>
      </c>
      <c r="E15" s="76">
        <f>+[16]Historico!D9/1000000</f>
        <v>1042.028836</v>
      </c>
      <c r="F15" s="76">
        <f>+[16]Historico!E9/1000000</f>
        <v>1024.1429430000001</v>
      </c>
      <c r="G15" s="77">
        <f>+[16]Historico!F9/1000000</f>
        <v>1516.204131</v>
      </c>
      <c r="H15" s="78">
        <f t="shared" si="0"/>
        <v>48.046143496201374</v>
      </c>
      <c r="I15" s="78">
        <f>IF(OR(OR(G15=0,F15=0),G15=""),"",G15/F15*100)</f>
        <v>148.04614349620138</v>
      </c>
      <c r="J15" s="78">
        <f t="shared" si="2"/>
        <v>-1.7164489486354184</v>
      </c>
      <c r="K15" s="66"/>
      <c r="M15" s="42">
        <f t="shared" si="3"/>
        <v>1</v>
      </c>
    </row>
    <row r="16" spans="1:14">
      <c r="A16" s="64"/>
      <c r="B16" s="75" t="s">
        <v>14</v>
      </c>
      <c r="C16" s="76">
        <f>+[16]Historico!B10/1000000</f>
        <v>812.67137600000001</v>
      </c>
      <c r="D16" s="76">
        <f>+[16]Historico!C10/1000000</f>
        <v>871.51644799999997</v>
      </c>
      <c r="E16" s="76">
        <f>+[16]Historico!D10/1000000</f>
        <v>1243.6501860000001</v>
      </c>
      <c r="F16" s="76">
        <f>+[16]Historico!E10/1000000</f>
        <v>1164.941495</v>
      </c>
      <c r="G16" s="77">
        <f>+[16]Historico!F10/1000000</f>
        <v>1325.5593839999999</v>
      </c>
      <c r="H16" s="78">
        <f t="shared" si="0"/>
        <v>13.787635661480135</v>
      </c>
      <c r="I16" s="78">
        <f t="shared" si="1"/>
        <v>113.78763566148014</v>
      </c>
      <c r="J16" s="78">
        <f t="shared" si="2"/>
        <v>-6.3288448702085498</v>
      </c>
      <c r="K16" s="66"/>
      <c r="M16" s="42">
        <f t="shared" si="3"/>
        <v>1</v>
      </c>
    </row>
    <row r="17" spans="1:14">
      <c r="A17" s="64"/>
      <c r="B17" s="75" t="s">
        <v>15</v>
      </c>
      <c r="C17" s="76">
        <f>+[16]Historico!B11/1000000</f>
        <v>923.680342</v>
      </c>
      <c r="D17" s="76">
        <f>+[16]Historico!C11/1000000</f>
        <v>1035.2347339999999</v>
      </c>
      <c r="E17" s="76">
        <f>+[16]Historico!D11/1000000</f>
        <v>1167.285476</v>
      </c>
      <c r="F17" s="76">
        <f>+[16]Historico!E11/1000000</f>
        <v>981.42924200000004</v>
      </c>
      <c r="G17" s="77">
        <f>+[16]Historico!F11/1000000</f>
        <v>1399.5099499999999</v>
      </c>
      <c r="H17" s="78">
        <f t="shared" si="0"/>
        <v>42.599169670960336</v>
      </c>
      <c r="I17" s="78">
        <f t="shared" si="1"/>
        <v>142.59916967096032</v>
      </c>
      <c r="J17" s="78">
        <f t="shared" si="2"/>
        <v>-15.922089139400885</v>
      </c>
      <c r="K17" s="66"/>
      <c r="M17" s="42">
        <f t="shared" si="3"/>
        <v>1</v>
      </c>
    </row>
    <row r="18" spans="1:14">
      <c r="A18" s="64"/>
      <c r="B18" s="75" t="s">
        <v>16</v>
      </c>
      <c r="C18" s="76">
        <f>+[16]Historico!B12/1000000</f>
        <v>895.81822099999999</v>
      </c>
      <c r="D18" s="76">
        <f>+[16]Historico!C12/1000000</f>
        <v>958.24985800000002</v>
      </c>
      <c r="E18" s="76">
        <f>+[16]Historico!D12/1000000</f>
        <v>1185.917839</v>
      </c>
      <c r="F18" s="76">
        <f>+[16]Historico!E12/1000000</f>
        <v>998.38255700000002</v>
      </c>
      <c r="G18" s="77">
        <f>+[16]Historico!F12/1000000</f>
        <v>1361.9487790000001</v>
      </c>
      <c r="H18" s="78">
        <f t="shared" si="0"/>
        <v>36.415522231524733</v>
      </c>
      <c r="I18" s="78">
        <f t="shared" si="1"/>
        <v>136.41552223152473</v>
      </c>
      <c r="J18" s="78">
        <f t="shared" si="2"/>
        <v>-15.813513873620034</v>
      </c>
      <c r="K18" s="66"/>
      <c r="M18" s="42">
        <f t="shared" si="3"/>
        <v>1</v>
      </c>
    </row>
    <row r="19" spans="1:14">
      <c r="A19" s="64"/>
      <c r="B19" s="75" t="s">
        <v>17</v>
      </c>
      <c r="C19" s="76">
        <f>+[16]Historico!B13/1000000</f>
        <v>869.10668899999996</v>
      </c>
      <c r="D19" s="76">
        <f>+[16]Historico!C13/1000000</f>
        <v>983.32734300000004</v>
      </c>
      <c r="E19" s="76">
        <f>+[16]Historico!D13/1000000</f>
        <v>1302.7021239999999</v>
      </c>
      <c r="F19" s="76">
        <f>+[16]Historico!E13/1000000</f>
        <v>1374.5496860000001</v>
      </c>
      <c r="G19" s="77">
        <f>+[16]Historico!F13/1000000</f>
        <v>1523.659805</v>
      </c>
      <c r="H19" s="78">
        <f>IF(OR(OR(G19=0,F19=0),G19=""),"",(G19/F19-1)*100)</f>
        <v>10.84792499818008</v>
      </c>
      <c r="I19" s="78">
        <f t="shared" si="1"/>
        <v>110.84792499818008</v>
      </c>
      <c r="J19" s="78">
        <f t="shared" si="2"/>
        <v>5.5152717322198841</v>
      </c>
      <c r="K19" s="66"/>
      <c r="M19" s="42">
        <f t="shared" si="3"/>
        <v>1</v>
      </c>
    </row>
    <row r="20" spans="1:14">
      <c r="A20" s="64"/>
      <c r="B20" s="75" t="s">
        <v>18</v>
      </c>
      <c r="C20" s="76">
        <f>+[16]Historico!B14/1000000</f>
        <v>897.90426000000002</v>
      </c>
      <c r="D20" s="76">
        <f>+[16]Historico!C14/1000000</f>
        <v>1080.3616850000001</v>
      </c>
      <c r="E20" s="76">
        <f>+[16]Historico!D14/1000000</f>
        <v>1129.6226449999999</v>
      </c>
      <c r="F20" s="76">
        <f>+[16]Historico!E14/1000000</f>
        <v>1101.823615</v>
      </c>
      <c r="G20" s="77">
        <f>+[16]Historico!F14/1000000</f>
        <v>1556.1577870000001</v>
      </c>
      <c r="H20" s="78">
        <f>IF(OR(OR(G20=0,F20=0),G20=""),"",(G20/F20-1)*100)</f>
        <v>41.234746271071707</v>
      </c>
      <c r="I20" s="78">
        <f t="shared" ref="I20" si="4">IF(OR(OR(G20=0,F20=0),G20=""),"",G20/F20*100)</f>
        <v>141.23474627107171</v>
      </c>
      <c r="J20" s="78">
        <f t="shared" ref="J20" si="5">IF(OR(OR(G20=0,F20=0),G20=""),"",(F20/E20-1)*100)</f>
        <v>-2.4609129538121</v>
      </c>
      <c r="K20" s="66"/>
      <c r="M20" s="42">
        <f t="shared" si="3"/>
        <v>1</v>
      </c>
    </row>
    <row r="21" spans="1:14">
      <c r="A21" s="64"/>
      <c r="B21" s="75" t="s">
        <v>19</v>
      </c>
      <c r="C21" s="76">
        <f>+[16]Historico!B15/1000000</f>
        <v>849.77680199999998</v>
      </c>
      <c r="D21" s="76">
        <f>+[16]Historico!C15/1000000</f>
        <v>1031.7472330000001</v>
      </c>
      <c r="E21" s="76">
        <f>+[16]Historico!D15/1000000</f>
        <v>1228.6423460000001</v>
      </c>
      <c r="F21" s="76">
        <f>+[16]Historico!E15/1000000</f>
        <v>1166.8230370000001</v>
      </c>
      <c r="G21" s="77">
        <f>+[16]Historico!F15/1000000</f>
        <v>1794.200102</v>
      </c>
      <c r="H21" s="78">
        <f>IF(OR(OR(G21=0,F21=0),G21=""),"",(G21/F21-1)*100)</f>
        <v>53.76797038675538</v>
      </c>
      <c r="I21" s="78">
        <f t="shared" ref="I21" si="6">IF(OR(OR(G21=0,F21=0),G21=""),"",G21/F21*100)</f>
        <v>153.76797038675539</v>
      </c>
      <c r="J21" s="78">
        <f t="shared" ref="J21" si="7">IF(OR(OR(G21=0,F21=0),G21=""),"",(F21/E21-1)*100)</f>
        <v>-5.0315137844027973</v>
      </c>
      <c r="K21" s="66"/>
      <c r="M21" s="42">
        <f t="shared" si="3"/>
        <v>1</v>
      </c>
    </row>
    <row r="22" spans="1:14">
      <c r="A22" s="64"/>
      <c r="B22" s="75" t="s">
        <v>20</v>
      </c>
      <c r="C22" s="76">
        <f>+[16]Historico!B16/1000000</f>
        <v>877.77236900000003</v>
      </c>
      <c r="D22" s="76">
        <f>+[16]Historico!C16/1000000</f>
        <v>1183.6649239999999</v>
      </c>
      <c r="E22" s="76">
        <f>+[16]Historico!D16/1000000</f>
        <v>1350.050242</v>
      </c>
      <c r="F22" s="76">
        <f>+[16]Historico!E16/1000000</f>
        <v>1265.998249</v>
      </c>
      <c r="G22" s="73">
        <f>+[16]Historico!F16/1000000</f>
        <v>1619.319872</v>
      </c>
      <c r="H22" s="25">
        <f>IF(OR(OR(G22=0,F22=0),G22=""),"",(G22/F22-1)*100)</f>
        <v>27.908539627055994</v>
      </c>
      <c r="I22" s="25">
        <f t="shared" ref="I22" si="8">IF(OR(OR(G22=0,F22=0),G22=""),"",G22/F22*100)</f>
        <v>127.908539627056</v>
      </c>
      <c r="J22" s="25">
        <f t="shared" ref="J22" si="9">IF(OR(OR(G22=0,F22=0),G22=""),"",(F22/E22-1)*100)</f>
        <v>-6.2258418527804675</v>
      </c>
      <c r="K22" s="78"/>
      <c r="M22" s="42">
        <f t="shared" si="3"/>
        <v>1</v>
      </c>
    </row>
    <row r="23" spans="1:14">
      <c r="A23" s="64"/>
      <c r="B23" s="75" t="s">
        <v>21</v>
      </c>
      <c r="C23" s="76">
        <f>+[16]Historico!B17/1000000</f>
        <v>956.49107700000002</v>
      </c>
      <c r="D23" s="76">
        <f>+[16]Historico!C17/1000000</f>
        <v>1214.7357280000001</v>
      </c>
      <c r="E23" s="76">
        <f>+[16]Historico!D17/1000000</f>
        <v>1414.1865519999999</v>
      </c>
      <c r="F23" s="76">
        <f>+[16]Historico!E17/1000000</f>
        <v>1112.4315549999999</v>
      </c>
      <c r="G23" s="77"/>
      <c r="H23" s="78" t="str">
        <f t="shared" si="0"/>
        <v/>
      </c>
      <c r="I23" s="78" t="str">
        <f t="shared" si="1"/>
        <v/>
      </c>
      <c r="J23" s="78" t="str">
        <f t="shared" si="2"/>
        <v/>
      </c>
      <c r="K23" s="66"/>
      <c r="M23" s="42" t="str">
        <f t="shared" si="3"/>
        <v/>
      </c>
    </row>
    <row r="24" spans="1:14">
      <c r="A24" s="64"/>
      <c r="B24" s="75" t="s">
        <v>22</v>
      </c>
      <c r="C24" s="76">
        <f>+[16]Historico!B18/1000000</f>
        <v>950.87988299999995</v>
      </c>
      <c r="D24" s="76">
        <f>+[16]Historico!C18/1000000</f>
        <v>1108.9725599999999</v>
      </c>
      <c r="E24" s="76">
        <f>+[16]Historico!D18/1000000</f>
        <v>1260.6846559999999</v>
      </c>
      <c r="F24" s="76">
        <f>+[16]Historico!E18/1000000</f>
        <v>1328.639623</v>
      </c>
      <c r="G24" s="77"/>
      <c r="H24" s="78" t="str">
        <f t="shared" si="0"/>
        <v/>
      </c>
      <c r="I24" s="78" t="str">
        <f t="shared" si="1"/>
        <v/>
      </c>
      <c r="J24" s="78" t="str">
        <f t="shared" si="2"/>
        <v/>
      </c>
      <c r="K24" s="66"/>
      <c r="M24" s="42" t="str">
        <f t="shared" si="3"/>
        <v/>
      </c>
    </row>
    <row r="25" spans="1:14">
      <c r="A25" s="64"/>
      <c r="B25" s="79" t="s">
        <v>32</v>
      </c>
      <c r="C25" s="77">
        <f t="shared" ref="C25:F25" si="10">SUM(C13:C24)</f>
        <v>10226.108922000001</v>
      </c>
      <c r="D25" s="77">
        <f t="shared" si="10"/>
        <v>12340.923011000001</v>
      </c>
      <c r="E25" s="77">
        <f t="shared" si="10"/>
        <v>14408.171387999997</v>
      </c>
      <c r="F25" s="77">
        <f t="shared" si="10"/>
        <v>13972.164430000001</v>
      </c>
      <c r="G25" s="72">
        <f>SUM(G13:G24)</f>
        <v>14441.043764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23</v>
      </c>
      <c r="C26" s="80"/>
      <c r="D26" s="80">
        <f>(D25/C25-1)*100</f>
        <v>20.68053553048199</v>
      </c>
      <c r="E26" s="80">
        <f>(E25/D25-1)*100</f>
        <v>16.751165007328606</v>
      </c>
      <c r="F26" s="80">
        <f>(F25/E25-1)*100</f>
        <v>-3.0261089090259485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24</v>
      </c>
      <c r="C28" s="77">
        <f t="shared" ref="C28:E28" si="11">SUMPRODUCT(C13:C24,$M$13:$M$24)</f>
        <v>8318.7379620000011</v>
      </c>
      <c r="D28" s="77">
        <f t="shared" si="11"/>
        <v>10017.214723000001</v>
      </c>
      <c r="E28" s="77">
        <f t="shared" si="11"/>
        <v>11733.300179999998</v>
      </c>
      <c r="F28" s="77">
        <f>SUMPRODUCT(F13:F24,$M$13:$M$24)</f>
        <v>11531.093252000001</v>
      </c>
      <c r="G28" s="73">
        <f>SUMPRODUCT(G13:G24,$M$13:$M$24)</f>
        <v>14441.043764</v>
      </c>
      <c r="H28" s="74">
        <f>IF(OR(OR(G28=0,F28=0),G28=""),"",(G28/F28-1)*100)</f>
        <v>25.235686230317199</v>
      </c>
      <c r="I28" s="31">
        <f>IF(OR(OR(G28=0,F28=0),G28=""),"",G28/F28*100)</f>
        <v>125.2356862303172</v>
      </c>
      <c r="J28" s="31">
        <f>IF(OR(OR(G28=0,F28=0),F28=""),"",(F28/E28-1)*100)</f>
        <v>-1.7233593694693794</v>
      </c>
      <c r="K28" s="66"/>
    </row>
    <row r="29" spans="1:14" ht="18.75" customHeight="1">
      <c r="A29" s="64"/>
      <c r="B29" s="79" t="s">
        <v>23</v>
      </c>
      <c r="C29" s="80"/>
      <c r="D29" s="80">
        <f t="shared" ref="D29:G29" si="12">(D28/C28-1)*100</f>
        <v>20.417481218408874</v>
      </c>
      <c r="E29" s="80">
        <f t="shared" si="12"/>
        <v>17.131363402441437</v>
      </c>
      <c r="F29" s="80">
        <f t="shared" si="12"/>
        <v>-1.7233593694693794</v>
      </c>
      <c r="G29" s="31">
        <f t="shared" si="12"/>
        <v>25.235686230317199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117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tr">
        <f>IF(G32="","",1)</f>
        <v/>
      </c>
      <c r="N32" s="42"/>
    </row>
    <row r="33" spans="1:14" s="117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tr">
        <f>IF(G33="","",1)</f>
        <v/>
      </c>
      <c r="N33" s="42"/>
    </row>
    <row r="34" spans="1:14" s="117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tr">
        <f>IF(G34="","",1)</f>
        <v/>
      </c>
      <c r="N34" s="42"/>
    </row>
    <row r="35" spans="1:14" s="117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tr">
        <f>IF(G35="","",1)</f>
        <v/>
      </c>
      <c r="N35" s="42"/>
    </row>
    <row r="36" spans="1:14" s="117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tr">
        <f>IF(G36="","",1)</f>
        <v/>
      </c>
      <c r="N36" s="42"/>
    </row>
    <row r="37" spans="1:14" s="117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117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tr">
        <f>IF(G38="","",1)</f>
        <v/>
      </c>
      <c r="N38" s="42"/>
    </row>
    <row r="39" spans="1:14" s="117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tr">
        <f>IF(G39="","",1)</f>
        <v/>
      </c>
      <c r="N39" s="42"/>
    </row>
    <row r="40" spans="1:14" s="117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tr">
        <f>IF(G40="","",1)</f>
        <v/>
      </c>
      <c r="N40" s="42"/>
    </row>
    <row r="41" spans="1:14" s="117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tr">
        <f>IF(G41="","",1)</f>
        <v/>
      </c>
      <c r="N41" s="42"/>
    </row>
    <row r="42" spans="1:14" s="117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117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117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25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>
    <tabColor rgb="FF53722D"/>
  </sheetPr>
  <dimension ref="A1:N45"/>
  <sheetViews>
    <sheetView zoomScaleNormal="100" zoomScaleSheetLayoutView="100" workbookViewId="0">
      <pane ySplit="11" topLeftCell="A12" activePane="bottomLeft" state="frozen"/>
      <selection activeCell="F11" sqref="F11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117" customWidth="1"/>
    <col min="3" max="7" width="11.140625" style="117" customWidth="1"/>
    <col min="8" max="8" width="11.7109375" style="117" customWidth="1"/>
    <col min="9" max="9" width="12" style="117" customWidth="1"/>
    <col min="10" max="10" width="11.28515625" style="117" customWidth="1"/>
    <col min="11" max="11" width="1.85546875" style="117" customWidth="1"/>
    <col min="12" max="12" width="11.42578125" style="117"/>
    <col min="13" max="13" width="11.42578125" style="20" hidden="1" customWidth="1"/>
    <col min="14" max="14" width="11.42578125" style="117"/>
    <col min="15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  <c r="L1" s="42"/>
      <c r="M1" s="43"/>
      <c r="N1" s="42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  <c r="L2" s="42"/>
      <c r="M2" s="43"/>
      <c r="N2" s="42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  <c r="L3" s="42"/>
      <c r="M3" s="43"/>
      <c r="N3" s="42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  <c r="L4" s="42"/>
      <c r="M4" s="43"/>
      <c r="N4" s="42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  <c r="L5" s="42"/>
      <c r="M5" s="43"/>
      <c r="N5" s="42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  <c r="L6" s="42"/>
      <c r="M6" s="43"/>
      <c r="N6" s="42"/>
    </row>
    <row r="7" spans="1:14">
      <c r="A7" s="64"/>
      <c r="B7" s="44"/>
      <c r="C7" s="115" t="s">
        <v>72</v>
      </c>
      <c r="D7" s="115"/>
      <c r="E7" s="115"/>
      <c r="F7" s="115"/>
      <c r="G7" s="115"/>
      <c r="H7" s="115"/>
      <c r="I7" s="115"/>
      <c r="J7" s="115"/>
      <c r="K7" s="66"/>
      <c r="L7" s="42"/>
      <c r="M7" s="43"/>
      <c r="N7" s="42"/>
    </row>
    <row r="8" spans="1:14">
      <c r="A8" s="64"/>
      <c r="B8" s="44"/>
      <c r="C8" s="112" t="s">
        <v>57</v>
      </c>
      <c r="D8" s="112"/>
      <c r="E8" s="112"/>
      <c r="F8" s="112"/>
      <c r="G8" s="112"/>
      <c r="H8" s="112"/>
      <c r="I8" s="112"/>
      <c r="J8" s="112"/>
      <c r="K8" s="66"/>
      <c r="L8" s="42"/>
      <c r="M8" s="43"/>
      <c r="N8" s="42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  <c r="L9" s="42"/>
      <c r="M9" s="43"/>
      <c r="N9" s="42"/>
    </row>
    <row r="10" spans="1:14" ht="15.75" customHeight="1">
      <c r="A10" s="64"/>
      <c r="B10" s="46"/>
      <c r="C10" s="116" t="s">
        <v>2</v>
      </c>
      <c r="D10" s="116"/>
      <c r="E10" s="116"/>
      <c r="F10" s="116"/>
      <c r="G10" s="116"/>
      <c r="H10" s="113" t="s">
        <v>1</v>
      </c>
      <c r="I10" s="113" t="s">
        <v>10</v>
      </c>
      <c r="J10" s="113" t="s">
        <v>3</v>
      </c>
      <c r="K10" s="66"/>
      <c r="L10" s="42"/>
      <c r="M10" s="43"/>
      <c r="N10" s="42"/>
    </row>
    <row r="11" spans="1:14">
      <c r="A11" s="64"/>
      <c r="B11" s="46"/>
      <c r="C11" s="108">
        <v>2006</v>
      </c>
      <c r="D11" s="108">
        <v>2007</v>
      </c>
      <c r="E11" s="108">
        <v>2008</v>
      </c>
      <c r="F11" s="108">
        <v>2009</v>
      </c>
      <c r="G11" s="108">
        <v>2010</v>
      </c>
      <c r="H11" s="113"/>
      <c r="I11" s="113"/>
      <c r="J11" s="113"/>
      <c r="K11" s="66"/>
      <c r="L11" s="42"/>
      <c r="M11" s="43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  <c r="L12" s="42"/>
      <c r="M12" s="43"/>
      <c r="N12" s="42"/>
    </row>
    <row r="13" spans="1:14">
      <c r="A13" s="64"/>
      <c r="B13" s="75" t="s">
        <v>11</v>
      </c>
      <c r="C13" s="76">
        <f>+[16]Historico!B32/1000000</f>
        <v>48.227209999999999</v>
      </c>
      <c r="D13" s="76">
        <f>+[16]Historico!C32/1000000</f>
        <v>39.32</v>
      </c>
      <c r="E13" s="76">
        <f>+[16]Historico!D32/1000000</f>
        <v>41.336759000000001</v>
      </c>
      <c r="F13" s="76">
        <f>+[16]Historico!E32/1000000</f>
        <v>38.668281999999998</v>
      </c>
      <c r="G13" s="77">
        <f>+[16]Historico!F32/1000000</f>
        <v>43.958782999999997</v>
      </c>
      <c r="H13" s="78">
        <f t="shared" ref="H13:H24" si="0">IF(OR(OR(G13=0,F13=0),G13=""),"",(G13/F13-1)*100)</f>
        <v>13.681758605153437</v>
      </c>
      <c r="I13" s="78">
        <f t="shared" ref="I13:I24" si="1">IF(OR(OR(G13=0,F13=0),G13=""),"",G13/F13*100)</f>
        <v>113.68175860515343</v>
      </c>
      <c r="J13" s="78">
        <f t="shared" ref="J13:J24" si="2">IF(OR(OR(G13=0,F13=0),G13=""),"",(F13/E13-1)*100)</f>
        <v>-6.4554577198468905</v>
      </c>
      <c r="K13" s="66"/>
      <c r="L13" s="42"/>
      <c r="M13" s="42">
        <f t="shared" ref="M13:M24" si="3">IF(G13="","",1)</f>
        <v>1</v>
      </c>
      <c r="N13" s="42"/>
    </row>
    <row r="14" spans="1:14">
      <c r="A14" s="64"/>
      <c r="B14" s="75" t="s">
        <v>12</v>
      </c>
      <c r="C14" s="76">
        <f>+[16]Historico!B33/1000000</f>
        <v>14.353845</v>
      </c>
      <c r="D14" s="76">
        <f>+[16]Historico!C33/1000000</f>
        <v>35.166769000000002</v>
      </c>
      <c r="E14" s="76">
        <f>+[16]Historico!D33/1000000</f>
        <v>40.057321000000002</v>
      </c>
      <c r="F14" s="76">
        <f>+[16]Historico!E33/1000000</f>
        <v>28.670425000000002</v>
      </c>
      <c r="G14" s="77">
        <f>+[16]Historico!F33/1000000</f>
        <v>47.190815000000001</v>
      </c>
      <c r="H14" s="78">
        <f t="shared" si="0"/>
        <v>64.597542589619778</v>
      </c>
      <c r="I14" s="78">
        <f t="shared" si="1"/>
        <v>164.59754258961979</v>
      </c>
      <c r="J14" s="78">
        <f t="shared" si="2"/>
        <v>-28.426504108949267</v>
      </c>
      <c r="K14" s="66"/>
      <c r="L14" s="42"/>
      <c r="M14" s="42">
        <f t="shared" si="3"/>
        <v>1</v>
      </c>
      <c r="N14" s="42"/>
    </row>
    <row r="15" spans="1:14">
      <c r="A15" s="64"/>
      <c r="B15" s="75" t="s">
        <v>13</v>
      </c>
      <c r="C15" s="76">
        <f>+[16]Historico!B34/1000000</f>
        <v>51.424909999999997</v>
      </c>
      <c r="D15" s="76">
        <f>+[16]Historico!C34/1000000</f>
        <v>29.004576</v>
      </c>
      <c r="E15" s="76">
        <f>+[16]Historico!D34/1000000</f>
        <v>26.782727999999999</v>
      </c>
      <c r="F15" s="76">
        <f>+[16]Historico!E34/1000000</f>
        <v>46.714812000000002</v>
      </c>
      <c r="G15" s="77">
        <f>+[16]Historico!F34/1000000</f>
        <v>59.482695</v>
      </c>
      <c r="H15" s="78">
        <f t="shared" si="0"/>
        <v>27.331551714261405</v>
      </c>
      <c r="I15" s="78">
        <f>IF(OR(OR(G15=0,F15=0),G15=""),"",G15/F15*100)</f>
        <v>127.33155171426141</v>
      </c>
      <c r="J15" s="78">
        <f t="shared" si="2"/>
        <v>74.42141069423549</v>
      </c>
      <c r="K15" s="66"/>
      <c r="L15" s="42"/>
      <c r="M15" s="42">
        <f t="shared" si="3"/>
        <v>1</v>
      </c>
      <c r="N15" s="42"/>
    </row>
    <row r="16" spans="1:14">
      <c r="A16" s="64"/>
      <c r="B16" s="75" t="s">
        <v>14</v>
      </c>
      <c r="C16" s="76">
        <f>+[16]Historico!B35/1000000</f>
        <v>25.833165999999999</v>
      </c>
      <c r="D16" s="76">
        <f>+[16]Historico!C35/1000000</f>
        <v>30.844958999999999</v>
      </c>
      <c r="E16" s="76">
        <f>+[16]Historico!D35/1000000</f>
        <v>35.672542</v>
      </c>
      <c r="F16" s="76">
        <f>+[16]Historico!E35/1000000</f>
        <v>37.528328999999999</v>
      </c>
      <c r="G16" s="77">
        <f>+[16]Historico!F35/1000000</f>
        <v>67.349545000000006</v>
      </c>
      <c r="H16" s="78">
        <f t="shared" si="0"/>
        <v>79.463212977055292</v>
      </c>
      <c r="I16" s="78">
        <f t="shared" si="1"/>
        <v>179.46321297705529</v>
      </c>
      <c r="J16" s="78">
        <f t="shared" si="2"/>
        <v>5.2022841545746878</v>
      </c>
      <c r="K16" s="66"/>
      <c r="L16" s="42"/>
      <c r="M16" s="42">
        <f t="shared" si="3"/>
        <v>1</v>
      </c>
      <c r="N16" s="42"/>
    </row>
    <row r="17" spans="1:14">
      <c r="A17" s="64"/>
      <c r="B17" s="75" t="s">
        <v>15</v>
      </c>
      <c r="C17" s="76">
        <f>+[16]Historico!B36/1000000</f>
        <v>44.31279</v>
      </c>
      <c r="D17" s="76">
        <f>+[16]Historico!C36/1000000</f>
        <v>29.636234999999999</v>
      </c>
      <c r="E17" s="76">
        <f>+[16]Historico!D36/1000000</f>
        <v>36.490602000000003</v>
      </c>
      <c r="F17" s="76">
        <f>+[16]Historico!E36/1000000</f>
        <v>35.578634999999998</v>
      </c>
      <c r="G17" s="77">
        <f>+[16]Historico!F36/1000000</f>
        <v>44.57329</v>
      </c>
      <c r="H17" s="78">
        <f t="shared" si="0"/>
        <v>25.281057016380771</v>
      </c>
      <c r="I17" s="78">
        <f t="shared" si="1"/>
        <v>125.28105701638077</v>
      </c>
      <c r="J17" s="78">
        <f t="shared" si="2"/>
        <v>-2.4991832143520298</v>
      </c>
      <c r="K17" s="66"/>
      <c r="L17" s="42"/>
      <c r="M17" s="42">
        <f t="shared" si="3"/>
        <v>1</v>
      </c>
      <c r="N17" s="42"/>
    </row>
    <row r="18" spans="1:14">
      <c r="A18" s="64"/>
      <c r="B18" s="75" t="s">
        <v>16</v>
      </c>
      <c r="C18" s="76">
        <f>+[16]Historico!B37/1000000</f>
        <v>31.141196999999998</v>
      </c>
      <c r="D18" s="76">
        <f>+[16]Historico!C37/1000000</f>
        <v>23.305485000000001</v>
      </c>
      <c r="E18" s="76">
        <f>+[16]Historico!D37/1000000</f>
        <v>42.842740999999997</v>
      </c>
      <c r="F18" s="76">
        <f>+[16]Historico!E37/1000000</f>
        <v>43.399467999999999</v>
      </c>
      <c r="G18" s="77">
        <f>+[16]Historico!F37/1000000</f>
        <v>52.674779000000001</v>
      </c>
      <c r="H18" s="78">
        <f t="shared" si="0"/>
        <v>21.37194631049395</v>
      </c>
      <c r="I18" s="78">
        <f t="shared" si="1"/>
        <v>121.37194631049395</v>
      </c>
      <c r="J18" s="78">
        <f t="shared" si="2"/>
        <v>1.299466343668354</v>
      </c>
      <c r="K18" s="66"/>
      <c r="L18" s="42"/>
      <c r="M18" s="42">
        <f t="shared" si="3"/>
        <v>1</v>
      </c>
      <c r="N18" s="42"/>
    </row>
    <row r="19" spans="1:14">
      <c r="A19" s="64"/>
      <c r="B19" s="75" t="s">
        <v>17</v>
      </c>
      <c r="C19" s="76">
        <f>+[16]Historico!B38/1000000</f>
        <v>55.884694000000003</v>
      </c>
      <c r="D19" s="76">
        <f>+[16]Historico!C38/1000000</f>
        <v>28.465610000000002</v>
      </c>
      <c r="E19" s="76">
        <f>+[16]Historico!D38/1000000</f>
        <v>44.06767</v>
      </c>
      <c r="F19" s="76">
        <f>+[16]Historico!E38/1000000</f>
        <v>50.850552999999998</v>
      </c>
      <c r="G19" s="77">
        <f>+[16]Historico!F38/1000000</f>
        <v>53.804777000000001</v>
      </c>
      <c r="H19" s="78">
        <f>IF(OR(OR(G19=0,F19=0),G19=""),"",(G19/F19-1)*100)</f>
        <v>5.8096202021637788</v>
      </c>
      <c r="I19" s="78">
        <f t="shared" si="1"/>
        <v>105.80962020216379</v>
      </c>
      <c r="J19" s="78">
        <f t="shared" si="2"/>
        <v>15.391971030009067</v>
      </c>
      <c r="K19" s="66"/>
      <c r="L19" s="42"/>
      <c r="M19" s="42">
        <f t="shared" si="3"/>
        <v>1</v>
      </c>
      <c r="N19" s="42"/>
    </row>
    <row r="20" spans="1:14">
      <c r="A20" s="64"/>
      <c r="B20" s="75" t="s">
        <v>18</v>
      </c>
      <c r="C20" s="76">
        <f>+[16]Historico!B39/1000000</f>
        <v>62.740422000000002</v>
      </c>
      <c r="D20" s="76">
        <f>+[16]Historico!C39/1000000</f>
        <v>25.768761000000001</v>
      </c>
      <c r="E20" s="76">
        <f>+[16]Historico!D39/1000000</f>
        <v>54.979469000000002</v>
      </c>
      <c r="F20" s="76">
        <f>+[16]Historico!E39/1000000</f>
        <v>40.015101000000001</v>
      </c>
      <c r="G20" s="77">
        <f>+[16]Historico!F39/1000000</f>
        <v>52.476965999999997</v>
      </c>
      <c r="H20" s="78">
        <f>IF(OR(OR(G20=0,F20=0),G20=""),"",(G20/F20-1)*100)</f>
        <v>31.142905274686171</v>
      </c>
      <c r="I20" s="78">
        <f t="shared" si="1"/>
        <v>131.14290527468617</v>
      </c>
      <c r="J20" s="78">
        <f t="shared" si="2"/>
        <v>-27.218102088254071</v>
      </c>
      <c r="K20" s="66"/>
      <c r="L20" s="42"/>
      <c r="M20" s="42">
        <f t="shared" si="3"/>
        <v>1</v>
      </c>
      <c r="N20" s="42"/>
    </row>
    <row r="21" spans="1:14">
      <c r="A21" s="64"/>
      <c r="B21" s="75" t="s">
        <v>19</v>
      </c>
      <c r="C21" s="76">
        <f>+[16]Historico!B40/1000000</f>
        <v>19.997391</v>
      </c>
      <c r="D21" s="76">
        <f>+[16]Historico!C40/1000000</f>
        <v>24.355042999999998</v>
      </c>
      <c r="E21" s="76">
        <f>+[16]Historico!D40/1000000</f>
        <v>36.165872999999998</v>
      </c>
      <c r="F21" s="76">
        <f>+[16]Historico!E40/1000000</f>
        <v>34.030462</v>
      </c>
      <c r="G21" s="77">
        <f>+[16]Historico!F40/1000000</f>
        <v>59.125891000000003</v>
      </c>
      <c r="H21" s="78">
        <f>IF(OR(OR(G21=0,F21=0),G21=""),"",(G21/F21-1)*100)</f>
        <v>73.744014994565759</v>
      </c>
      <c r="I21" s="78">
        <f t="shared" ref="I21" si="4">IF(OR(OR(G21=0,F21=0),G21=""),"",G21/F21*100)</f>
        <v>173.74401499456576</v>
      </c>
      <c r="J21" s="78">
        <f t="shared" ref="J21" si="5">IF(OR(OR(G21=0,F21=0),G21=""),"",(F21/E21-1)*100)</f>
        <v>-5.9044917842851374</v>
      </c>
      <c r="K21" s="66"/>
      <c r="L21" s="42"/>
      <c r="M21" s="42">
        <f t="shared" si="3"/>
        <v>1</v>
      </c>
      <c r="N21" s="42"/>
    </row>
    <row r="22" spans="1:14">
      <c r="A22" s="64"/>
      <c r="B22" s="75" t="s">
        <v>20</v>
      </c>
      <c r="C22" s="76">
        <f>+[16]Historico!B41/1000000</f>
        <v>18.898095000000001</v>
      </c>
      <c r="D22" s="76">
        <f>+[16]Historico!C41/1000000</f>
        <v>40.530788000000001</v>
      </c>
      <c r="E22" s="76">
        <f>+[16]Historico!D41/1000000</f>
        <v>57.182763999999999</v>
      </c>
      <c r="F22" s="76">
        <f>+[16]Historico!E41/1000000</f>
        <v>44.752462000000001</v>
      </c>
      <c r="G22" s="73">
        <f>+[16]Historico!F41/1000000</f>
        <v>41.996589</v>
      </c>
      <c r="H22" s="25">
        <f>IF(OR(OR(G22=0,F22=0),G22=""),"",(G22/F22-1)*100)</f>
        <v>-6.158036623772789</v>
      </c>
      <c r="I22" s="25">
        <f t="shared" ref="I22" si="6">IF(OR(OR(G22=0,F22=0),G22=""),"",G22/F22*100)</f>
        <v>93.841963376227213</v>
      </c>
      <c r="J22" s="25">
        <f t="shared" ref="J22" si="7">IF(OR(OR(G22=0,F22=0),G22=""),"",(F22/E22-1)*100)</f>
        <v>-21.73784743948368</v>
      </c>
      <c r="K22" s="66"/>
      <c r="L22" s="42"/>
      <c r="M22" s="42">
        <f t="shared" si="3"/>
        <v>1</v>
      </c>
      <c r="N22" s="42"/>
    </row>
    <row r="23" spans="1:14">
      <c r="A23" s="64"/>
      <c r="B23" s="75" t="s">
        <v>21</v>
      </c>
      <c r="C23" s="76">
        <f>+[16]Historico!B42/1000000</f>
        <v>60.230029999999999</v>
      </c>
      <c r="D23" s="76">
        <f>+[16]Historico!C42/1000000</f>
        <v>43.074627</v>
      </c>
      <c r="E23" s="76">
        <f>+[16]Historico!D42/1000000</f>
        <v>73.106142000000006</v>
      </c>
      <c r="F23" s="76">
        <f>+[16]Historico!E42/1000000</f>
        <v>40.384563999999997</v>
      </c>
      <c r="G23" s="77"/>
      <c r="H23" s="78" t="str">
        <f t="shared" si="0"/>
        <v/>
      </c>
      <c r="I23" s="78" t="str">
        <f t="shared" si="1"/>
        <v/>
      </c>
      <c r="J23" s="78" t="str">
        <f t="shared" si="2"/>
        <v/>
      </c>
      <c r="K23" s="66"/>
      <c r="L23" s="42"/>
      <c r="M23" s="42" t="str">
        <f t="shared" si="3"/>
        <v/>
      </c>
      <c r="N23" s="42"/>
    </row>
    <row r="24" spans="1:14">
      <c r="A24" s="64"/>
      <c r="B24" s="75" t="s">
        <v>22</v>
      </c>
      <c r="C24" s="76">
        <f>+[16]Historico!B43/1000000</f>
        <v>26.470618999999999</v>
      </c>
      <c r="D24" s="76">
        <f>+[16]Historico!C43/1000000</f>
        <v>25.632356999999999</v>
      </c>
      <c r="E24" s="76">
        <f>+[16]Historico!D43/1000000</f>
        <v>39.080975000000002</v>
      </c>
      <c r="F24" s="76">
        <f>+[16]Historico!E43/1000000</f>
        <v>51.826391000000001</v>
      </c>
      <c r="G24" s="77"/>
      <c r="H24" s="78" t="str">
        <f t="shared" si="0"/>
        <v/>
      </c>
      <c r="I24" s="78" t="str">
        <f t="shared" si="1"/>
        <v/>
      </c>
      <c r="J24" s="78" t="str">
        <f t="shared" si="2"/>
        <v/>
      </c>
      <c r="K24" s="66"/>
      <c r="L24" s="42"/>
      <c r="M24" s="42" t="str">
        <f t="shared" si="3"/>
        <v/>
      </c>
      <c r="N24" s="42"/>
    </row>
    <row r="25" spans="1:14">
      <c r="A25" s="64"/>
      <c r="B25" s="79" t="s">
        <v>32</v>
      </c>
      <c r="C25" s="77">
        <f t="shared" ref="C25:G25" si="8">SUM(C13:C24)</f>
        <v>459.51436900000004</v>
      </c>
      <c r="D25" s="77">
        <f t="shared" si="8"/>
        <v>375.10521000000006</v>
      </c>
      <c r="E25" s="77">
        <f t="shared" si="8"/>
        <v>527.76558599999998</v>
      </c>
      <c r="F25" s="77">
        <f t="shared" si="8"/>
        <v>492.41948399999995</v>
      </c>
      <c r="G25" s="72">
        <f t="shared" si="8"/>
        <v>522.63413000000003</v>
      </c>
      <c r="H25" s="71"/>
      <c r="I25" s="52"/>
      <c r="J25" s="52"/>
      <c r="K25" s="66"/>
      <c r="L25" s="42"/>
      <c r="M25" s="42"/>
      <c r="N25" s="42"/>
    </row>
    <row r="26" spans="1:14" ht="18.75" customHeight="1">
      <c r="A26" s="64"/>
      <c r="B26" s="79" t="s">
        <v>23</v>
      </c>
      <c r="C26" s="80"/>
      <c r="D26" s="80">
        <f>(D25/C25-1)*100</f>
        <v>-18.369209908210728</v>
      </c>
      <c r="E26" s="80">
        <f>(E25/D25-1)*100</f>
        <v>40.698015364809216</v>
      </c>
      <c r="F26" s="80">
        <f>(F25/E25-1)*100</f>
        <v>-6.6973108777122921</v>
      </c>
      <c r="G26" s="51"/>
      <c r="H26" s="52"/>
      <c r="I26" s="52"/>
      <c r="J26" s="52"/>
      <c r="K26" s="66"/>
      <c r="L26" s="42"/>
      <c r="M26" s="43"/>
      <c r="N26" s="42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  <c r="L27" s="42"/>
      <c r="M27" s="43"/>
      <c r="N27" s="42"/>
    </row>
    <row r="28" spans="1:14" ht="18.75" customHeight="1">
      <c r="A28" s="64"/>
      <c r="B28" s="79" t="s">
        <v>24</v>
      </c>
      <c r="C28" s="77">
        <f t="shared" ref="C28:E28" si="9">SUMPRODUCT(C13:C24,$M$13:$M$24)</f>
        <v>372.81372000000005</v>
      </c>
      <c r="D28" s="77">
        <f t="shared" si="9"/>
        <v>306.39822600000002</v>
      </c>
      <c r="E28" s="77">
        <f t="shared" si="9"/>
        <v>415.57846899999998</v>
      </c>
      <c r="F28" s="77">
        <f>SUMPRODUCT(F13:F24,$M$13:$M$24)</f>
        <v>400.20852899999994</v>
      </c>
      <c r="G28" s="73">
        <f>SUMPRODUCT(G13:G24,$M$13:$M$24)</f>
        <v>522.63413000000003</v>
      </c>
      <c r="H28" s="74">
        <f>IF(OR(OR(G28=0,F28=0),G28=""),"",(G28/F28-1)*100)</f>
        <v>30.590452758691722</v>
      </c>
      <c r="I28" s="31">
        <f>IF(OR(OR(G28=0,F28=0),G28=""),"",G28/F28*100)</f>
        <v>130.59045275869173</v>
      </c>
      <c r="J28" s="31">
        <f>IF(OR(OR(G28=0,F28=0),F28=""),"",(F28/E28-1)*100)</f>
        <v>-3.6984447334301285</v>
      </c>
      <c r="K28" s="66"/>
      <c r="L28" s="42"/>
      <c r="M28" s="43"/>
      <c r="N28" s="42"/>
    </row>
    <row r="29" spans="1:14" ht="18.75" customHeight="1">
      <c r="A29" s="64"/>
      <c r="B29" s="79" t="s">
        <v>23</v>
      </c>
      <c r="C29" s="80"/>
      <c r="D29" s="80">
        <f t="shared" ref="D29:G29" si="10">(D28/C28-1)*100</f>
        <v>-17.814659288826608</v>
      </c>
      <c r="E29" s="80">
        <f t="shared" si="10"/>
        <v>35.633444888156738</v>
      </c>
      <c r="F29" s="80">
        <f t="shared" si="10"/>
        <v>-3.6984447334301285</v>
      </c>
      <c r="G29" s="31">
        <f t="shared" si="10"/>
        <v>30.590452758691722</v>
      </c>
      <c r="H29" s="52"/>
      <c r="I29" s="52"/>
      <c r="J29" s="52"/>
      <c r="K29" s="66"/>
      <c r="L29" s="42"/>
      <c r="M29" s="43"/>
      <c r="N29" s="42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  <c r="L30" s="42"/>
      <c r="M30" s="43"/>
      <c r="N30" s="42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  <c r="L31" s="42"/>
      <c r="M31" s="43"/>
      <c r="N31" s="42"/>
    </row>
    <row r="32" spans="1:14" s="117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tr">
        <f>IF(G32="","",1)</f>
        <v/>
      </c>
      <c r="N32" s="42"/>
    </row>
    <row r="33" spans="1:14" s="117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tr">
        <f>IF(G33="","",1)</f>
        <v/>
      </c>
      <c r="N33" s="42"/>
    </row>
    <row r="34" spans="1:14" s="117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tr">
        <f>IF(G34="","",1)</f>
        <v/>
      </c>
      <c r="N34" s="42"/>
    </row>
    <row r="35" spans="1:14" s="117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tr">
        <f>IF(G35="","",1)</f>
        <v/>
      </c>
      <c r="N35" s="42"/>
    </row>
    <row r="36" spans="1:14" s="117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tr">
        <f>IF(G36="","",1)</f>
        <v/>
      </c>
      <c r="N36" s="42"/>
    </row>
    <row r="37" spans="1:14" s="117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117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tr">
        <f>IF(G38="","",1)</f>
        <v/>
      </c>
      <c r="N38" s="42"/>
    </row>
    <row r="39" spans="1:14" s="117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tr">
        <f>IF(G39="","",1)</f>
        <v/>
      </c>
      <c r="N39" s="42"/>
    </row>
    <row r="40" spans="1:14" s="117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tr">
        <f>IF(G40="","",1)</f>
        <v/>
      </c>
      <c r="N40" s="42"/>
    </row>
    <row r="41" spans="1:14" s="117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tr">
        <f>IF(G41="","",1)</f>
        <v/>
      </c>
      <c r="N41" s="42"/>
    </row>
    <row r="42" spans="1:14" s="117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117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117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25</v>
      </c>
      <c r="C45" s="69"/>
      <c r="D45" s="69"/>
      <c r="E45" s="69"/>
      <c r="F45" s="69"/>
      <c r="G45" s="69"/>
      <c r="H45" s="69"/>
      <c r="I45" s="69"/>
      <c r="J45" s="69"/>
      <c r="K45" s="70"/>
      <c r="L45" s="42"/>
      <c r="M45" s="43"/>
      <c r="N45" s="42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>
    <tabColor rgb="FF53722D"/>
  </sheetPr>
  <dimension ref="A1:N45"/>
  <sheetViews>
    <sheetView zoomScaleNormal="100" zoomScaleSheetLayoutView="100" workbookViewId="0">
      <pane ySplit="11" topLeftCell="A12" activePane="bottomLeft" state="frozen"/>
      <selection activeCell="F11" sqref="F11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117" customWidth="1"/>
    <col min="3" max="7" width="11.140625" style="117" customWidth="1"/>
    <col min="8" max="8" width="11.7109375" style="117" customWidth="1"/>
    <col min="9" max="9" width="12" style="117" customWidth="1"/>
    <col min="10" max="10" width="11.28515625" style="117" customWidth="1"/>
    <col min="11" max="11" width="1.85546875" style="117" customWidth="1"/>
    <col min="12" max="12" width="11.42578125" style="117"/>
    <col min="13" max="13" width="11.42578125" style="20" hidden="1" customWidth="1"/>
    <col min="14" max="14" width="11.42578125" style="117"/>
    <col min="15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  <c r="L1" s="42"/>
      <c r="M1" s="43"/>
      <c r="N1" s="42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  <c r="L2" s="42"/>
      <c r="M2" s="43"/>
      <c r="N2" s="42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  <c r="L3" s="42"/>
      <c r="M3" s="43"/>
      <c r="N3" s="42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  <c r="L4" s="42"/>
      <c r="M4" s="43"/>
      <c r="N4" s="42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  <c r="L5" s="42"/>
      <c r="M5" s="43"/>
      <c r="N5" s="42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  <c r="L6" s="42"/>
      <c r="M6" s="43"/>
      <c r="N6" s="42"/>
    </row>
    <row r="7" spans="1:14">
      <c r="A7" s="64"/>
      <c r="B7" s="44"/>
      <c r="C7" s="115" t="s">
        <v>71</v>
      </c>
      <c r="D7" s="115"/>
      <c r="E7" s="115"/>
      <c r="F7" s="115"/>
      <c r="G7" s="115"/>
      <c r="H7" s="115"/>
      <c r="I7" s="115"/>
      <c r="J7" s="115"/>
      <c r="K7" s="66"/>
      <c r="L7" s="42"/>
      <c r="M7" s="43"/>
      <c r="N7" s="42"/>
    </row>
    <row r="8" spans="1:14">
      <c r="A8" s="64"/>
      <c r="B8" s="44"/>
      <c r="C8" s="112" t="s">
        <v>57</v>
      </c>
      <c r="D8" s="112"/>
      <c r="E8" s="112"/>
      <c r="F8" s="112"/>
      <c r="G8" s="112"/>
      <c r="H8" s="112"/>
      <c r="I8" s="112"/>
      <c r="J8" s="112"/>
      <c r="K8" s="66"/>
      <c r="L8" s="42"/>
      <c r="M8" s="43"/>
      <c r="N8" s="42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  <c r="L9" s="42"/>
      <c r="M9" s="43"/>
      <c r="N9" s="42"/>
    </row>
    <row r="10" spans="1:14" ht="15.75" customHeight="1">
      <c r="A10" s="64"/>
      <c r="B10" s="46"/>
      <c r="C10" s="116" t="s">
        <v>2</v>
      </c>
      <c r="D10" s="116"/>
      <c r="E10" s="116"/>
      <c r="F10" s="116"/>
      <c r="G10" s="116"/>
      <c r="H10" s="113" t="s">
        <v>1</v>
      </c>
      <c r="I10" s="113" t="s">
        <v>10</v>
      </c>
      <c r="J10" s="113" t="s">
        <v>3</v>
      </c>
      <c r="K10" s="66"/>
      <c r="L10" s="42"/>
      <c r="M10" s="43"/>
      <c r="N10" s="42"/>
    </row>
    <row r="11" spans="1:14">
      <c r="A11" s="64"/>
      <c r="B11" s="46"/>
      <c r="C11" s="108">
        <v>2006</v>
      </c>
      <c r="D11" s="108">
        <v>2007</v>
      </c>
      <c r="E11" s="108">
        <v>2008</v>
      </c>
      <c r="F11" s="108">
        <v>2009</v>
      </c>
      <c r="G11" s="108">
        <v>2010</v>
      </c>
      <c r="H11" s="113"/>
      <c r="I11" s="113"/>
      <c r="J11" s="113"/>
      <c r="K11" s="66"/>
      <c r="L11" s="42"/>
      <c r="M11" s="43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  <c r="L12" s="42"/>
      <c r="M12" s="43"/>
      <c r="N12" s="42"/>
    </row>
    <row r="13" spans="1:14">
      <c r="A13" s="64"/>
      <c r="B13" s="75" t="s">
        <v>11</v>
      </c>
      <c r="C13" s="76">
        <f>+[16]Historico!B57/1000000</f>
        <v>618.77444600000001</v>
      </c>
      <c r="D13" s="76">
        <f>+[16]Historico!C57/1000000</f>
        <v>826.62178100000006</v>
      </c>
      <c r="E13" s="76">
        <f>+[16]Historico!D57/1000000</f>
        <v>942.18059800000003</v>
      </c>
      <c r="F13" s="76">
        <f>+[16]Historico!E57/1000000</f>
        <v>1317.7474030000001</v>
      </c>
      <c r="G13" s="77">
        <f>+[16]Historico!F57/1000000</f>
        <v>1124.1917570000001</v>
      </c>
      <c r="H13" s="78">
        <f t="shared" ref="H13:H24" si="0">IF(OR(OR(G13=0,F13=0),G13=""),"",(G13/F13-1)*100)</f>
        <v>-14.688372411840756</v>
      </c>
      <c r="I13" s="78">
        <f t="shared" ref="I13:I24" si="1">IF(OR(OR(G13=0,F13=0),G13=""),"",G13/F13*100)</f>
        <v>85.31162758815924</v>
      </c>
      <c r="J13" s="78">
        <f t="shared" ref="J13:J24" si="2">IF(OR(OR(G13=0,F13=0),G13=""),"",(F13/E13-1)*100)</f>
        <v>39.861445438085738</v>
      </c>
      <c r="K13" s="66"/>
      <c r="L13" s="42"/>
      <c r="M13" s="42">
        <f t="shared" ref="M13:M24" si="3">IF(G13="","",1)</f>
        <v>1</v>
      </c>
      <c r="N13" s="42"/>
    </row>
    <row r="14" spans="1:14">
      <c r="A14" s="64"/>
      <c r="B14" s="75" t="s">
        <v>12</v>
      </c>
      <c r="C14" s="76">
        <f>+[16]Historico!B58/1000000</f>
        <v>649.31619999999998</v>
      </c>
      <c r="D14" s="76">
        <f>+[16]Historico!C58/1000000</f>
        <v>936.24741800000004</v>
      </c>
      <c r="E14" s="76">
        <f>+[16]Historico!D58/1000000</f>
        <v>1045.468404</v>
      </c>
      <c r="F14" s="76">
        <f>+[16]Historico!E58/1000000</f>
        <v>1052.961249</v>
      </c>
      <c r="G14" s="77">
        <f>+[16]Historico!F58/1000000</f>
        <v>1115.0190809999999</v>
      </c>
      <c r="H14" s="78">
        <f t="shared" si="0"/>
        <v>5.8936482286443548</v>
      </c>
      <c r="I14" s="78">
        <f t="shared" si="1"/>
        <v>105.89364822864435</v>
      </c>
      <c r="J14" s="78">
        <f t="shared" si="2"/>
        <v>0.71669741250257601</v>
      </c>
      <c r="K14" s="66"/>
      <c r="L14" s="42"/>
      <c r="M14" s="42">
        <f t="shared" si="3"/>
        <v>1</v>
      </c>
      <c r="N14" s="42"/>
    </row>
    <row r="15" spans="1:14">
      <c r="A15" s="64"/>
      <c r="B15" s="75" t="s">
        <v>13</v>
      </c>
      <c r="C15" s="76">
        <f>+[16]Historico!B59/1000000</f>
        <v>798.73232199999995</v>
      </c>
      <c r="D15" s="76">
        <f>+[16]Historico!C59/1000000</f>
        <v>990.81926799999997</v>
      </c>
      <c r="E15" s="76">
        <f>+[16]Historico!D59/1000000</f>
        <v>1009.817574</v>
      </c>
      <c r="F15" s="76">
        <f>+[16]Historico!E59/1000000</f>
        <v>971.71835799999997</v>
      </c>
      <c r="G15" s="77">
        <f>+[16]Historico!F59/1000000</f>
        <v>1445.81537</v>
      </c>
      <c r="H15" s="78">
        <f t="shared" si="0"/>
        <v>48.789549780225514</v>
      </c>
      <c r="I15" s="78">
        <f>IF(OR(OR(G15=0,F15=0),G15=""),"",G15/F15*100)</f>
        <v>148.78954978022551</v>
      </c>
      <c r="J15" s="78">
        <f t="shared" si="2"/>
        <v>-3.7728810609905294</v>
      </c>
      <c r="K15" s="66"/>
      <c r="L15" s="42"/>
      <c r="M15" s="42">
        <f t="shared" si="3"/>
        <v>1</v>
      </c>
      <c r="N15" s="42"/>
    </row>
    <row r="16" spans="1:14">
      <c r="A16" s="64"/>
      <c r="B16" s="75" t="s">
        <v>14</v>
      </c>
      <c r="C16" s="76">
        <f>+[16]Historico!B60/1000000</f>
        <v>783.59340099999997</v>
      </c>
      <c r="D16" s="76">
        <f>+[16]Historico!C60/1000000</f>
        <v>836.17471699999999</v>
      </c>
      <c r="E16" s="76">
        <f>+[16]Historico!D60/1000000</f>
        <v>1200.638087</v>
      </c>
      <c r="F16" s="76">
        <f>+[16]Historico!E60/1000000</f>
        <v>1122.003913</v>
      </c>
      <c r="G16" s="77">
        <f>+[16]Historico!F60/1000000</f>
        <v>1246.5208700000001</v>
      </c>
      <c r="H16" s="78">
        <f t="shared" si="0"/>
        <v>11.097729299986847</v>
      </c>
      <c r="I16" s="78">
        <f t="shared" si="1"/>
        <v>111.09772929998685</v>
      </c>
      <c r="J16" s="78">
        <f t="shared" si="2"/>
        <v>-6.5493652792975254</v>
      </c>
      <c r="K16" s="66"/>
      <c r="L16" s="42"/>
      <c r="M16" s="42">
        <f t="shared" si="3"/>
        <v>1</v>
      </c>
      <c r="N16" s="42"/>
    </row>
    <row r="17" spans="1:14">
      <c r="A17" s="64"/>
      <c r="B17" s="75" t="s">
        <v>15</v>
      </c>
      <c r="C17" s="76">
        <f>+[16]Historico!B61/1000000</f>
        <v>874.82112299999994</v>
      </c>
      <c r="D17" s="76">
        <f>+[16]Historico!C61/1000000</f>
        <v>1001.227849</v>
      </c>
      <c r="E17" s="76">
        <f>+[16]Historico!D61/1000000</f>
        <v>1125.7587040000001</v>
      </c>
      <c r="F17" s="76">
        <f>+[16]Historico!E61/1000000</f>
        <v>942.35614599999997</v>
      </c>
      <c r="G17" s="77">
        <f>+[16]Historico!F61/1000000</f>
        <v>1345.4347540000001</v>
      </c>
      <c r="H17" s="78">
        <f t="shared" si="0"/>
        <v>42.773489588935121</v>
      </c>
      <c r="I17" s="78">
        <f t="shared" si="1"/>
        <v>142.77348958893512</v>
      </c>
      <c r="J17" s="78">
        <f t="shared" si="2"/>
        <v>-16.291462579711048</v>
      </c>
      <c r="K17" s="66"/>
      <c r="L17" s="42"/>
      <c r="M17" s="42">
        <f t="shared" si="3"/>
        <v>1</v>
      </c>
      <c r="N17" s="42"/>
    </row>
    <row r="18" spans="1:14">
      <c r="A18" s="64"/>
      <c r="B18" s="75" t="s">
        <v>16</v>
      </c>
      <c r="C18" s="76">
        <f>+[16]Historico!B62/1000000</f>
        <v>861.11157700000001</v>
      </c>
      <c r="D18" s="76">
        <f>+[16]Historico!C62/1000000</f>
        <v>930.973434</v>
      </c>
      <c r="E18" s="76">
        <f>+[16]Historico!D62/1000000</f>
        <v>1136.810397</v>
      </c>
      <c r="F18" s="76">
        <f>+[16]Historico!E62/1000000</f>
        <v>948.93721000000005</v>
      </c>
      <c r="G18" s="77">
        <f>+[16]Historico!F62/1000000</f>
        <v>1301.4516779999999</v>
      </c>
      <c r="H18" s="78">
        <f t="shared" si="0"/>
        <v>37.148344936331434</v>
      </c>
      <c r="I18" s="78">
        <f t="shared" si="1"/>
        <v>137.14834493633143</v>
      </c>
      <c r="J18" s="78">
        <f t="shared" si="2"/>
        <v>-16.526343134773413</v>
      </c>
      <c r="K18" s="66"/>
      <c r="L18" s="42"/>
      <c r="M18" s="42">
        <f t="shared" si="3"/>
        <v>1</v>
      </c>
      <c r="N18" s="42"/>
    </row>
    <row r="19" spans="1:14">
      <c r="A19" s="64"/>
      <c r="B19" s="75" t="s">
        <v>17</v>
      </c>
      <c r="C19" s="76">
        <f>+[16]Historico!B63/1000000</f>
        <v>809.712761</v>
      </c>
      <c r="D19" s="76">
        <f>+[16]Historico!C63/1000000</f>
        <v>949.48627699999997</v>
      </c>
      <c r="E19" s="76">
        <f>+[16]Historico!D63/1000000</f>
        <v>1250.2150019999999</v>
      </c>
      <c r="F19" s="76">
        <f>+[16]Historico!E63/1000000</f>
        <v>1316.649748</v>
      </c>
      <c r="G19" s="77">
        <f>+[16]Historico!F63/1000000</f>
        <v>1461.9948939999999</v>
      </c>
      <c r="H19" s="78">
        <f>IF(OR(OR(G19=0,F19=0),G19=""),"",(G19/F19-1)*100)</f>
        <v>11.039013695235212</v>
      </c>
      <c r="I19" s="78">
        <f t="shared" si="1"/>
        <v>111.03901369523521</v>
      </c>
      <c r="J19" s="78">
        <f t="shared" si="2"/>
        <v>5.313865686599728</v>
      </c>
      <c r="K19" s="66"/>
      <c r="L19" s="42"/>
      <c r="M19" s="42">
        <f t="shared" si="3"/>
        <v>1</v>
      </c>
      <c r="N19" s="42"/>
    </row>
    <row r="20" spans="1:14">
      <c r="A20" s="64"/>
      <c r="B20" s="75" t="s">
        <v>18</v>
      </c>
      <c r="C20" s="76">
        <f>+[16]Historico!B64/1000000</f>
        <v>829.54549799999995</v>
      </c>
      <c r="D20" s="76">
        <f>+[16]Historico!C64/1000000</f>
        <v>1047.989386</v>
      </c>
      <c r="E20" s="76">
        <f>+[16]Historico!D64/1000000</f>
        <v>1065.1641959999999</v>
      </c>
      <c r="F20" s="76">
        <f>+[16]Historico!E64/1000000</f>
        <v>1055.3559270000001</v>
      </c>
      <c r="G20" s="77">
        <f>+[16]Historico!F64/1000000</f>
        <v>1494.208519</v>
      </c>
      <c r="H20" s="78">
        <f>IF(OR(OR(G20=0,F20=0),G20=""),"",(G20/F20-1)*100)</f>
        <v>41.583373037710714</v>
      </c>
      <c r="I20" s="78">
        <f t="shared" si="1"/>
        <v>141.58337303771071</v>
      </c>
      <c r="J20" s="78">
        <f t="shared" si="2"/>
        <v>-0.92082225790471872</v>
      </c>
      <c r="K20" s="66"/>
      <c r="L20" s="42"/>
      <c r="M20" s="42">
        <f t="shared" si="3"/>
        <v>1</v>
      </c>
      <c r="N20" s="42"/>
    </row>
    <row r="21" spans="1:14">
      <c r="A21" s="64"/>
      <c r="B21" s="75" t="s">
        <v>19</v>
      </c>
      <c r="C21" s="76">
        <f>+[16]Historico!B65/1000000</f>
        <v>824.77390100000002</v>
      </c>
      <c r="D21" s="76">
        <f>+[16]Historico!C65/1000000</f>
        <v>999.39867900000002</v>
      </c>
      <c r="E21" s="76">
        <f>+[16]Historico!D65/1000000</f>
        <v>1183.118835</v>
      </c>
      <c r="F21" s="76">
        <f>+[16]Historico!E65/1000000</f>
        <v>1126.720063</v>
      </c>
      <c r="G21" s="77">
        <f>+[16]Historico!F65/1000000</f>
        <v>1727.1406669999999</v>
      </c>
      <c r="H21" s="78">
        <f>IF(OR(OR(G21=0,F21=0),G21=""),"",(G21/F21-1)*100)</f>
        <v>53.289244038250501</v>
      </c>
      <c r="I21" s="78">
        <f t="shared" ref="I21" si="4">IF(OR(OR(G21=0,F21=0),G21=""),"",G21/F21*100)</f>
        <v>153.2892440382505</v>
      </c>
      <c r="J21" s="78">
        <f t="shared" ref="J21" si="5">IF(OR(OR(G21=0,F21=0),G21=""),"",(F21/E21-1)*100)</f>
        <v>-4.7669574967082688</v>
      </c>
      <c r="K21" s="66"/>
      <c r="L21" s="42"/>
      <c r="M21" s="42">
        <f t="shared" si="3"/>
        <v>1</v>
      </c>
      <c r="N21" s="42"/>
    </row>
    <row r="22" spans="1:14">
      <c r="A22" s="64"/>
      <c r="B22" s="75" t="s">
        <v>20</v>
      </c>
      <c r="C22" s="76">
        <f>+[16]Historico!B66/1000000</f>
        <v>854.00054799999998</v>
      </c>
      <c r="D22" s="76">
        <f>+[16]Historico!C66/1000000</f>
        <v>1135.2978270000001</v>
      </c>
      <c r="E22" s="76">
        <f>+[16]Historico!D66/1000000</f>
        <v>1283.3377599999999</v>
      </c>
      <c r="F22" s="76">
        <f>+[16]Historico!E66/1000000</f>
        <v>1215.4024999999999</v>
      </c>
      <c r="G22" s="73">
        <f>+[16]Historico!F66/1000000</f>
        <v>1569.9305730000001</v>
      </c>
      <c r="H22" s="25">
        <f>IF(OR(OR(G22=0,F22=0),G22=""),"",(G22/F22-1)*100)</f>
        <v>29.169602086551592</v>
      </c>
      <c r="I22" s="25">
        <f t="shared" ref="I22" si="6">IF(OR(OR(G22=0,F22=0),G22=""),"",G22/F22*100)</f>
        <v>129.16960208655161</v>
      </c>
      <c r="J22" s="25">
        <f t="shared" ref="J22" si="7">IF(OR(OR(G22=0,F22=0),G22=""),"",(F22/E22-1)*100)</f>
        <v>-5.2936383637616995</v>
      </c>
      <c r="K22" s="66"/>
      <c r="L22" s="42"/>
      <c r="M22" s="42">
        <f t="shared" si="3"/>
        <v>1</v>
      </c>
      <c r="N22" s="42"/>
    </row>
    <row r="23" spans="1:14">
      <c r="A23" s="64"/>
      <c r="B23" s="75" t="s">
        <v>21</v>
      </c>
      <c r="C23" s="76">
        <f>+[16]Historico!B67/1000000</f>
        <v>890.30791799999997</v>
      </c>
      <c r="D23" s="76">
        <f>+[16]Historico!C67/1000000</f>
        <v>1165.529213</v>
      </c>
      <c r="E23" s="76">
        <f>+[16]Historico!D67/1000000</f>
        <v>1334.8861750000001</v>
      </c>
      <c r="F23" s="76">
        <f>+[16]Historico!E67/1000000</f>
        <v>1064.666753</v>
      </c>
      <c r="G23" s="77"/>
      <c r="H23" s="78" t="str">
        <f t="shared" si="0"/>
        <v/>
      </c>
      <c r="I23" s="78" t="str">
        <f t="shared" si="1"/>
        <v/>
      </c>
      <c r="J23" s="78" t="str">
        <f t="shared" si="2"/>
        <v/>
      </c>
      <c r="K23" s="66"/>
      <c r="L23" s="42"/>
      <c r="M23" s="42" t="str">
        <f t="shared" si="3"/>
        <v/>
      </c>
      <c r="N23" s="42"/>
    </row>
    <row r="24" spans="1:14">
      <c r="A24" s="64"/>
      <c r="B24" s="75" t="s">
        <v>22</v>
      </c>
      <c r="C24" s="76">
        <f>+[16]Historico!B68/1000000</f>
        <v>915.86520599999994</v>
      </c>
      <c r="D24" s="76">
        <f>+[16]Historico!C68/1000000</f>
        <v>1077.1539029999999</v>
      </c>
      <c r="E24" s="76">
        <f>+[16]Historico!D68/1000000</f>
        <v>1215.0699549999999</v>
      </c>
      <c r="F24" s="76">
        <f>+[16]Historico!E68/1000000</f>
        <v>1268.584965</v>
      </c>
      <c r="G24" s="77"/>
      <c r="H24" s="78" t="str">
        <f t="shared" si="0"/>
        <v/>
      </c>
      <c r="I24" s="78" t="str">
        <f t="shared" si="1"/>
        <v/>
      </c>
      <c r="J24" s="78" t="str">
        <f t="shared" si="2"/>
        <v/>
      </c>
      <c r="K24" s="66"/>
      <c r="L24" s="42"/>
      <c r="M24" s="42" t="str">
        <f t="shared" si="3"/>
        <v/>
      </c>
      <c r="N24" s="42"/>
    </row>
    <row r="25" spans="1:14">
      <c r="A25" s="64"/>
      <c r="B25" s="79" t="s">
        <v>32</v>
      </c>
      <c r="C25" s="77">
        <f t="shared" ref="C25:G25" si="8">SUM(C13:C24)</f>
        <v>9710.5549010000013</v>
      </c>
      <c r="D25" s="77">
        <f t="shared" si="8"/>
        <v>11896.919752000002</v>
      </c>
      <c r="E25" s="77">
        <f t="shared" si="8"/>
        <v>13792.465687</v>
      </c>
      <c r="F25" s="77">
        <f t="shared" si="8"/>
        <v>13403.104235000001</v>
      </c>
      <c r="G25" s="72">
        <f t="shared" si="8"/>
        <v>13831.708162999999</v>
      </c>
      <c r="H25" s="71"/>
      <c r="I25" s="52"/>
      <c r="J25" s="52"/>
      <c r="K25" s="66"/>
      <c r="L25" s="42"/>
      <c r="M25" s="42"/>
      <c r="N25" s="42"/>
    </row>
    <row r="26" spans="1:14" ht="18.75" customHeight="1">
      <c r="A26" s="64"/>
      <c r="B26" s="79" t="s">
        <v>23</v>
      </c>
      <c r="C26" s="80"/>
      <c r="D26" s="80">
        <f>(D25/C25-1)*100</f>
        <v>22.515344110508529</v>
      </c>
      <c r="E26" s="80">
        <f>(E25/D25-1)*100</f>
        <v>15.933081625446244</v>
      </c>
      <c r="F26" s="80">
        <f>(F25/E25-1)*100</f>
        <v>-2.8230010560547525</v>
      </c>
      <c r="G26" s="51"/>
      <c r="H26" s="52"/>
      <c r="I26" s="52"/>
      <c r="J26" s="52"/>
      <c r="K26" s="66"/>
      <c r="L26" s="42"/>
      <c r="M26" s="43"/>
      <c r="N26" s="42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  <c r="L27" s="42"/>
      <c r="M27" s="43"/>
      <c r="N27" s="42"/>
    </row>
    <row r="28" spans="1:14" ht="18.75" customHeight="1">
      <c r="A28" s="64"/>
      <c r="B28" s="79" t="s">
        <v>24</v>
      </c>
      <c r="C28" s="77">
        <f t="shared" ref="C28:E28" si="9">SUMPRODUCT(C13:C24,$M$13:$M$24)</f>
        <v>7904.3817770000005</v>
      </c>
      <c r="D28" s="77">
        <f t="shared" si="9"/>
        <v>9654.2366360000015</v>
      </c>
      <c r="E28" s="77">
        <f t="shared" si="9"/>
        <v>11242.509556999999</v>
      </c>
      <c r="F28" s="77">
        <f>SUMPRODUCT(F13:F24,$M$13:$M$24)</f>
        <v>11069.852517000001</v>
      </c>
      <c r="G28" s="73">
        <f>SUMPRODUCT(G13:G24,$M$13:$M$24)</f>
        <v>13831.708162999999</v>
      </c>
      <c r="H28" s="74">
        <f>IF(OR(OR(G28=0,F28=0),G28=""),"",(G28/F28-1)*100)</f>
        <v>24.949344553223352</v>
      </c>
      <c r="I28" s="31">
        <f>IF(OR(OR(G28=0,F28=0),G28=""),"",G28/F28*100)</f>
        <v>124.94934455322336</v>
      </c>
      <c r="J28" s="31">
        <f>IF(OR(OR(G28=0,F28=0),F28=""),"",(F28/E28-1)*100)</f>
        <v>-1.5357517743224469</v>
      </c>
      <c r="K28" s="66"/>
      <c r="L28" s="42"/>
      <c r="M28" s="43"/>
      <c r="N28" s="42"/>
    </row>
    <row r="29" spans="1:14" ht="18.75" customHeight="1">
      <c r="A29" s="64"/>
      <c r="B29" s="79" t="s">
        <v>23</v>
      </c>
      <c r="C29" s="80"/>
      <c r="D29" s="80">
        <f t="shared" ref="D29:G29" si="10">(D28/C28-1)*100</f>
        <v>22.137782667478056</v>
      </c>
      <c r="E29" s="80">
        <f t="shared" si="10"/>
        <v>16.451564021928313</v>
      </c>
      <c r="F29" s="80">
        <f t="shared" si="10"/>
        <v>-1.5357517743224469</v>
      </c>
      <c r="G29" s="31">
        <f t="shared" si="10"/>
        <v>24.949344553223352</v>
      </c>
      <c r="H29" s="52"/>
      <c r="I29" s="52"/>
      <c r="J29" s="52"/>
      <c r="K29" s="66"/>
      <c r="L29" s="42"/>
      <c r="M29" s="43"/>
      <c r="N29" s="42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  <c r="L30" s="42"/>
      <c r="M30" s="43"/>
      <c r="N30" s="42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  <c r="L31" s="42"/>
      <c r="M31" s="43"/>
      <c r="N31" s="42"/>
    </row>
    <row r="32" spans="1:14" s="117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tr">
        <f>IF(G32="","",1)</f>
        <v/>
      </c>
      <c r="N32" s="42"/>
    </row>
    <row r="33" spans="1:14" s="117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tr">
        <f>IF(G33="","",1)</f>
        <v/>
      </c>
      <c r="N33" s="42"/>
    </row>
    <row r="34" spans="1:14" s="117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tr">
        <f>IF(G34="","",1)</f>
        <v/>
      </c>
      <c r="N34" s="42"/>
    </row>
    <row r="35" spans="1:14" s="117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tr">
        <f>IF(G35="","",1)</f>
        <v/>
      </c>
      <c r="N35" s="42"/>
    </row>
    <row r="36" spans="1:14" s="117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tr">
        <f>IF(G36="","",1)</f>
        <v/>
      </c>
      <c r="N36" s="42"/>
    </row>
    <row r="37" spans="1:14" s="117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117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tr">
        <f>IF(G38="","",1)</f>
        <v/>
      </c>
      <c r="N38" s="42"/>
    </row>
    <row r="39" spans="1:14" s="117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tr">
        <f>IF(G39="","",1)</f>
        <v/>
      </c>
      <c r="N39" s="42"/>
    </row>
    <row r="40" spans="1:14" s="117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tr">
        <f>IF(G40="","",1)</f>
        <v/>
      </c>
      <c r="N40" s="42"/>
    </row>
    <row r="41" spans="1:14" s="117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tr">
        <f>IF(G41="","",1)</f>
        <v/>
      </c>
      <c r="N41" s="42"/>
    </row>
    <row r="42" spans="1:14" s="117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117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117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25</v>
      </c>
      <c r="C45" s="69"/>
      <c r="D45" s="69"/>
      <c r="E45" s="69"/>
      <c r="F45" s="69"/>
      <c r="G45" s="69"/>
      <c r="H45" s="69"/>
      <c r="I45" s="69"/>
      <c r="J45" s="69"/>
      <c r="K45" s="70"/>
      <c r="L45" s="42"/>
      <c r="M45" s="43"/>
      <c r="N45" s="42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>
    <tabColor rgb="FF53722D"/>
  </sheetPr>
  <dimension ref="A1:N45"/>
  <sheetViews>
    <sheetView zoomScaleNormal="100" zoomScaleSheetLayoutView="100" workbookViewId="0">
      <pane ySplit="11" topLeftCell="A12" activePane="bottomLeft" state="frozen"/>
      <selection activeCell="F11" sqref="F11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117" customWidth="1"/>
    <col min="3" max="7" width="11.140625" style="117" customWidth="1"/>
    <col min="8" max="8" width="11.7109375" style="117" customWidth="1"/>
    <col min="9" max="9" width="12" style="117" customWidth="1"/>
    <col min="10" max="10" width="11.28515625" style="117" customWidth="1"/>
    <col min="11" max="11" width="1.85546875" style="117" customWidth="1"/>
    <col min="12" max="12" width="11.42578125" style="117"/>
    <col min="13" max="13" width="11.42578125" style="20" hidden="1" customWidth="1"/>
    <col min="14" max="14" width="11.42578125" style="117"/>
    <col min="15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  <c r="L1" s="42"/>
      <c r="M1" s="43"/>
      <c r="N1" s="42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  <c r="L2" s="42"/>
      <c r="M2" s="43"/>
      <c r="N2" s="42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  <c r="L3" s="42"/>
      <c r="M3" s="43"/>
      <c r="N3" s="42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  <c r="L4" s="42"/>
      <c r="M4" s="43"/>
      <c r="N4" s="42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  <c r="L5" s="42"/>
      <c r="M5" s="43"/>
      <c r="N5" s="42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  <c r="L6" s="42"/>
      <c r="M6" s="43"/>
      <c r="N6" s="42"/>
    </row>
    <row r="7" spans="1:14">
      <c r="A7" s="64"/>
      <c r="B7" s="44"/>
      <c r="C7" s="115" t="s">
        <v>73</v>
      </c>
      <c r="D7" s="115"/>
      <c r="E7" s="115"/>
      <c r="F7" s="115"/>
      <c r="G7" s="115"/>
      <c r="H7" s="115"/>
      <c r="I7" s="115"/>
      <c r="J7" s="115"/>
      <c r="K7" s="66"/>
      <c r="L7" s="42"/>
      <c r="M7" s="43"/>
      <c r="N7" s="42"/>
    </row>
    <row r="8" spans="1:14">
      <c r="A8" s="64"/>
      <c r="B8" s="44"/>
      <c r="C8" s="112" t="s">
        <v>57</v>
      </c>
      <c r="D8" s="112"/>
      <c r="E8" s="112"/>
      <c r="F8" s="112"/>
      <c r="G8" s="112"/>
      <c r="H8" s="112"/>
      <c r="I8" s="112"/>
      <c r="J8" s="112"/>
      <c r="K8" s="66"/>
      <c r="L8" s="42"/>
      <c r="M8" s="43"/>
      <c r="N8" s="42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  <c r="L9" s="42"/>
      <c r="M9" s="43"/>
      <c r="N9" s="42"/>
    </row>
    <row r="10" spans="1:14" ht="15.75" customHeight="1">
      <c r="A10" s="64"/>
      <c r="B10" s="46"/>
      <c r="C10" s="116" t="s">
        <v>2</v>
      </c>
      <c r="D10" s="116"/>
      <c r="E10" s="116"/>
      <c r="F10" s="116"/>
      <c r="G10" s="116"/>
      <c r="H10" s="113" t="s">
        <v>1</v>
      </c>
      <c r="I10" s="113" t="s">
        <v>10</v>
      </c>
      <c r="J10" s="113" t="s">
        <v>3</v>
      </c>
      <c r="K10" s="66"/>
      <c r="L10" s="42"/>
      <c r="M10" s="43"/>
      <c r="N10" s="42"/>
    </row>
    <row r="11" spans="1:14">
      <c r="A11" s="64"/>
      <c r="B11" s="46"/>
      <c r="C11" s="108">
        <v>2006</v>
      </c>
      <c r="D11" s="108">
        <v>2007</v>
      </c>
      <c r="E11" s="108">
        <v>2008</v>
      </c>
      <c r="F11" s="108">
        <v>2009</v>
      </c>
      <c r="G11" s="108">
        <v>2010</v>
      </c>
      <c r="H11" s="113"/>
      <c r="I11" s="113"/>
      <c r="J11" s="113"/>
      <c r="K11" s="66"/>
      <c r="L11" s="42"/>
      <c r="M11" s="43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  <c r="L12" s="42"/>
      <c r="M12" s="43"/>
      <c r="N12" s="42"/>
    </row>
    <row r="13" spans="1:14">
      <c r="A13" s="64"/>
      <c r="B13" s="75" t="s">
        <v>11</v>
      </c>
      <c r="C13" s="76">
        <f>+[16]Historico!B82/1000000</f>
        <v>79.761512999999994</v>
      </c>
      <c r="D13" s="76">
        <f>+[16]Historico!C82/1000000</f>
        <v>101.682573</v>
      </c>
      <c r="E13" s="76">
        <f>+[16]Historico!D82/1000000</f>
        <v>99.665751999999998</v>
      </c>
      <c r="F13" s="76">
        <f>+[16]Historico!E82/1000000</f>
        <v>106.04132199999999</v>
      </c>
      <c r="G13" s="77">
        <f>+[16]Historico!F82/1000000</f>
        <v>102.461524</v>
      </c>
      <c r="H13" s="78">
        <f t="shared" ref="H13:H24" si="0">IF(OR(OR(G13=0,F13=0),G13=""),"",(G13/F13-1)*100)</f>
        <v>-3.3758519155391076</v>
      </c>
      <c r="I13" s="78">
        <f t="shared" ref="I13:I24" si="1">IF(OR(OR(G13=0,F13=0),G13=""),"",G13/F13*100)</f>
        <v>96.624148084460899</v>
      </c>
      <c r="J13" s="78">
        <f t="shared" ref="J13:J24" si="2">IF(OR(OR(G13=0,F13=0),G13=""),"",(F13/E13-1)*100)</f>
        <v>6.3969516830616024</v>
      </c>
      <c r="K13" s="66"/>
      <c r="L13" s="42"/>
      <c r="M13" s="42">
        <f t="shared" ref="M13:M24" si="3">IF(G13="","",1)</f>
        <v>1</v>
      </c>
      <c r="N13" s="42"/>
    </row>
    <row r="14" spans="1:14">
      <c r="A14" s="64"/>
      <c r="B14" s="75" t="s">
        <v>12</v>
      </c>
      <c r="C14" s="76">
        <f>+[16]Historico!B83/1000000</f>
        <v>75.545456000000001</v>
      </c>
      <c r="D14" s="76">
        <f>+[16]Historico!C83/1000000</f>
        <v>76.350600999999997</v>
      </c>
      <c r="E14" s="76">
        <f>+[16]Historico!D83/1000000</f>
        <v>95.701430000000002</v>
      </c>
      <c r="F14" s="76">
        <f>+[16]Historico!E83/1000000</f>
        <v>85.321374000000006</v>
      </c>
      <c r="G14" s="77">
        <f>+[16]Historico!F83/1000000</f>
        <v>98.130954000000003</v>
      </c>
      <c r="H14" s="78">
        <f t="shared" si="0"/>
        <v>15.013330657333302</v>
      </c>
      <c r="I14" s="78">
        <f t="shared" si="1"/>
        <v>115.0133306573333</v>
      </c>
      <c r="J14" s="78">
        <f t="shared" si="2"/>
        <v>-10.846291429501099</v>
      </c>
      <c r="K14" s="66"/>
      <c r="L14" s="42"/>
      <c r="M14" s="42">
        <f t="shared" si="3"/>
        <v>1</v>
      </c>
      <c r="N14" s="42"/>
    </row>
    <row r="15" spans="1:14">
      <c r="A15" s="64"/>
      <c r="B15" s="75" t="s">
        <v>13</v>
      </c>
      <c r="C15" s="76">
        <f>+[16]Historico!B84/1000000</f>
        <v>69.337987999999996</v>
      </c>
      <c r="D15" s="76">
        <f>+[16]Historico!C84/1000000</f>
        <v>94.874534999999995</v>
      </c>
      <c r="E15" s="76">
        <f>+[16]Historico!D84/1000000</f>
        <v>99.06532</v>
      </c>
      <c r="F15" s="76">
        <f>+[16]Historico!E84/1000000</f>
        <v>101.777687</v>
      </c>
      <c r="G15" s="77">
        <f>+[16]Historico!F84/1000000</f>
        <v>137.34686500000001</v>
      </c>
      <c r="H15" s="78">
        <f t="shared" si="0"/>
        <v>34.947913485202321</v>
      </c>
      <c r="I15" s="78">
        <f>IF(OR(OR(G15=0,F15=0),G15=""),"",G15/F15*100)</f>
        <v>134.94791348520232</v>
      </c>
      <c r="J15" s="78">
        <f t="shared" si="2"/>
        <v>2.7379581472103398</v>
      </c>
      <c r="K15" s="66"/>
      <c r="L15" s="42"/>
      <c r="M15" s="42">
        <f t="shared" si="3"/>
        <v>1</v>
      </c>
      <c r="N15" s="42"/>
    </row>
    <row r="16" spans="1:14">
      <c r="A16" s="64"/>
      <c r="B16" s="75" t="s">
        <v>14</v>
      </c>
      <c r="C16" s="76">
        <f>+[16]Historico!B85/1000000</f>
        <v>105.31387599999999</v>
      </c>
      <c r="D16" s="76">
        <f>+[16]Historico!C85/1000000</f>
        <v>87.989884000000004</v>
      </c>
      <c r="E16" s="76">
        <f>+[16]Historico!D85/1000000</f>
        <v>112.880763</v>
      </c>
      <c r="F16" s="76">
        <f>+[16]Historico!E85/1000000</f>
        <v>91.814465999999996</v>
      </c>
      <c r="G16" s="77">
        <f>+[16]Historico!F85/1000000</f>
        <v>135.42277100000001</v>
      </c>
      <c r="H16" s="78">
        <f t="shared" si="0"/>
        <v>47.496115699240704</v>
      </c>
      <c r="I16" s="78">
        <f t="shared" si="1"/>
        <v>147.4961156992407</v>
      </c>
      <c r="J16" s="78">
        <f t="shared" si="2"/>
        <v>-18.662433208393537</v>
      </c>
      <c r="K16" s="66"/>
      <c r="L16" s="42"/>
      <c r="M16" s="42">
        <f t="shared" si="3"/>
        <v>1</v>
      </c>
      <c r="N16" s="42"/>
    </row>
    <row r="17" spans="1:14">
      <c r="A17" s="64"/>
      <c r="B17" s="75" t="s">
        <v>15</v>
      </c>
      <c r="C17" s="76">
        <f>+[16]Historico!B86/1000000</f>
        <v>68.936420999999996</v>
      </c>
      <c r="D17" s="76">
        <f>+[16]Historico!C86/1000000</f>
        <v>99.835320999999993</v>
      </c>
      <c r="E17" s="76">
        <f>+[16]Historico!D86/1000000</f>
        <v>110.047045</v>
      </c>
      <c r="F17" s="76">
        <f>+[16]Historico!E86/1000000</f>
        <v>94.888998999999998</v>
      </c>
      <c r="G17" s="77">
        <f>+[16]Historico!F86/1000000</f>
        <v>143.319278</v>
      </c>
      <c r="H17" s="78">
        <f t="shared" si="0"/>
        <v>51.038876487673775</v>
      </c>
      <c r="I17" s="78">
        <f t="shared" si="1"/>
        <v>151.03887648767378</v>
      </c>
      <c r="J17" s="78">
        <f t="shared" si="2"/>
        <v>-13.774150864296264</v>
      </c>
      <c r="K17" s="66"/>
      <c r="L17" s="42"/>
      <c r="M17" s="42">
        <f t="shared" si="3"/>
        <v>1</v>
      </c>
      <c r="N17" s="42"/>
    </row>
    <row r="18" spans="1:14">
      <c r="A18" s="64"/>
      <c r="B18" s="75" t="s">
        <v>16</v>
      </c>
      <c r="C18" s="76">
        <f>+[16]Historico!B87/1000000</f>
        <v>95.791689000000005</v>
      </c>
      <c r="D18" s="76">
        <f>+[16]Historico!C87/1000000</f>
        <v>96.517591999999993</v>
      </c>
      <c r="E18" s="76">
        <f>+[16]Historico!D87/1000000</f>
        <v>108.97573800000001</v>
      </c>
      <c r="F18" s="76">
        <f>+[16]Historico!E87/1000000</f>
        <v>95.849571999999995</v>
      </c>
      <c r="G18" s="77">
        <f>+[16]Historico!F87/1000000</f>
        <v>143.88329899999999</v>
      </c>
      <c r="H18" s="78">
        <f t="shared" si="0"/>
        <v>50.113658306163323</v>
      </c>
      <c r="I18" s="78">
        <f t="shared" si="1"/>
        <v>150.11365830616333</v>
      </c>
      <c r="J18" s="78">
        <f t="shared" si="2"/>
        <v>-12.04503519856871</v>
      </c>
      <c r="K18" s="66"/>
      <c r="L18" s="42"/>
      <c r="M18" s="42">
        <f t="shared" si="3"/>
        <v>1</v>
      </c>
      <c r="N18" s="42"/>
    </row>
    <row r="19" spans="1:14">
      <c r="A19" s="64"/>
      <c r="B19" s="75" t="s">
        <v>17</v>
      </c>
      <c r="C19" s="76">
        <f>+[16]Historico!B88/1000000</f>
        <v>71.701869000000002</v>
      </c>
      <c r="D19" s="76">
        <f>+[16]Historico!C88/1000000</f>
        <v>92.787088999999995</v>
      </c>
      <c r="E19" s="76">
        <f>+[16]Historico!D88/1000000</f>
        <v>127.65214899999999</v>
      </c>
      <c r="F19" s="76">
        <f>+[16]Historico!E88/1000000</f>
        <v>106.620969</v>
      </c>
      <c r="G19" s="77">
        <f>+[16]Historico!F88/1000000</f>
        <v>150.021198</v>
      </c>
      <c r="H19" s="78">
        <f>IF(OR(OR(G19=0,F19=0),G19=""),"",(G19/F19-1)*100)</f>
        <v>40.705153411239394</v>
      </c>
      <c r="I19" s="78">
        <f t="shared" si="1"/>
        <v>140.70515341123939</v>
      </c>
      <c r="J19" s="78">
        <f t="shared" si="2"/>
        <v>-16.475382643186055</v>
      </c>
      <c r="K19" s="66"/>
      <c r="L19" s="42"/>
      <c r="M19" s="42">
        <f t="shared" si="3"/>
        <v>1</v>
      </c>
      <c r="N19" s="42"/>
    </row>
    <row r="20" spans="1:14">
      <c r="A20" s="64"/>
      <c r="B20" s="75" t="s">
        <v>18</v>
      </c>
      <c r="C20" s="76">
        <f>+[16]Historico!B89/1000000</f>
        <v>82.980457999999999</v>
      </c>
      <c r="D20" s="76">
        <f>+[16]Historico!C89/1000000</f>
        <v>91.229917</v>
      </c>
      <c r="E20" s="76">
        <f>+[16]Historico!D89/1000000</f>
        <v>113.311092</v>
      </c>
      <c r="F20" s="76">
        <f>+[16]Historico!E89/1000000</f>
        <v>107.77664900000001</v>
      </c>
      <c r="G20" s="77">
        <f>+[16]Historico!F89/1000000</f>
        <v>166.18883199999999</v>
      </c>
      <c r="H20" s="78">
        <f>IF(OR(OR(G20=0,F20=0),G20=""),"",(G20/F20-1)*100)</f>
        <v>54.197438445131077</v>
      </c>
      <c r="I20" s="78">
        <f t="shared" si="1"/>
        <v>154.19743844513107</v>
      </c>
      <c r="J20" s="78">
        <f t="shared" si="2"/>
        <v>-4.8842905864855624</v>
      </c>
      <c r="K20" s="66"/>
      <c r="L20" s="42"/>
      <c r="M20" s="42">
        <f t="shared" si="3"/>
        <v>1</v>
      </c>
      <c r="N20" s="42"/>
    </row>
    <row r="21" spans="1:14">
      <c r="A21" s="64"/>
      <c r="B21" s="75" t="s">
        <v>19</v>
      </c>
      <c r="C21" s="76">
        <f>+[16]Historico!B90/1000000</f>
        <v>92.458472</v>
      </c>
      <c r="D21" s="76">
        <f>+[16]Historico!C90/1000000</f>
        <v>94.827505000000002</v>
      </c>
      <c r="E21" s="76">
        <f>+[16]Historico!D90/1000000</f>
        <v>108.53803000000001</v>
      </c>
      <c r="F21" s="76">
        <f>+[16]Historico!E90/1000000</f>
        <v>106.41778499999999</v>
      </c>
      <c r="G21" s="77">
        <f>+[16]Historico!F90/1000000</f>
        <v>188.45273499999999</v>
      </c>
      <c r="H21" s="78">
        <f>IF(OR(OR(G21=0,F21=0),G21=""),"",(G21/F21-1)*100)</f>
        <v>77.087631545798473</v>
      </c>
      <c r="I21" s="78">
        <f t="shared" ref="I21" si="4">IF(OR(OR(G21=0,F21=0),G21=""),"",G21/F21*100)</f>
        <v>177.08763154579847</v>
      </c>
      <c r="J21" s="78">
        <f t="shared" ref="J21" si="5">IF(OR(OR(G21=0,F21=0),G21=""),"",(F21/E21-1)*100)</f>
        <v>-1.9534581565558318</v>
      </c>
      <c r="K21" s="66"/>
      <c r="L21" s="42"/>
      <c r="M21" s="42">
        <f t="shared" si="3"/>
        <v>1</v>
      </c>
      <c r="N21" s="42"/>
    </row>
    <row r="22" spans="1:14">
      <c r="A22" s="64"/>
      <c r="B22" s="75" t="s">
        <v>20</v>
      </c>
      <c r="C22" s="76">
        <f>+[16]Historico!B91/1000000</f>
        <v>88.930344000000005</v>
      </c>
      <c r="D22" s="76">
        <f>+[16]Historico!C91/1000000</f>
        <v>103.274103</v>
      </c>
      <c r="E22" s="76">
        <f>+[16]Historico!D91/1000000</f>
        <v>126.682428</v>
      </c>
      <c r="F22" s="76">
        <f>+[16]Historico!E91/1000000</f>
        <v>113.913602</v>
      </c>
      <c r="G22" s="73">
        <f>+[16]Historico!F91/1000000</f>
        <v>232.461015</v>
      </c>
      <c r="H22" s="25">
        <f>IF(OR(OR(G22=0,F22=0),G22=""),"",(G22/F22-1)*100)</f>
        <v>104.06782940636008</v>
      </c>
      <c r="I22" s="25">
        <f t="shared" ref="I22" si="6">IF(OR(OR(G22=0,F22=0),G22=""),"",G22/F22*100)</f>
        <v>204.06782940636009</v>
      </c>
      <c r="J22" s="25">
        <f t="shared" ref="J22" si="7">IF(OR(OR(G22=0,F22=0),G22=""),"",(F22/E22-1)*100)</f>
        <v>-10.079397909866394</v>
      </c>
      <c r="K22" s="66"/>
      <c r="L22" s="42"/>
      <c r="M22" s="42">
        <f t="shared" si="3"/>
        <v>1</v>
      </c>
      <c r="N22" s="42"/>
    </row>
    <row r="23" spans="1:14">
      <c r="A23" s="64"/>
      <c r="B23" s="75" t="s">
        <v>21</v>
      </c>
      <c r="C23" s="76">
        <f>+[16]Historico!B92/1000000</f>
        <v>97.338746</v>
      </c>
      <c r="D23" s="76">
        <f>+[16]Historico!C92/1000000</f>
        <v>99.293338000000006</v>
      </c>
      <c r="E23" s="76">
        <f>+[16]Historico!D92/1000000</f>
        <v>106.46592099999999</v>
      </c>
      <c r="F23" s="76">
        <f>+[16]Historico!E92/1000000</f>
        <v>117.34535</v>
      </c>
      <c r="G23" s="77"/>
      <c r="H23" s="78" t="str">
        <f t="shared" si="0"/>
        <v/>
      </c>
      <c r="I23" s="78" t="str">
        <f t="shared" si="1"/>
        <v/>
      </c>
      <c r="J23" s="78" t="str">
        <f t="shared" si="2"/>
        <v/>
      </c>
      <c r="K23" s="66"/>
      <c r="L23" s="42"/>
      <c r="M23" s="42" t="str">
        <f t="shared" si="3"/>
        <v/>
      </c>
      <c r="N23" s="42"/>
    </row>
    <row r="24" spans="1:14">
      <c r="A24" s="64"/>
      <c r="B24" s="75" t="s">
        <v>22</v>
      </c>
      <c r="C24" s="76">
        <f>+[16]Historico!B93/1000000</f>
        <v>98.379112000000006</v>
      </c>
      <c r="D24" s="76">
        <f>+[16]Historico!C93/1000000</f>
        <v>83.60866</v>
      </c>
      <c r="E24" s="76">
        <f>+[16]Historico!D93/1000000</f>
        <v>112.214927</v>
      </c>
      <c r="F24" s="76">
        <f>+[16]Historico!E93/1000000</f>
        <v>121.74467300000001</v>
      </c>
      <c r="G24" s="77"/>
      <c r="H24" s="78" t="str">
        <f t="shared" si="0"/>
        <v/>
      </c>
      <c r="I24" s="78" t="str">
        <f t="shared" si="1"/>
        <v/>
      </c>
      <c r="J24" s="78" t="str">
        <f t="shared" si="2"/>
        <v/>
      </c>
      <c r="K24" s="66"/>
      <c r="L24" s="42"/>
      <c r="M24" s="42" t="str">
        <f t="shared" si="3"/>
        <v/>
      </c>
      <c r="N24" s="42"/>
    </row>
    <row r="25" spans="1:14">
      <c r="A25" s="64"/>
      <c r="B25" s="79" t="s">
        <v>32</v>
      </c>
      <c r="C25" s="77">
        <f t="shared" ref="C25:G25" si="8">SUM(C13:C24)</f>
        <v>1026.475944</v>
      </c>
      <c r="D25" s="77">
        <f t="shared" si="8"/>
        <v>1122.2711180000001</v>
      </c>
      <c r="E25" s="77">
        <f t="shared" si="8"/>
        <v>1321.200595</v>
      </c>
      <c r="F25" s="77">
        <f t="shared" si="8"/>
        <v>1249.5124479999997</v>
      </c>
      <c r="G25" s="72">
        <f t="shared" si="8"/>
        <v>1497.6884710000002</v>
      </c>
      <c r="H25" s="71"/>
      <c r="I25" s="52"/>
      <c r="J25" s="52"/>
      <c r="K25" s="66"/>
      <c r="L25" s="42"/>
      <c r="M25" s="42"/>
      <c r="N25" s="42"/>
    </row>
    <row r="26" spans="1:14" ht="18.75" customHeight="1">
      <c r="A26" s="64"/>
      <c r="B26" s="79" t="s">
        <v>23</v>
      </c>
      <c r="C26" s="80"/>
      <c r="D26" s="80">
        <f>(D25/C25-1)*100</f>
        <v>9.3324324413003534</v>
      </c>
      <c r="E26" s="80">
        <f>(E25/D25-1)*100</f>
        <v>17.725616725708161</v>
      </c>
      <c r="F26" s="80">
        <f>(F25/E25-1)*100</f>
        <v>-5.4259850677708998</v>
      </c>
      <c r="G26" s="51"/>
      <c r="H26" s="52"/>
      <c r="I26" s="52"/>
      <c r="J26" s="52"/>
      <c r="K26" s="66"/>
      <c r="L26" s="42"/>
      <c r="M26" s="43"/>
      <c r="N26" s="42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  <c r="L27" s="42"/>
      <c r="M27" s="43"/>
      <c r="N27" s="42"/>
    </row>
    <row r="28" spans="1:14" ht="18.75" customHeight="1">
      <c r="A28" s="64"/>
      <c r="B28" s="79" t="s">
        <v>24</v>
      </c>
      <c r="C28" s="77">
        <f t="shared" ref="C28:E28" si="9">SUMPRODUCT(C13:C24,$M$13:$M$24)</f>
        <v>830.75808600000005</v>
      </c>
      <c r="D28" s="77">
        <f t="shared" si="9"/>
        <v>939.36912000000007</v>
      </c>
      <c r="E28" s="77">
        <f t="shared" si="9"/>
        <v>1102.5197470000001</v>
      </c>
      <c r="F28" s="77">
        <f>SUMPRODUCT(F13:F24,$M$13:$M$24)</f>
        <v>1010.4224249999999</v>
      </c>
      <c r="G28" s="73">
        <f>SUMPRODUCT(G13:G24,$M$13:$M$24)</f>
        <v>1497.6884710000002</v>
      </c>
      <c r="H28" s="74">
        <f>IF(OR(OR(G28=0,F28=0),G28=""),"",(G28/F28-1)*100)</f>
        <v>48.223993643054833</v>
      </c>
      <c r="I28" s="31">
        <f>IF(OR(OR(G28=0,F28=0),G28=""),"",G28/F28*100)</f>
        <v>148.22399364305483</v>
      </c>
      <c r="J28" s="31">
        <f>IF(OR(OR(G28=0,F28=0),F28=""),"",(F28/E28-1)*100)</f>
        <v>-8.3533489763426552</v>
      </c>
      <c r="K28" s="66"/>
      <c r="L28" s="42"/>
      <c r="M28" s="43"/>
      <c r="N28" s="42"/>
    </row>
    <row r="29" spans="1:14" ht="18.75" customHeight="1">
      <c r="A29" s="64"/>
      <c r="B29" s="79" t="s">
        <v>23</v>
      </c>
      <c r="C29" s="80"/>
      <c r="D29" s="80">
        <f t="shared" ref="D29:G29" si="10">(D28/C28-1)*100</f>
        <v>13.073725772920142</v>
      </c>
      <c r="E29" s="80">
        <f t="shared" si="10"/>
        <v>17.368106266895378</v>
      </c>
      <c r="F29" s="80">
        <f t="shared" si="10"/>
        <v>-8.3533489763426552</v>
      </c>
      <c r="G29" s="31">
        <f t="shared" si="10"/>
        <v>48.223993643054833</v>
      </c>
      <c r="H29" s="52"/>
      <c r="I29" s="52"/>
      <c r="J29" s="52"/>
      <c r="K29" s="66"/>
      <c r="L29" s="42"/>
      <c r="M29" s="43"/>
      <c r="N29" s="42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  <c r="L30" s="42"/>
      <c r="M30" s="43"/>
      <c r="N30" s="42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  <c r="L31" s="42"/>
      <c r="M31" s="43"/>
      <c r="N31" s="42"/>
    </row>
    <row r="32" spans="1:14" s="117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tr">
        <f>IF(G32="","",1)</f>
        <v/>
      </c>
      <c r="N32" s="42"/>
    </row>
    <row r="33" spans="1:14" s="117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tr">
        <f>IF(G33="","",1)</f>
        <v/>
      </c>
      <c r="N33" s="42"/>
    </row>
    <row r="34" spans="1:14" s="117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tr">
        <f>IF(G34="","",1)</f>
        <v/>
      </c>
      <c r="N34" s="42"/>
    </row>
    <row r="35" spans="1:14" s="117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tr">
        <f>IF(G35="","",1)</f>
        <v/>
      </c>
      <c r="N35" s="42"/>
    </row>
    <row r="36" spans="1:14" s="117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tr">
        <f>IF(G36="","",1)</f>
        <v/>
      </c>
      <c r="N36" s="42"/>
    </row>
    <row r="37" spans="1:14" s="117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117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tr">
        <f>IF(G38="","",1)</f>
        <v/>
      </c>
      <c r="N38" s="42"/>
    </row>
    <row r="39" spans="1:14" s="117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tr">
        <f>IF(G39="","",1)</f>
        <v/>
      </c>
      <c r="N39" s="42"/>
    </row>
    <row r="40" spans="1:14" s="117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tr">
        <f>IF(G40="","",1)</f>
        <v/>
      </c>
      <c r="N40" s="42"/>
    </row>
    <row r="41" spans="1:14" s="117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tr">
        <f>IF(G41="","",1)</f>
        <v/>
      </c>
      <c r="N41" s="42"/>
    </row>
    <row r="42" spans="1:14" s="117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117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117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25</v>
      </c>
      <c r="C45" s="69"/>
      <c r="D45" s="69"/>
      <c r="E45" s="69"/>
      <c r="F45" s="69"/>
      <c r="G45" s="69"/>
      <c r="H45" s="69"/>
      <c r="I45" s="69"/>
      <c r="J45" s="69"/>
      <c r="K45" s="70"/>
      <c r="L45" s="42"/>
      <c r="M45" s="43"/>
      <c r="N45" s="42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>
    <tabColor rgb="FF53722D"/>
  </sheetPr>
  <dimension ref="A1:N45"/>
  <sheetViews>
    <sheetView zoomScaleNormal="100" zoomScaleSheetLayoutView="100" workbookViewId="0">
      <pane ySplit="11" topLeftCell="A12" activePane="bottomLeft" state="frozen"/>
      <selection activeCell="F11" sqref="F11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117" customWidth="1"/>
    <col min="3" max="7" width="11.140625" style="117" customWidth="1"/>
    <col min="8" max="8" width="11.7109375" style="117" customWidth="1"/>
    <col min="9" max="9" width="12" style="117" customWidth="1"/>
    <col min="10" max="10" width="11.28515625" style="117" customWidth="1"/>
    <col min="11" max="11" width="1.85546875" style="117" customWidth="1"/>
    <col min="12" max="12" width="11.42578125" style="117"/>
    <col min="13" max="13" width="11.42578125" style="20" hidden="1" customWidth="1"/>
    <col min="14" max="14" width="11.42578125" style="117"/>
    <col min="15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  <c r="L1" s="42"/>
      <c r="M1" s="43"/>
      <c r="N1" s="42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  <c r="L2" s="42"/>
      <c r="M2" s="43"/>
      <c r="N2" s="42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  <c r="L3" s="42"/>
      <c r="M3" s="43"/>
      <c r="N3" s="42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  <c r="L4" s="42"/>
      <c r="M4" s="43"/>
      <c r="N4" s="42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  <c r="L5" s="42"/>
      <c r="M5" s="43"/>
      <c r="N5" s="42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  <c r="L6" s="42"/>
      <c r="M6" s="43"/>
      <c r="N6" s="42"/>
    </row>
    <row r="7" spans="1:14">
      <c r="A7" s="64"/>
      <c r="B7" s="44"/>
      <c r="C7" s="115" t="s">
        <v>74</v>
      </c>
      <c r="D7" s="115"/>
      <c r="E7" s="115"/>
      <c r="F7" s="115"/>
      <c r="G7" s="115"/>
      <c r="H7" s="115"/>
      <c r="I7" s="115"/>
      <c r="J7" s="115"/>
      <c r="K7" s="66"/>
      <c r="L7" s="42"/>
      <c r="M7" s="43"/>
      <c r="N7" s="42"/>
    </row>
    <row r="8" spans="1:14">
      <c r="A8" s="64"/>
      <c r="B8" s="44"/>
      <c r="C8" s="112" t="s">
        <v>57</v>
      </c>
      <c r="D8" s="112"/>
      <c r="E8" s="112"/>
      <c r="F8" s="112"/>
      <c r="G8" s="112"/>
      <c r="H8" s="112"/>
      <c r="I8" s="112"/>
      <c r="J8" s="112"/>
      <c r="K8" s="66"/>
      <c r="L8" s="42"/>
      <c r="M8" s="43"/>
      <c r="N8" s="42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  <c r="L9" s="42"/>
      <c r="M9" s="43"/>
      <c r="N9" s="42"/>
    </row>
    <row r="10" spans="1:14" ht="15.75" customHeight="1">
      <c r="A10" s="64"/>
      <c r="B10" s="46"/>
      <c r="C10" s="116" t="s">
        <v>2</v>
      </c>
      <c r="D10" s="116"/>
      <c r="E10" s="116"/>
      <c r="F10" s="116"/>
      <c r="G10" s="116"/>
      <c r="H10" s="113" t="s">
        <v>1</v>
      </c>
      <c r="I10" s="113" t="s">
        <v>10</v>
      </c>
      <c r="J10" s="113" t="s">
        <v>3</v>
      </c>
      <c r="K10" s="66"/>
      <c r="L10" s="42"/>
      <c r="M10" s="43"/>
      <c r="N10" s="42"/>
    </row>
    <row r="11" spans="1:14">
      <c r="A11" s="64"/>
      <c r="B11" s="46"/>
      <c r="C11" s="108">
        <v>2006</v>
      </c>
      <c r="D11" s="108">
        <v>2007</v>
      </c>
      <c r="E11" s="108">
        <v>2008</v>
      </c>
      <c r="F11" s="108">
        <v>2009</v>
      </c>
      <c r="G11" s="108">
        <v>2010</v>
      </c>
      <c r="H11" s="113"/>
      <c r="I11" s="113"/>
      <c r="J11" s="113"/>
      <c r="K11" s="66"/>
      <c r="L11" s="42"/>
      <c r="M11" s="43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  <c r="L12" s="42"/>
      <c r="M12" s="43"/>
      <c r="N12" s="42"/>
    </row>
    <row r="13" spans="1:14">
      <c r="A13" s="64"/>
      <c r="B13" s="75" t="s">
        <v>11</v>
      </c>
      <c r="C13" s="76">
        <f>+[16]Historico!B107/1000000</f>
        <v>73.130004999999997</v>
      </c>
      <c r="D13" s="76">
        <f>+[16]Historico!C107/1000000</f>
        <v>101.404296</v>
      </c>
      <c r="E13" s="76">
        <f>+[16]Historico!D107/1000000</f>
        <v>145.64783600000001</v>
      </c>
      <c r="F13" s="76">
        <f>+[16]Historico!E107/1000000</f>
        <v>185.395669</v>
      </c>
      <c r="G13" s="77">
        <f>+[16]Historico!F107/1000000</f>
        <v>128.12426199999999</v>
      </c>
      <c r="H13" s="78">
        <f t="shared" ref="H13:H24" si="0">IF(OR(OR(G13=0,F13=0),G13=""),"",(G13/F13-1)*100)</f>
        <v>-30.891448170776858</v>
      </c>
      <c r="I13" s="78">
        <f t="shared" ref="I13:I24" si="1">IF(OR(OR(G13=0,F13=0),G13=""),"",G13/F13*100)</f>
        <v>69.108551829223146</v>
      </c>
      <c r="J13" s="78">
        <f t="shared" ref="J13:J24" si="2">IF(OR(OR(G13=0,F13=0),G13=""),"",(F13/E13-1)*100)</f>
        <v>27.290369765603639</v>
      </c>
      <c r="K13" s="66"/>
      <c r="L13" s="42"/>
      <c r="M13" s="42">
        <f t="shared" ref="M13:M24" si="3">IF(G13="","",1)</f>
        <v>1</v>
      </c>
      <c r="N13" s="42"/>
    </row>
    <row r="14" spans="1:14">
      <c r="A14" s="64"/>
      <c r="B14" s="75" t="s">
        <v>12</v>
      </c>
      <c r="C14" s="76">
        <f>+[16]Historico!B108/1000000</f>
        <v>72.216193000000004</v>
      </c>
      <c r="D14" s="76">
        <f>+[16]Historico!C108/1000000</f>
        <v>98.224159</v>
      </c>
      <c r="E14" s="76">
        <f>+[16]Historico!D108/1000000</f>
        <v>124.608467</v>
      </c>
      <c r="F14" s="76">
        <f>+[16]Historico!E108/1000000</f>
        <v>127.712198</v>
      </c>
      <c r="G14" s="77">
        <f>+[16]Historico!F108/1000000</f>
        <v>158.81557100000001</v>
      </c>
      <c r="H14" s="78">
        <f t="shared" si="0"/>
        <v>24.354269589816326</v>
      </c>
      <c r="I14" s="78">
        <f t="shared" si="1"/>
        <v>124.35426958981633</v>
      </c>
      <c r="J14" s="78">
        <f t="shared" si="2"/>
        <v>2.4907866012026325</v>
      </c>
      <c r="K14" s="66"/>
      <c r="L14" s="42"/>
      <c r="M14" s="42">
        <f t="shared" si="3"/>
        <v>1</v>
      </c>
      <c r="N14" s="42"/>
    </row>
    <row r="15" spans="1:14">
      <c r="A15" s="64"/>
      <c r="B15" s="75" t="s">
        <v>13</v>
      </c>
      <c r="C15" s="76">
        <f>+[16]Historico!B109/1000000</f>
        <v>83.47269</v>
      </c>
      <c r="D15" s="76">
        <f>+[16]Historico!C109/1000000</f>
        <v>110.373496</v>
      </c>
      <c r="E15" s="76">
        <f>+[16]Historico!D109/1000000</f>
        <v>119.28112400000001</v>
      </c>
      <c r="F15" s="76">
        <f>+[16]Historico!E109/1000000</f>
        <v>117.754178</v>
      </c>
      <c r="G15" s="77">
        <f>+[16]Historico!F109/1000000</f>
        <v>189.94590700000001</v>
      </c>
      <c r="H15" s="78">
        <f t="shared" si="0"/>
        <v>61.307148694121082</v>
      </c>
      <c r="I15" s="78">
        <f>IF(OR(OR(G15=0,F15=0),G15=""),"",G15/F15*100)</f>
        <v>161.30714869412108</v>
      </c>
      <c r="J15" s="78">
        <f t="shared" si="2"/>
        <v>-1.2801237520196462</v>
      </c>
      <c r="K15" s="66"/>
      <c r="L15" s="42"/>
      <c r="M15" s="42">
        <f t="shared" si="3"/>
        <v>1</v>
      </c>
      <c r="N15" s="42"/>
    </row>
    <row r="16" spans="1:14">
      <c r="A16" s="64"/>
      <c r="B16" s="75" t="s">
        <v>14</v>
      </c>
      <c r="C16" s="76">
        <f>+[16]Historico!B110/1000000</f>
        <v>79.674304000000006</v>
      </c>
      <c r="D16" s="76">
        <f>+[16]Historico!C110/1000000</f>
        <v>108.527657</v>
      </c>
      <c r="E16" s="76">
        <f>+[16]Historico!D110/1000000</f>
        <v>153.41781700000001</v>
      </c>
      <c r="F16" s="76">
        <f>+[16]Historico!E110/1000000</f>
        <v>125.964979</v>
      </c>
      <c r="G16" s="77">
        <f>+[16]Historico!F110/1000000</f>
        <v>160.87774899999999</v>
      </c>
      <c r="H16" s="78">
        <f t="shared" si="0"/>
        <v>27.71625119708867</v>
      </c>
      <c r="I16" s="78">
        <f t="shared" si="1"/>
        <v>127.71625119708867</v>
      </c>
      <c r="J16" s="78">
        <f t="shared" si="2"/>
        <v>-17.894165447550336</v>
      </c>
      <c r="K16" s="66"/>
      <c r="L16" s="42"/>
      <c r="M16" s="42">
        <f t="shared" si="3"/>
        <v>1</v>
      </c>
      <c r="N16" s="42"/>
    </row>
    <row r="17" spans="1:14">
      <c r="A17" s="64"/>
      <c r="B17" s="75" t="s">
        <v>15</v>
      </c>
      <c r="C17" s="76">
        <f>+[16]Historico!B111/1000000</f>
        <v>93.555998000000002</v>
      </c>
      <c r="D17" s="76">
        <f>+[16]Historico!C111/1000000</f>
        <v>123.46078300000001</v>
      </c>
      <c r="E17" s="76">
        <f>+[16]Historico!D111/1000000</f>
        <v>145.39526000000001</v>
      </c>
      <c r="F17" s="76">
        <f>+[16]Historico!E111/1000000</f>
        <v>109.471045</v>
      </c>
      <c r="G17" s="77">
        <f>+[16]Historico!F111/1000000</f>
        <v>158.41636800000001</v>
      </c>
      <c r="H17" s="78">
        <f t="shared" si="0"/>
        <v>44.710747942526716</v>
      </c>
      <c r="I17" s="78">
        <f t="shared" si="1"/>
        <v>144.71074794252672</v>
      </c>
      <c r="J17" s="78">
        <f t="shared" si="2"/>
        <v>-24.707968471599418</v>
      </c>
      <c r="K17" s="66"/>
      <c r="L17" s="42"/>
      <c r="M17" s="42">
        <f t="shared" si="3"/>
        <v>1</v>
      </c>
      <c r="N17" s="42"/>
    </row>
    <row r="18" spans="1:14">
      <c r="A18" s="64"/>
      <c r="B18" s="75" t="s">
        <v>16</v>
      </c>
      <c r="C18" s="76">
        <f>+[16]Historico!B112/1000000</f>
        <v>94.364074000000002</v>
      </c>
      <c r="D18" s="76">
        <f>+[16]Historico!C112/1000000</f>
        <v>121.987472</v>
      </c>
      <c r="E18" s="76">
        <f>+[16]Historico!D112/1000000</f>
        <v>133.37566100000001</v>
      </c>
      <c r="F18" s="76">
        <f>+[16]Historico!E112/1000000</f>
        <v>122.924665</v>
      </c>
      <c r="G18" s="77">
        <f>+[16]Historico!F112/1000000</f>
        <v>196.42122900000001</v>
      </c>
      <c r="H18" s="78">
        <f t="shared" si="0"/>
        <v>59.789924178357538</v>
      </c>
      <c r="I18" s="78">
        <f t="shared" si="1"/>
        <v>159.78992417835752</v>
      </c>
      <c r="J18" s="78">
        <f t="shared" si="2"/>
        <v>-7.8357594793850733</v>
      </c>
      <c r="K18" s="66"/>
      <c r="L18" s="42"/>
      <c r="M18" s="42">
        <f t="shared" si="3"/>
        <v>1</v>
      </c>
      <c r="N18" s="42"/>
    </row>
    <row r="19" spans="1:14">
      <c r="A19" s="64"/>
      <c r="B19" s="75" t="s">
        <v>17</v>
      </c>
      <c r="C19" s="76">
        <f>+[16]Historico!B113/1000000</f>
        <v>82.397588999999996</v>
      </c>
      <c r="D19" s="76">
        <f>+[16]Historico!C113/1000000</f>
        <v>134.38486800000001</v>
      </c>
      <c r="E19" s="76">
        <f>+[16]Historico!D113/1000000</f>
        <v>169.164751</v>
      </c>
      <c r="F19" s="76">
        <f>+[16]Historico!E113/1000000</f>
        <v>142.19920300000001</v>
      </c>
      <c r="G19" s="77">
        <f>+[16]Historico!F113/1000000</f>
        <v>224.740332</v>
      </c>
      <c r="H19" s="78">
        <f>IF(OR(OR(G19=0,F19=0),G19=""),"",(G19/F19-1)*100)</f>
        <v>58.046126320412618</v>
      </c>
      <c r="I19" s="78">
        <f t="shared" si="1"/>
        <v>158.04612632041261</v>
      </c>
      <c r="J19" s="78">
        <f t="shared" si="2"/>
        <v>-15.940405930074631</v>
      </c>
      <c r="K19" s="66"/>
      <c r="L19" s="42"/>
      <c r="M19" s="42">
        <f t="shared" si="3"/>
        <v>1</v>
      </c>
      <c r="N19" s="42"/>
    </row>
    <row r="20" spans="1:14">
      <c r="A20" s="64"/>
      <c r="B20" s="75" t="s">
        <v>18</v>
      </c>
      <c r="C20" s="76">
        <f>+[16]Historico!B114/1000000</f>
        <v>107.199282</v>
      </c>
      <c r="D20" s="76">
        <f>+[16]Historico!C114/1000000</f>
        <v>156.48701600000001</v>
      </c>
      <c r="E20" s="76">
        <f>+[16]Historico!D114/1000000</f>
        <v>167.158962</v>
      </c>
      <c r="F20" s="76">
        <f>+[16]Historico!E114/1000000</f>
        <v>136.70020299999999</v>
      </c>
      <c r="G20" s="77">
        <f>+[16]Historico!F114/1000000</f>
        <v>228.66753800000001</v>
      </c>
      <c r="H20" s="78">
        <f>IF(OR(OR(G20=0,F20=0),G20=""),"",(G20/F20-1)*100)</f>
        <v>67.276663078547159</v>
      </c>
      <c r="I20" s="78">
        <f t="shared" si="1"/>
        <v>167.27666307854716</v>
      </c>
      <c r="J20" s="78">
        <f t="shared" si="2"/>
        <v>-18.221433440104761</v>
      </c>
      <c r="K20" s="66"/>
      <c r="L20" s="42"/>
      <c r="M20" s="42">
        <f t="shared" si="3"/>
        <v>1</v>
      </c>
      <c r="N20" s="42"/>
    </row>
    <row r="21" spans="1:14">
      <c r="A21" s="64"/>
      <c r="B21" s="75" t="s">
        <v>19</v>
      </c>
      <c r="C21" s="76">
        <f>+[16]Historico!B115/1000000</f>
        <v>107.30466</v>
      </c>
      <c r="D21" s="76">
        <f>+[16]Historico!C115/1000000</f>
        <v>140.89030399999999</v>
      </c>
      <c r="E21" s="76">
        <f>+[16]Historico!D115/1000000</f>
        <v>171.78890100000001</v>
      </c>
      <c r="F21" s="76">
        <f>+[16]Historico!E115/1000000</f>
        <v>153.86344399999999</v>
      </c>
      <c r="G21" s="77">
        <f>+[16]Historico!F115/1000000</f>
        <v>260.89074599999998</v>
      </c>
      <c r="H21" s="78">
        <f>IF(OR(OR(G21=0,F21=0),G21=""),"",(G21/F21-1)*100)</f>
        <v>69.559928737848864</v>
      </c>
      <c r="I21" s="78">
        <f t="shared" ref="I21" si="4">IF(OR(OR(G21=0,F21=0),G21=""),"",G21/F21*100)</f>
        <v>169.55992873784885</v>
      </c>
      <c r="J21" s="78">
        <f t="shared" ref="J21" si="5">IF(OR(OR(G21=0,F21=0),G21=""),"",(F21/E21-1)*100)</f>
        <v>-10.434583896662808</v>
      </c>
      <c r="K21" s="66"/>
      <c r="L21" s="42"/>
      <c r="M21" s="42">
        <f t="shared" si="3"/>
        <v>1</v>
      </c>
      <c r="N21" s="42"/>
    </row>
    <row r="22" spans="1:14">
      <c r="A22" s="64"/>
      <c r="B22" s="75" t="s">
        <v>20</v>
      </c>
      <c r="C22" s="76">
        <f>+[16]Historico!B116/1000000</f>
        <v>119.109435</v>
      </c>
      <c r="D22" s="76">
        <f>+[16]Historico!C116/1000000</f>
        <v>155.780857</v>
      </c>
      <c r="E22" s="76">
        <f>+[16]Historico!D116/1000000</f>
        <v>193.55686900000001</v>
      </c>
      <c r="F22" s="76">
        <f>+[16]Historico!E116/1000000</f>
        <v>157.76970800000001</v>
      </c>
      <c r="G22" s="73">
        <f>+[16]Historico!F116/1000000</f>
        <v>259.15973000000002</v>
      </c>
      <c r="H22" s="25">
        <f>IF(OR(OR(G22=0,F22=0),G22=""),"",(G22/F22-1)*100)</f>
        <v>64.264568455688604</v>
      </c>
      <c r="I22" s="25">
        <f t="shared" ref="I22" si="6">IF(OR(OR(G22=0,F22=0),G22=""),"",G22/F22*100)</f>
        <v>164.26456845568859</v>
      </c>
      <c r="J22" s="25">
        <f t="shared" ref="J22" si="7">IF(OR(OR(G22=0,F22=0),G22=""),"",(F22/E22-1)*100)</f>
        <v>-18.489222927035463</v>
      </c>
      <c r="K22" s="66"/>
      <c r="L22" s="42"/>
      <c r="M22" s="42">
        <f t="shared" si="3"/>
        <v>1</v>
      </c>
      <c r="N22" s="42"/>
    </row>
    <row r="23" spans="1:14">
      <c r="A23" s="64"/>
      <c r="B23" s="75" t="s">
        <v>21</v>
      </c>
      <c r="C23" s="76">
        <f>+[16]Historico!B117/1000000</f>
        <v>129.62169499999999</v>
      </c>
      <c r="D23" s="76">
        <f>+[16]Historico!C117/1000000</f>
        <v>170.365208</v>
      </c>
      <c r="E23" s="76">
        <f>+[16]Historico!D117/1000000</f>
        <v>197.89962299999999</v>
      </c>
      <c r="F23" s="76">
        <f>+[16]Historico!E117/1000000</f>
        <v>144.80228600000001</v>
      </c>
      <c r="G23" s="77"/>
      <c r="H23" s="78" t="str">
        <f t="shared" si="0"/>
        <v/>
      </c>
      <c r="I23" s="78" t="str">
        <f t="shared" si="1"/>
        <v/>
      </c>
      <c r="J23" s="78" t="str">
        <f t="shared" si="2"/>
        <v/>
      </c>
      <c r="K23" s="66"/>
      <c r="L23" s="42"/>
      <c r="M23" s="42" t="str">
        <f t="shared" si="3"/>
        <v/>
      </c>
      <c r="N23" s="42"/>
    </row>
    <row r="24" spans="1:14">
      <c r="A24" s="64"/>
      <c r="B24" s="75" t="s">
        <v>22</v>
      </c>
      <c r="C24" s="76">
        <f>+[16]Historico!B118/1000000</f>
        <v>107.463448</v>
      </c>
      <c r="D24" s="76">
        <f>+[16]Historico!C118/1000000</f>
        <v>137.491218</v>
      </c>
      <c r="E24" s="76">
        <f>+[16]Historico!D118/1000000</f>
        <v>166.16732500000001</v>
      </c>
      <c r="F24" s="76">
        <f>+[16]Historico!E118/1000000</f>
        <v>175.981752</v>
      </c>
      <c r="G24" s="77"/>
      <c r="H24" s="78" t="str">
        <f t="shared" si="0"/>
        <v/>
      </c>
      <c r="I24" s="78" t="str">
        <f t="shared" si="1"/>
        <v/>
      </c>
      <c r="J24" s="78" t="str">
        <f t="shared" si="2"/>
        <v/>
      </c>
      <c r="K24" s="66"/>
      <c r="L24" s="42"/>
      <c r="M24" s="42" t="str">
        <f t="shared" si="3"/>
        <v/>
      </c>
      <c r="N24" s="42"/>
    </row>
    <row r="25" spans="1:14">
      <c r="A25" s="64"/>
      <c r="B25" s="79" t="s">
        <v>32</v>
      </c>
      <c r="C25" s="77">
        <f t="shared" ref="C25:G25" si="8">SUM(C13:C24)</f>
        <v>1149.5093730000001</v>
      </c>
      <c r="D25" s="77">
        <f t="shared" si="8"/>
        <v>1559.3773339999998</v>
      </c>
      <c r="E25" s="77">
        <f t="shared" si="8"/>
        <v>1887.4625960000003</v>
      </c>
      <c r="F25" s="77">
        <f t="shared" si="8"/>
        <v>1700.5393300000001</v>
      </c>
      <c r="G25" s="72">
        <f t="shared" si="8"/>
        <v>1966.0594320000002</v>
      </c>
      <c r="H25" s="71"/>
      <c r="I25" s="52"/>
      <c r="J25" s="52"/>
      <c r="K25" s="66"/>
      <c r="L25" s="42"/>
      <c r="M25" s="42"/>
      <c r="N25" s="42"/>
    </row>
    <row r="26" spans="1:14" ht="18.75" customHeight="1">
      <c r="A26" s="64"/>
      <c r="B26" s="79" t="s">
        <v>23</v>
      </c>
      <c r="C26" s="80"/>
      <c r="D26" s="80">
        <f>(D25/C25-1)*100</f>
        <v>35.655904216798383</v>
      </c>
      <c r="E26" s="80">
        <f>(E25/D25-1)*100</f>
        <v>21.039504348727476</v>
      </c>
      <c r="F26" s="80">
        <f>(F25/E25-1)*100</f>
        <v>-9.9034156436337728</v>
      </c>
      <c r="G26" s="51"/>
      <c r="H26" s="52"/>
      <c r="I26" s="52"/>
      <c r="J26" s="52"/>
      <c r="K26" s="66"/>
      <c r="L26" s="42"/>
      <c r="M26" s="43"/>
      <c r="N26" s="42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  <c r="L27" s="42"/>
      <c r="M27" s="43"/>
      <c r="N27" s="42"/>
    </row>
    <row r="28" spans="1:14" ht="18.75" customHeight="1">
      <c r="A28" s="64"/>
      <c r="B28" s="79" t="s">
        <v>24</v>
      </c>
      <c r="C28" s="77">
        <f t="shared" ref="C28:E28" si="9">SUMPRODUCT(C13:C24,$M$13:$M$24)</f>
        <v>912.42423000000008</v>
      </c>
      <c r="D28" s="77">
        <f t="shared" si="9"/>
        <v>1251.520908</v>
      </c>
      <c r="E28" s="77">
        <f t="shared" si="9"/>
        <v>1523.3956480000002</v>
      </c>
      <c r="F28" s="77">
        <f>SUMPRODUCT(F13:F24,$M$13:$M$24)</f>
        <v>1379.7552920000001</v>
      </c>
      <c r="G28" s="73">
        <f>SUMPRODUCT(G13:G24,$M$13:$M$24)</f>
        <v>1966.0594320000002</v>
      </c>
      <c r="H28" s="74">
        <f>IF(OR(OR(G28=0,F28=0),G28=""),"",(G28/F28-1)*100)</f>
        <v>42.4933423629152</v>
      </c>
      <c r="I28" s="31">
        <f>IF(OR(OR(G28=0,F28=0),G28=""),"",G28/F28*100)</f>
        <v>142.4933423629152</v>
      </c>
      <c r="J28" s="31">
        <f>IF(OR(OR(G28=0,F28=0),F28=""),"",(F28/E28-1)*100)</f>
        <v>-9.4289593244262786</v>
      </c>
      <c r="K28" s="66"/>
      <c r="L28" s="42"/>
      <c r="M28" s="43"/>
      <c r="N28" s="42"/>
    </row>
    <row r="29" spans="1:14" ht="18.75" customHeight="1">
      <c r="A29" s="64"/>
      <c r="B29" s="79" t="s">
        <v>23</v>
      </c>
      <c r="C29" s="80"/>
      <c r="D29" s="80">
        <f t="shared" ref="D29:G29" si="10">(D28/C28-1)*100</f>
        <v>37.164365746841234</v>
      </c>
      <c r="E29" s="80">
        <f t="shared" si="10"/>
        <v>21.723547586150293</v>
      </c>
      <c r="F29" s="80">
        <f t="shared" si="10"/>
        <v>-9.4289593244262786</v>
      </c>
      <c r="G29" s="31">
        <f t="shared" si="10"/>
        <v>42.4933423629152</v>
      </c>
      <c r="H29" s="52"/>
      <c r="I29" s="52"/>
      <c r="J29" s="52"/>
      <c r="K29" s="66"/>
      <c r="L29" s="42"/>
      <c r="M29" s="43"/>
      <c r="N29" s="42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  <c r="L30" s="42"/>
      <c r="M30" s="43"/>
      <c r="N30" s="42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  <c r="L31" s="42"/>
      <c r="M31" s="43"/>
      <c r="N31" s="42"/>
    </row>
    <row r="32" spans="1:14" s="117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tr">
        <f>IF(G32="","",1)</f>
        <v/>
      </c>
      <c r="N32" s="42"/>
    </row>
    <row r="33" spans="1:14" s="117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tr">
        <f>IF(G33="","",1)</f>
        <v/>
      </c>
      <c r="N33" s="42"/>
    </row>
    <row r="34" spans="1:14" s="117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tr">
        <f>IF(G34="","",1)</f>
        <v/>
      </c>
      <c r="N34" s="42"/>
    </row>
    <row r="35" spans="1:14" s="117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tr">
        <f>IF(G35="","",1)</f>
        <v/>
      </c>
      <c r="N35" s="42"/>
    </row>
    <row r="36" spans="1:14" s="117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tr">
        <f>IF(G36="","",1)</f>
        <v/>
      </c>
      <c r="N36" s="42"/>
    </row>
    <row r="37" spans="1:14" s="117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117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tr">
        <f>IF(G38="","",1)</f>
        <v/>
      </c>
      <c r="N38" s="42"/>
    </row>
    <row r="39" spans="1:14" s="117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tr">
        <f>IF(G39="","",1)</f>
        <v/>
      </c>
      <c r="N39" s="42"/>
    </row>
    <row r="40" spans="1:14" s="117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tr">
        <f>IF(G40="","",1)</f>
        <v/>
      </c>
      <c r="N40" s="42"/>
    </row>
    <row r="41" spans="1:14" s="117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tr">
        <f>IF(G41="","",1)</f>
        <v/>
      </c>
      <c r="N41" s="42"/>
    </row>
    <row r="42" spans="1:14" s="117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117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117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25</v>
      </c>
      <c r="C45" s="69"/>
      <c r="D45" s="69"/>
      <c r="E45" s="69"/>
      <c r="F45" s="69"/>
      <c r="G45" s="69"/>
      <c r="H45" s="69"/>
      <c r="I45" s="69"/>
      <c r="J45" s="69"/>
      <c r="K45" s="70"/>
      <c r="L45" s="42"/>
      <c r="M45" s="43"/>
      <c r="N45" s="42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Normal="100" zoomScaleSheetLayoutView="100" workbookViewId="0">
      <pane ySplit="11" topLeftCell="A12" activePane="bottomLeft" state="frozen"/>
      <selection activeCell="F11" sqref="F11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15" t="s">
        <v>75</v>
      </c>
      <c r="D7" s="115"/>
      <c r="E7" s="115"/>
      <c r="F7" s="115"/>
      <c r="G7" s="115"/>
      <c r="H7" s="115"/>
      <c r="I7" s="115"/>
      <c r="J7" s="115"/>
      <c r="K7" s="66"/>
    </row>
    <row r="8" spans="1:14">
      <c r="A8" s="64"/>
      <c r="B8" s="44"/>
      <c r="C8" s="112" t="s">
        <v>57</v>
      </c>
      <c r="D8" s="112"/>
      <c r="E8" s="112"/>
      <c r="F8" s="112"/>
      <c r="G8" s="112"/>
      <c r="H8" s="112"/>
      <c r="I8" s="112"/>
      <c r="J8" s="112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16" t="s">
        <v>2</v>
      </c>
      <c r="D10" s="116"/>
      <c r="E10" s="116"/>
      <c r="F10" s="116"/>
      <c r="G10" s="116"/>
      <c r="H10" s="113" t="s">
        <v>1</v>
      </c>
      <c r="I10" s="113" t="s">
        <v>10</v>
      </c>
      <c r="J10" s="113" t="s">
        <v>3</v>
      </c>
      <c r="K10" s="66"/>
    </row>
    <row r="11" spans="1:14">
      <c r="A11" s="64"/>
      <c r="B11" s="46"/>
      <c r="C11" s="108">
        <v>2006</v>
      </c>
      <c r="D11" s="108">
        <v>2007</v>
      </c>
      <c r="E11" s="108">
        <v>2008</v>
      </c>
      <c r="F11" s="108">
        <v>2009</v>
      </c>
      <c r="G11" s="108">
        <v>2010</v>
      </c>
      <c r="H11" s="113"/>
      <c r="I11" s="113"/>
      <c r="J11" s="113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11</v>
      </c>
      <c r="C13" s="76">
        <f>+[16]Historico!B132/1000000</f>
        <v>219.868469</v>
      </c>
      <c r="D13" s="76">
        <f>+[16]Historico!C132/1000000</f>
        <v>307.59906000000001</v>
      </c>
      <c r="E13" s="76">
        <f>+[16]Historico!D132/1000000</f>
        <v>307.98700700000001</v>
      </c>
      <c r="F13" s="76">
        <f>+[16]Historico!E132/1000000</f>
        <v>385.681219</v>
      </c>
      <c r="G13" s="77">
        <f>+[16]Historico!F132/1000000</f>
        <v>332.77755500000001</v>
      </c>
      <c r="H13" s="78">
        <f t="shared" ref="H13:H24" si="0">IF(OR(OR(G13=0,F13=0),G13=""),"",(G13/F13-1)*100)</f>
        <v>-13.716940673743306</v>
      </c>
      <c r="I13" s="78">
        <f t="shared" ref="I13:I24" si="1">IF(OR(OR(G13=0,F13=0),G13=""),"",G13/F13*100)</f>
        <v>86.283059326256691</v>
      </c>
      <c r="J13" s="78">
        <f t="shared" ref="J13:J24" si="2">IF(OR(OR(G13=0,F13=0),G13=""),"",(F13/E13-1)*100)</f>
        <v>25.22645768624907</v>
      </c>
      <c r="K13" s="66"/>
      <c r="M13" s="42">
        <f t="shared" ref="M13:M24" si="3">IF(G13="","",1)</f>
        <v>1</v>
      </c>
    </row>
    <row r="14" spans="1:14">
      <c r="A14" s="64"/>
      <c r="B14" s="75" t="s">
        <v>12</v>
      </c>
      <c r="C14" s="76">
        <f>+[16]Historico!B133/1000000</f>
        <v>220.035617</v>
      </c>
      <c r="D14" s="76">
        <f>+[16]Historico!C133/1000000</f>
        <v>325.99550499999998</v>
      </c>
      <c r="E14" s="76">
        <f>+[16]Historico!D133/1000000</f>
        <v>330.330783</v>
      </c>
      <c r="F14" s="76">
        <f>+[16]Historico!E133/1000000</f>
        <v>319.58694500000001</v>
      </c>
      <c r="G14" s="77">
        <f>+[16]Historico!F133/1000000</f>
        <v>352.404042</v>
      </c>
      <c r="H14" s="78">
        <f t="shared" si="0"/>
        <v>10.268597486045628</v>
      </c>
      <c r="I14" s="78">
        <f t="shared" si="1"/>
        <v>110.26859748604562</v>
      </c>
      <c r="J14" s="78">
        <f t="shared" si="2"/>
        <v>-3.2524483193562936</v>
      </c>
      <c r="K14" s="66"/>
      <c r="M14" s="42">
        <f t="shared" si="3"/>
        <v>1</v>
      </c>
    </row>
    <row r="15" spans="1:14">
      <c r="A15" s="64"/>
      <c r="B15" s="75" t="s">
        <v>13</v>
      </c>
      <c r="C15" s="76">
        <f>+[16]Historico!B134/1000000</f>
        <v>274.678087</v>
      </c>
      <c r="D15" s="76">
        <f>+[16]Historico!C134/1000000</f>
        <v>346.51884699999999</v>
      </c>
      <c r="E15" s="76">
        <f>+[16]Historico!D134/1000000</f>
        <v>323.04179799999997</v>
      </c>
      <c r="F15" s="76">
        <f>+[16]Historico!E134/1000000</f>
        <v>313.55358899999999</v>
      </c>
      <c r="G15" s="77">
        <f>+[16]Historico!F134/1000000</f>
        <v>435.92687699999999</v>
      </c>
      <c r="H15" s="78">
        <f t="shared" si="0"/>
        <v>39.027870288545799</v>
      </c>
      <c r="I15" s="78">
        <f>IF(OR(OR(G15=0,F15=0),G15=""),"",G15/F15*100)</f>
        <v>139.02787028854578</v>
      </c>
      <c r="J15" s="78">
        <f t="shared" si="2"/>
        <v>-2.9371459231414931</v>
      </c>
      <c r="K15" s="66"/>
      <c r="M15" s="42">
        <f t="shared" si="3"/>
        <v>1</v>
      </c>
    </row>
    <row r="16" spans="1:14">
      <c r="A16" s="64"/>
      <c r="B16" s="75" t="s">
        <v>14</v>
      </c>
      <c r="C16" s="76">
        <f>+[16]Historico!B135/1000000</f>
        <v>245.86767699999999</v>
      </c>
      <c r="D16" s="76">
        <f>+[16]Historico!C135/1000000</f>
        <v>324.44270599999999</v>
      </c>
      <c r="E16" s="76">
        <f>+[16]Historico!D135/1000000</f>
        <v>416.04999400000003</v>
      </c>
      <c r="F16" s="76">
        <f>+[16]Historico!E135/1000000</f>
        <v>304.51503600000001</v>
      </c>
      <c r="G16" s="77">
        <f>+[16]Historico!F135/1000000</f>
        <v>415.83939600000002</v>
      </c>
      <c r="H16" s="78">
        <f t="shared" si="0"/>
        <v>36.557918933106471</v>
      </c>
      <c r="I16" s="78">
        <f t="shared" si="1"/>
        <v>136.55791893310646</v>
      </c>
      <c r="J16" s="78">
        <f t="shared" si="2"/>
        <v>-26.808066244077388</v>
      </c>
      <c r="K16" s="66"/>
      <c r="M16" s="42">
        <f t="shared" si="3"/>
        <v>1</v>
      </c>
    </row>
    <row r="17" spans="1:14">
      <c r="A17" s="64"/>
      <c r="B17" s="75" t="s">
        <v>15</v>
      </c>
      <c r="C17" s="76">
        <f>+[16]Historico!B136/1000000</f>
        <v>286.62902200000002</v>
      </c>
      <c r="D17" s="76">
        <f>+[16]Historico!C136/1000000</f>
        <v>379.47756099999998</v>
      </c>
      <c r="E17" s="76">
        <f>+[16]Historico!D136/1000000</f>
        <v>390.293453</v>
      </c>
      <c r="F17" s="76">
        <f>+[16]Historico!E136/1000000</f>
        <v>272.69647900000001</v>
      </c>
      <c r="G17" s="77">
        <f>+[16]Historico!F136/1000000</f>
        <v>412.747434</v>
      </c>
      <c r="H17" s="78">
        <f t="shared" si="0"/>
        <v>51.357815661418925</v>
      </c>
      <c r="I17" s="78">
        <f t="shared" si="1"/>
        <v>151.35781566141893</v>
      </c>
      <c r="J17" s="78">
        <f t="shared" si="2"/>
        <v>-30.130398830953485</v>
      </c>
      <c r="K17" s="66"/>
      <c r="M17" s="42">
        <f t="shared" si="3"/>
        <v>1</v>
      </c>
    </row>
    <row r="18" spans="1:14">
      <c r="A18" s="64"/>
      <c r="B18" s="75" t="s">
        <v>16</v>
      </c>
      <c r="C18" s="76">
        <f>+[16]Historico!B137/1000000</f>
        <v>294.50386600000002</v>
      </c>
      <c r="D18" s="76">
        <f>+[16]Historico!C137/1000000</f>
        <v>355.226471</v>
      </c>
      <c r="E18" s="76">
        <f>+[16]Historico!D137/1000000</f>
        <v>386.48637400000001</v>
      </c>
      <c r="F18" s="76">
        <f>+[16]Historico!E137/1000000</f>
        <v>279.702248</v>
      </c>
      <c r="G18" s="77">
        <f>+[16]Historico!F137/1000000</f>
        <v>483.92732699999999</v>
      </c>
      <c r="H18" s="78">
        <f t="shared" si="0"/>
        <v>73.015172548774075</v>
      </c>
      <c r="I18" s="78">
        <f t="shared" si="1"/>
        <v>173.01517254877407</v>
      </c>
      <c r="J18" s="78">
        <f t="shared" si="2"/>
        <v>-27.629467216352634</v>
      </c>
      <c r="K18" s="66"/>
      <c r="M18" s="42">
        <f t="shared" si="3"/>
        <v>1</v>
      </c>
    </row>
    <row r="19" spans="1:14">
      <c r="A19" s="64"/>
      <c r="B19" s="75" t="s">
        <v>17</v>
      </c>
      <c r="C19" s="76">
        <f>+[16]Historico!B138/1000000</f>
        <v>294.94279999999998</v>
      </c>
      <c r="D19" s="76">
        <f>+[16]Historico!C138/1000000</f>
        <v>347.715509</v>
      </c>
      <c r="E19" s="76">
        <f>+[16]Historico!D138/1000000</f>
        <v>442.18141000000003</v>
      </c>
      <c r="F19" s="76">
        <f>+[16]Historico!E138/1000000</f>
        <v>359.357214</v>
      </c>
      <c r="G19" s="77">
        <f>+[16]Historico!F138/1000000</f>
        <v>462.48172699999998</v>
      </c>
      <c r="H19" s="78">
        <f>IF(OR(OR(G19=0,F19=0),G19=""),"",(G19/F19-1)*100)</f>
        <v>28.696936914699034</v>
      </c>
      <c r="I19" s="78">
        <f t="shared" si="1"/>
        <v>128.69693691469902</v>
      </c>
      <c r="J19" s="78">
        <f t="shared" si="2"/>
        <v>-18.73081819518374</v>
      </c>
      <c r="K19" s="66"/>
      <c r="M19" s="42">
        <f t="shared" si="3"/>
        <v>1</v>
      </c>
    </row>
    <row r="20" spans="1:14">
      <c r="A20" s="64"/>
      <c r="B20" s="75" t="s">
        <v>18</v>
      </c>
      <c r="C20" s="76">
        <f>+[16]Historico!B139/1000000</f>
        <v>308.95821000000001</v>
      </c>
      <c r="D20" s="76">
        <f>+[16]Historico!C139/1000000</f>
        <v>387.50020699999999</v>
      </c>
      <c r="E20" s="76">
        <f>+[16]Historico!D139/1000000</f>
        <v>374.71753000000001</v>
      </c>
      <c r="F20" s="76">
        <f>+[16]Historico!E139/1000000</f>
        <v>293.92118099999999</v>
      </c>
      <c r="G20" s="77">
        <f>+[16]Historico!F139/1000000</f>
        <v>469.91059799999999</v>
      </c>
      <c r="H20" s="78">
        <f>IF(OR(OR(G20=0,F20=0),G20=""),"",(G20/F20-1)*100)</f>
        <v>59.876398291962495</v>
      </c>
      <c r="I20" s="78">
        <f t="shared" si="1"/>
        <v>159.87639829196249</v>
      </c>
      <c r="J20" s="78">
        <f t="shared" si="2"/>
        <v>-21.561934665826822</v>
      </c>
      <c r="K20" s="66"/>
      <c r="M20" s="42">
        <f t="shared" si="3"/>
        <v>1</v>
      </c>
    </row>
    <row r="21" spans="1:14">
      <c r="A21" s="64"/>
      <c r="B21" s="75" t="s">
        <v>19</v>
      </c>
      <c r="C21" s="76">
        <f>+[16]Historico!B140/1000000</f>
        <v>316.96464300000002</v>
      </c>
      <c r="D21" s="76">
        <f>+[16]Historico!C140/1000000</f>
        <v>351.28432800000002</v>
      </c>
      <c r="E21" s="76">
        <f>+[16]Historico!D140/1000000</f>
        <v>355.21200399999998</v>
      </c>
      <c r="F21" s="76">
        <f>+[16]Historico!E140/1000000</f>
        <v>337.85008599999998</v>
      </c>
      <c r="G21" s="77">
        <f>+[16]Historico!F140/1000000</f>
        <v>513.445965</v>
      </c>
      <c r="H21" s="78">
        <f>IF(OR(OR(G21=0,F21=0),G21=""),"",(G21/F21-1)*100)</f>
        <v>51.974495871520965</v>
      </c>
      <c r="I21" s="78">
        <f t="shared" ref="I21" si="4">IF(OR(OR(G21=0,F21=0),G21=""),"",G21/F21*100)</f>
        <v>151.97449587152096</v>
      </c>
      <c r="J21" s="78">
        <f t="shared" ref="J21" si="5">IF(OR(OR(G21=0,F21=0),G21=""),"",(F21/E21-1)*100)</f>
        <v>-4.8877621827217332</v>
      </c>
      <c r="K21" s="66"/>
      <c r="M21" s="42">
        <f t="shared" si="3"/>
        <v>1</v>
      </c>
    </row>
    <row r="22" spans="1:14">
      <c r="A22" s="64"/>
      <c r="B22" s="75" t="s">
        <v>20</v>
      </c>
      <c r="C22" s="76">
        <f>+[16]Historico!B141/1000000</f>
        <v>332.48451399999999</v>
      </c>
      <c r="D22" s="76">
        <f>+[16]Historico!C141/1000000</f>
        <v>385.222872</v>
      </c>
      <c r="E22" s="76">
        <f>+[16]Historico!D141/1000000</f>
        <v>440.98461800000001</v>
      </c>
      <c r="F22" s="76">
        <f>+[16]Historico!E141/1000000</f>
        <v>381.15545900000001</v>
      </c>
      <c r="G22" s="73">
        <f>+[16]Historico!F141/1000000</f>
        <v>620.937364</v>
      </c>
      <c r="H22" s="25">
        <f>IF(OR(OR(G22=0,F22=0),G22=""),"",(G22/F22-1)*100)</f>
        <v>62.909214426337257</v>
      </c>
      <c r="I22" s="25">
        <f t="shared" ref="I22" si="6">IF(OR(OR(G22=0,F22=0),G22=""),"",G22/F22*100)</f>
        <v>162.90921442633726</v>
      </c>
      <c r="J22" s="25">
        <f t="shared" ref="J22" si="7">IF(OR(OR(G22=0,F22=0),G22=""),"",(F22/E22-1)*100)</f>
        <v>-13.56717594172412</v>
      </c>
      <c r="K22" s="66"/>
      <c r="M22" s="42">
        <f t="shared" si="3"/>
        <v>1</v>
      </c>
    </row>
    <row r="23" spans="1:14">
      <c r="A23" s="64"/>
      <c r="B23" s="75" t="s">
        <v>21</v>
      </c>
      <c r="C23" s="76">
        <f>+[16]Historico!B142/1000000</f>
        <v>337.14512300000001</v>
      </c>
      <c r="D23" s="76">
        <f>+[16]Historico!C142/1000000</f>
        <v>362.24316900000002</v>
      </c>
      <c r="E23" s="76">
        <f>+[16]Historico!D142/1000000</f>
        <v>407.744191</v>
      </c>
      <c r="F23" s="76">
        <f>+[16]Historico!E142/1000000</f>
        <v>341.72087299999998</v>
      </c>
      <c r="G23" s="77"/>
      <c r="H23" s="78" t="str">
        <f t="shared" si="0"/>
        <v/>
      </c>
      <c r="I23" s="78" t="str">
        <f t="shared" si="1"/>
        <v/>
      </c>
      <c r="J23" s="78" t="str">
        <f t="shared" si="2"/>
        <v/>
      </c>
      <c r="K23" s="66"/>
      <c r="M23" s="42" t="str">
        <f t="shared" si="3"/>
        <v/>
      </c>
    </row>
    <row r="24" spans="1:14">
      <c r="A24" s="64"/>
      <c r="B24" s="75" t="s">
        <v>22</v>
      </c>
      <c r="C24" s="76">
        <f>+[16]Historico!B143/1000000</f>
        <v>309.46526299999999</v>
      </c>
      <c r="D24" s="76">
        <f>+[16]Historico!C143/1000000</f>
        <v>352.93253499999997</v>
      </c>
      <c r="E24" s="76">
        <f>+[16]Historico!D143/1000000</f>
        <v>372.72175399999998</v>
      </c>
      <c r="F24" s="76">
        <f>+[16]Historico!E143/1000000</f>
        <v>393.34359000000001</v>
      </c>
      <c r="G24" s="77"/>
      <c r="H24" s="78" t="str">
        <f t="shared" si="0"/>
        <v/>
      </c>
      <c r="I24" s="78" t="str">
        <f t="shared" si="1"/>
        <v/>
      </c>
      <c r="J24" s="78" t="str">
        <f t="shared" si="2"/>
        <v/>
      </c>
      <c r="K24" s="66"/>
      <c r="M24" s="42" t="str">
        <f t="shared" si="3"/>
        <v/>
      </c>
    </row>
    <row r="25" spans="1:14">
      <c r="A25" s="64"/>
      <c r="B25" s="79" t="s">
        <v>32</v>
      </c>
      <c r="C25" s="77">
        <f t="shared" ref="C25:G25" si="8">SUM(C13:C24)</f>
        <v>3441.543291</v>
      </c>
      <c r="D25" s="77">
        <f t="shared" si="8"/>
        <v>4226.15877</v>
      </c>
      <c r="E25" s="77">
        <f t="shared" si="8"/>
        <v>4547.750916</v>
      </c>
      <c r="F25" s="77">
        <f t="shared" si="8"/>
        <v>3983.0839190000002</v>
      </c>
      <c r="G25" s="72">
        <f t="shared" si="8"/>
        <v>4500.3982850000002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23</v>
      </c>
      <c r="C26" s="80"/>
      <c r="D26" s="80">
        <f>(D25/C25-1)*100</f>
        <v>22.798361451731619</v>
      </c>
      <c r="E26" s="80">
        <f>(E25/D25-1)*100</f>
        <v>7.6095613890057479</v>
      </c>
      <c r="F26" s="80">
        <f>(F25/E25-1)*100</f>
        <v>-12.416401149266454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24</v>
      </c>
      <c r="C28" s="77">
        <f t="shared" ref="C28:E28" si="9">SUMPRODUCT(C13:C24,$M$13:$M$24)</f>
        <v>2794.9329049999997</v>
      </c>
      <c r="D28" s="77">
        <f t="shared" si="9"/>
        <v>3510.9830659999998</v>
      </c>
      <c r="E28" s="77">
        <f t="shared" si="9"/>
        <v>3767.284971</v>
      </c>
      <c r="F28" s="77">
        <f>SUMPRODUCT(F13:F24,$M$13:$M$24)</f>
        <v>3248.019456</v>
      </c>
      <c r="G28" s="73">
        <f>SUMPRODUCT(G13:G24,$M$13:$M$24)</f>
        <v>4500.3982850000002</v>
      </c>
      <c r="H28" s="74">
        <f>IF(OR(OR(G28=0,F28=0),G28=""),"",(G28/F28-1)*100)</f>
        <v>38.558230514491122</v>
      </c>
      <c r="I28" s="31">
        <f>IF(OR(OR(G28=0,F28=0),G28=""),"",G28/F28*100)</f>
        <v>138.55823051449113</v>
      </c>
      <c r="J28" s="31">
        <f>IF(OR(OR(G28=0,F28=0),F28=""),"",(F28/E28-1)*100)</f>
        <v>-13.78354754145834</v>
      </c>
      <c r="K28" s="66"/>
    </row>
    <row r="29" spans="1:14" ht="18.75" customHeight="1">
      <c r="A29" s="64"/>
      <c r="B29" s="79" t="s">
        <v>23</v>
      </c>
      <c r="C29" s="80"/>
      <c r="D29" s="80">
        <f t="shared" ref="D29:G29" si="10">(D28/C28-1)*100</f>
        <v>25.619583200692265</v>
      </c>
      <c r="E29" s="80">
        <f t="shared" si="10"/>
        <v>7.3000040211529837</v>
      </c>
      <c r="F29" s="80">
        <f t="shared" si="10"/>
        <v>-13.78354754145834</v>
      </c>
      <c r="G29" s="31">
        <f t="shared" si="10"/>
        <v>38.558230514491122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117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tr">
        <f>IF(G32="","",1)</f>
        <v/>
      </c>
      <c r="N32" s="42"/>
    </row>
    <row r="33" spans="1:14" s="117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tr">
        <f>IF(G33="","",1)</f>
        <v/>
      </c>
      <c r="N33" s="42"/>
    </row>
    <row r="34" spans="1:14" s="117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tr">
        <f>IF(G34="","",1)</f>
        <v/>
      </c>
      <c r="N34" s="42"/>
    </row>
    <row r="35" spans="1:14" s="117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tr">
        <f>IF(G35="","",1)</f>
        <v/>
      </c>
      <c r="N35" s="42"/>
    </row>
    <row r="36" spans="1:14" s="117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tr">
        <f>IF(G36="","",1)</f>
        <v/>
      </c>
      <c r="N36" s="42"/>
    </row>
    <row r="37" spans="1:14" s="117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117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tr">
        <f>IF(G38="","",1)</f>
        <v/>
      </c>
      <c r="N38" s="42"/>
    </row>
    <row r="39" spans="1:14" s="117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tr">
        <f>IF(G39="","",1)</f>
        <v/>
      </c>
      <c r="N39" s="42"/>
    </row>
    <row r="40" spans="1:14" s="117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tr">
        <f>IF(G40="","",1)</f>
        <v/>
      </c>
      <c r="N40" s="42"/>
    </row>
    <row r="41" spans="1:14" s="117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tr">
        <f>IF(G41="","",1)</f>
        <v/>
      </c>
      <c r="N41" s="42"/>
    </row>
    <row r="42" spans="1:14" s="117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117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117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25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14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4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Normal="100" zoomScaleSheetLayoutView="100" workbookViewId="0">
      <pane ySplit="11" topLeftCell="A12" activePane="bottomLeft" state="frozen"/>
      <selection activeCell="F11" sqref="F11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15" t="s">
        <v>76</v>
      </c>
      <c r="D7" s="115"/>
      <c r="E7" s="115"/>
      <c r="F7" s="115"/>
      <c r="G7" s="115"/>
      <c r="H7" s="115"/>
      <c r="I7" s="115"/>
      <c r="J7" s="115"/>
      <c r="K7" s="66"/>
    </row>
    <row r="8" spans="1:14">
      <c r="A8" s="64"/>
      <c r="B8" s="44"/>
      <c r="C8" s="112" t="s">
        <v>57</v>
      </c>
      <c r="D8" s="112"/>
      <c r="E8" s="112"/>
      <c r="F8" s="112"/>
      <c r="G8" s="112"/>
      <c r="H8" s="112"/>
      <c r="I8" s="112"/>
      <c r="J8" s="112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16" t="s">
        <v>2</v>
      </c>
      <c r="D10" s="116"/>
      <c r="E10" s="116"/>
      <c r="F10" s="116"/>
      <c r="G10" s="116"/>
      <c r="H10" s="113" t="s">
        <v>1</v>
      </c>
      <c r="I10" s="113" t="s">
        <v>10</v>
      </c>
      <c r="J10" s="113" t="s">
        <v>3</v>
      </c>
      <c r="K10" s="66"/>
    </row>
    <row r="11" spans="1:14">
      <c r="A11" s="64"/>
      <c r="B11" s="46"/>
      <c r="C11" s="108">
        <v>2006</v>
      </c>
      <c r="D11" s="108">
        <v>2007</v>
      </c>
      <c r="E11" s="108">
        <v>2008</v>
      </c>
      <c r="F11" s="108">
        <v>2009</v>
      </c>
      <c r="G11" s="108">
        <v>2010</v>
      </c>
      <c r="H11" s="113"/>
      <c r="I11" s="113"/>
      <c r="J11" s="113"/>
      <c r="K11" s="66"/>
      <c r="N11" s="47"/>
    </row>
    <row r="12" spans="1:14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11</v>
      </c>
      <c r="C13" s="76">
        <f>+[16]Historico!B157/1000000</f>
        <v>246.01445799999999</v>
      </c>
      <c r="D13" s="76">
        <f>+[16]Historico!C157/1000000</f>
        <v>315.93585200000001</v>
      </c>
      <c r="E13" s="76">
        <f>+[16]Historico!D157/1000000</f>
        <v>388.88000299999999</v>
      </c>
      <c r="F13" s="76">
        <f>+[16]Historico!E157/1000000</f>
        <v>640.62919299999999</v>
      </c>
      <c r="G13" s="77">
        <f>+[16]Historico!F157/1000000</f>
        <v>560.82841499999995</v>
      </c>
      <c r="H13" s="78">
        <f t="shared" ref="H13:H24" si="0">IF(OR(OR(G13=0,F13=0),G13=""),"",(G13/F13-1)*100)</f>
        <v>-12.456625279016908</v>
      </c>
      <c r="I13" s="78">
        <f t="shared" ref="I13:I24" si="1">IF(OR(OR(G13=0,F13=0),G13=""),"",G13/F13*100)</f>
        <v>87.543374720983095</v>
      </c>
      <c r="J13" s="78">
        <f t="shared" ref="J13:J24" si="2">IF(OR(OR(G13=0,F13=0),G13=""),"",(F13/E13-1)*100)</f>
        <v>64.736985203119318</v>
      </c>
      <c r="K13" s="66"/>
      <c r="M13" s="42">
        <f t="shared" ref="M13:M24" si="3">IF(G13="","",1)</f>
        <v>1</v>
      </c>
    </row>
    <row r="14" spans="1:14">
      <c r="A14" s="64"/>
      <c r="B14" s="75" t="s">
        <v>12</v>
      </c>
      <c r="C14" s="76">
        <f>+[16]Historico!B158/1000000</f>
        <v>281.518934</v>
      </c>
      <c r="D14" s="76">
        <f>+[16]Historico!C158/1000000</f>
        <v>435.67715199999998</v>
      </c>
      <c r="E14" s="76">
        <f>+[16]Historico!D158/1000000</f>
        <v>494.82772399999999</v>
      </c>
      <c r="F14" s="76">
        <f>+[16]Historico!E158/1000000</f>
        <v>520.340732</v>
      </c>
      <c r="G14" s="77">
        <f>+[16]Historico!F158/1000000</f>
        <v>505.66851400000002</v>
      </c>
      <c r="H14" s="78">
        <f t="shared" si="0"/>
        <v>-2.8197327438898245</v>
      </c>
      <c r="I14" s="78">
        <f t="shared" si="1"/>
        <v>97.18026725611017</v>
      </c>
      <c r="J14" s="78">
        <f t="shared" si="2"/>
        <v>5.1559374631967803</v>
      </c>
      <c r="K14" s="66"/>
      <c r="M14" s="42">
        <f t="shared" si="3"/>
        <v>1</v>
      </c>
    </row>
    <row r="15" spans="1:14">
      <c r="A15" s="64"/>
      <c r="B15" s="75" t="s">
        <v>13</v>
      </c>
      <c r="C15" s="76">
        <f>+[16]Historico!B159/1000000</f>
        <v>371.24355700000001</v>
      </c>
      <c r="D15" s="76">
        <f>+[16]Historico!C159/1000000</f>
        <v>439.05239</v>
      </c>
      <c r="E15" s="76">
        <f>+[16]Historico!D159/1000000</f>
        <v>468.42933099999999</v>
      </c>
      <c r="F15" s="76">
        <f>+[16]Historico!E159/1000000</f>
        <v>438.632904</v>
      </c>
      <c r="G15" s="77">
        <f>+[16]Historico!F159/1000000</f>
        <v>682.59572100000003</v>
      </c>
      <c r="H15" s="78">
        <f t="shared" si="0"/>
        <v>55.618904732235961</v>
      </c>
      <c r="I15" s="78">
        <f>IF(OR(OR(G15=0,F15=0),G15=""),"",G15/F15*100)</f>
        <v>155.61890473223596</v>
      </c>
      <c r="J15" s="78">
        <f t="shared" si="2"/>
        <v>-6.3609225614439602</v>
      </c>
      <c r="K15" s="66"/>
      <c r="M15" s="42">
        <f t="shared" si="3"/>
        <v>1</v>
      </c>
    </row>
    <row r="16" spans="1:14">
      <c r="A16" s="64"/>
      <c r="B16" s="75" t="s">
        <v>14</v>
      </c>
      <c r="C16" s="76">
        <f>+[16]Historico!B160/1000000</f>
        <v>352.73754400000001</v>
      </c>
      <c r="D16" s="76">
        <f>+[16]Historico!C160/1000000</f>
        <v>315.21446900000001</v>
      </c>
      <c r="E16" s="76">
        <f>+[16]Historico!D160/1000000</f>
        <v>518.28951300000006</v>
      </c>
      <c r="F16" s="76">
        <f>+[16]Historico!E160/1000000</f>
        <v>599.70943199999999</v>
      </c>
      <c r="G16" s="77">
        <f>+[16]Historico!F160/1000000</f>
        <v>534.38095399999997</v>
      </c>
      <c r="H16" s="78">
        <f t="shared" si="0"/>
        <v>-10.893355100674828</v>
      </c>
      <c r="I16" s="78">
        <f t="shared" si="1"/>
        <v>89.106644899325175</v>
      </c>
      <c r="J16" s="78">
        <f t="shared" si="2"/>
        <v>15.709351039869478</v>
      </c>
      <c r="K16" s="66"/>
      <c r="M16" s="42">
        <f t="shared" si="3"/>
        <v>1</v>
      </c>
    </row>
    <row r="17" spans="1:14">
      <c r="A17" s="64"/>
      <c r="B17" s="75" t="s">
        <v>15</v>
      </c>
      <c r="C17" s="76">
        <f>+[16]Historico!B161/1000000</f>
        <v>425.699681</v>
      </c>
      <c r="D17" s="76">
        <f>+[16]Historico!C161/1000000</f>
        <v>398.454184</v>
      </c>
      <c r="E17" s="76">
        <f>+[16]Historico!D161/1000000</f>
        <v>480.02294699999999</v>
      </c>
      <c r="F17" s="76">
        <f>+[16]Historico!E161/1000000</f>
        <v>465.299623</v>
      </c>
      <c r="G17" s="77">
        <f>+[16]Historico!F161/1000000</f>
        <v>630.95167500000002</v>
      </c>
      <c r="H17" s="78">
        <f t="shared" si="0"/>
        <v>35.601157579274471</v>
      </c>
      <c r="I17" s="78">
        <f t="shared" si="1"/>
        <v>135.60115757927446</v>
      </c>
      <c r="J17" s="78">
        <f t="shared" si="2"/>
        <v>-3.0672125347374291</v>
      </c>
      <c r="K17" s="66"/>
      <c r="M17" s="42">
        <f t="shared" si="3"/>
        <v>1</v>
      </c>
    </row>
    <row r="18" spans="1:14">
      <c r="A18" s="64"/>
      <c r="B18" s="75" t="s">
        <v>16</v>
      </c>
      <c r="C18" s="76">
        <f>+[16]Historico!B162/1000000</f>
        <v>376.45194800000002</v>
      </c>
      <c r="D18" s="76">
        <f>+[16]Historico!C162/1000000</f>
        <v>357.24189899999999</v>
      </c>
      <c r="E18" s="76">
        <f>+[16]Historico!D162/1000000</f>
        <v>507.972624</v>
      </c>
      <c r="F18" s="76">
        <f>+[16]Historico!E162/1000000</f>
        <v>450.46072500000002</v>
      </c>
      <c r="G18" s="77">
        <f>+[16]Historico!F162/1000000</f>
        <v>477.21982300000002</v>
      </c>
      <c r="H18" s="78">
        <f t="shared" si="0"/>
        <v>5.9403842588052536</v>
      </c>
      <c r="I18" s="78">
        <f t="shared" si="1"/>
        <v>105.94038425880525</v>
      </c>
      <c r="J18" s="78">
        <f t="shared" si="2"/>
        <v>-11.321850092456941</v>
      </c>
      <c r="K18" s="66"/>
      <c r="M18" s="42">
        <f t="shared" si="3"/>
        <v>1</v>
      </c>
    </row>
    <row r="19" spans="1:14">
      <c r="A19" s="64"/>
      <c r="B19" s="75" t="s">
        <v>17</v>
      </c>
      <c r="C19" s="76">
        <f>+[16]Historico!B163/1000000</f>
        <v>360.670503</v>
      </c>
      <c r="D19" s="76">
        <f>+[16]Historico!C163/1000000</f>
        <v>374.59881100000001</v>
      </c>
      <c r="E19" s="76">
        <f>+[16]Historico!D163/1000000</f>
        <v>511.21669300000002</v>
      </c>
      <c r="F19" s="76">
        <f>+[16]Historico!E163/1000000</f>
        <v>708.47236199999998</v>
      </c>
      <c r="G19" s="77">
        <f>+[16]Historico!F163/1000000</f>
        <v>624.75163699999996</v>
      </c>
      <c r="H19" s="78">
        <f>IF(OR(OR(G19=0,F19=0),G19=""),"",(G19/F19-1)*100)</f>
        <v>-11.817077064750769</v>
      </c>
      <c r="I19" s="78">
        <f t="shared" si="1"/>
        <v>88.182922935249223</v>
      </c>
      <c r="J19" s="78">
        <f t="shared" si="2"/>
        <v>38.585529717825537</v>
      </c>
      <c r="K19" s="66"/>
      <c r="M19" s="42">
        <f t="shared" si="3"/>
        <v>1</v>
      </c>
    </row>
    <row r="20" spans="1:14">
      <c r="A20" s="64"/>
      <c r="B20" s="75" t="s">
        <v>18</v>
      </c>
      <c r="C20" s="76">
        <f>+[16]Historico!B164/1000000</f>
        <v>330.40754800000002</v>
      </c>
      <c r="D20" s="76">
        <f>+[16]Historico!C164/1000000</f>
        <v>412.772245</v>
      </c>
      <c r="E20" s="76">
        <f>+[16]Historico!D164/1000000</f>
        <v>409.97661299999999</v>
      </c>
      <c r="F20" s="76">
        <f>+[16]Historico!E164/1000000</f>
        <v>516.95789400000001</v>
      </c>
      <c r="G20" s="77">
        <f>+[16]Historico!F164/1000000</f>
        <v>629.441552</v>
      </c>
      <c r="H20" s="78">
        <f>IF(OR(OR(G20=0,F20=0),G20=""),"",(G20/F20-1)*100)</f>
        <v>21.75876590831205</v>
      </c>
      <c r="I20" s="78">
        <f t="shared" si="1"/>
        <v>121.75876590831206</v>
      </c>
      <c r="J20" s="78">
        <f t="shared" si="2"/>
        <v>26.094483833398563</v>
      </c>
      <c r="K20" s="66"/>
      <c r="M20" s="42">
        <f t="shared" si="3"/>
        <v>1</v>
      </c>
    </row>
    <row r="21" spans="1:14">
      <c r="A21" s="64"/>
      <c r="B21" s="75" t="s">
        <v>19</v>
      </c>
      <c r="C21" s="76">
        <f>+[16]Historico!B165/1000000</f>
        <v>308.04612700000001</v>
      </c>
      <c r="D21" s="76">
        <f>+[16]Historico!C165/1000000</f>
        <v>412.39654100000001</v>
      </c>
      <c r="E21" s="76">
        <f>+[16]Historico!D165/1000000</f>
        <v>547.57989999999995</v>
      </c>
      <c r="F21" s="76">
        <f>+[16]Historico!E165/1000000</f>
        <v>528.58874800000001</v>
      </c>
      <c r="G21" s="77">
        <f>+[16]Historico!F165/1000000</f>
        <v>764.35122000000001</v>
      </c>
      <c r="H21" s="78">
        <f>IF(OR(OR(G21=0,F21=0),G21=""),"",(G21/F21-1)*100)</f>
        <v>44.602249459914731</v>
      </c>
      <c r="I21" s="78">
        <f t="shared" ref="I21" si="4">IF(OR(OR(G21=0,F21=0),G21=""),"",G21/F21*100)</f>
        <v>144.60224945991473</v>
      </c>
      <c r="J21" s="78">
        <f t="shared" ref="J21" si="5">IF(OR(OR(G21=0,F21=0),G21=""),"",(F21/E21-1)*100)</f>
        <v>-3.4681974265308058</v>
      </c>
      <c r="K21" s="66"/>
      <c r="M21" s="42">
        <f t="shared" si="3"/>
        <v>1</v>
      </c>
    </row>
    <row r="22" spans="1:14">
      <c r="A22" s="64"/>
      <c r="B22" s="75" t="s">
        <v>20</v>
      </c>
      <c r="C22" s="76">
        <f>+[16]Historico!B166/1000000</f>
        <v>313.47625499999998</v>
      </c>
      <c r="D22" s="76">
        <f>+[16]Historico!C166/1000000</f>
        <v>491.01999499999999</v>
      </c>
      <c r="E22" s="76">
        <f>+[16]Historico!D166/1000000</f>
        <v>522.11384499999997</v>
      </c>
      <c r="F22" s="76">
        <f>+[16]Historico!E166/1000000</f>
        <v>562.56373099999996</v>
      </c>
      <c r="G22" s="73">
        <f>+[16]Historico!F166/1000000</f>
        <v>457.37246299999998</v>
      </c>
      <c r="H22" s="25">
        <f>IF(OR(OR(G22=0,F22=0),G22=""),"",(G22/F22-1)*100)</f>
        <v>-18.698551329111545</v>
      </c>
      <c r="I22" s="25">
        <f t="shared" ref="I22" si="6">IF(OR(OR(G22=0,F22=0),G22=""),"",G22/F22*100)</f>
        <v>81.301448670888448</v>
      </c>
      <c r="J22" s="25">
        <f t="shared" ref="J22" si="7">IF(OR(OR(G22=0,F22=0),G22=""),"",(F22/E22-1)*100)</f>
        <v>7.7473306611894222</v>
      </c>
      <c r="K22" s="66"/>
      <c r="M22" s="42">
        <f t="shared" si="3"/>
        <v>1</v>
      </c>
    </row>
    <row r="23" spans="1:14">
      <c r="A23" s="64"/>
      <c r="B23" s="75" t="s">
        <v>21</v>
      </c>
      <c r="C23" s="76">
        <f>+[16]Historico!B167/1000000</f>
        <v>326.20235400000001</v>
      </c>
      <c r="D23" s="76">
        <f>+[16]Historico!C167/1000000</f>
        <v>533.62749699999995</v>
      </c>
      <c r="E23" s="76">
        <f>+[16]Historico!D167/1000000</f>
        <v>622.77643899999998</v>
      </c>
      <c r="F23" s="76">
        <f>+[16]Historico!E167/1000000</f>
        <v>460.79824500000001</v>
      </c>
      <c r="G23" s="77"/>
      <c r="H23" s="78" t="str">
        <f t="shared" si="0"/>
        <v/>
      </c>
      <c r="I23" s="78" t="str">
        <f t="shared" si="1"/>
        <v/>
      </c>
      <c r="J23" s="78" t="str">
        <f t="shared" si="2"/>
        <v/>
      </c>
      <c r="K23" s="66"/>
      <c r="M23" s="42" t="str">
        <f t="shared" si="3"/>
        <v/>
      </c>
    </row>
    <row r="24" spans="1:14">
      <c r="A24" s="64"/>
      <c r="B24" s="75" t="s">
        <v>22</v>
      </c>
      <c r="C24" s="76">
        <f>+[16]Historico!B168/1000000</f>
        <v>400.55738300000002</v>
      </c>
      <c r="D24" s="76">
        <f>+[16]Historico!C168/1000000</f>
        <v>503.12148999999999</v>
      </c>
      <c r="E24" s="76">
        <f>+[16]Historico!D168/1000000</f>
        <v>563.96594900000002</v>
      </c>
      <c r="F24" s="76">
        <f>+[16]Historico!E168/1000000</f>
        <v>577.51495</v>
      </c>
      <c r="G24" s="77"/>
      <c r="H24" s="78" t="str">
        <f t="shared" si="0"/>
        <v/>
      </c>
      <c r="I24" s="78" t="str">
        <f t="shared" si="1"/>
        <v/>
      </c>
      <c r="J24" s="78" t="str">
        <f t="shared" si="2"/>
        <v/>
      </c>
      <c r="K24" s="66"/>
      <c r="M24" s="42" t="str">
        <f t="shared" si="3"/>
        <v/>
      </c>
    </row>
    <row r="25" spans="1:14">
      <c r="A25" s="64"/>
      <c r="B25" s="79" t="s">
        <v>32</v>
      </c>
      <c r="C25" s="77">
        <f t="shared" ref="C25:G25" si="8">SUM(C13:C24)</f>
        <v>4093.026292</v>
      </c>
      <c r="D25" s="77">
        <f t="shared" si="8"/>
        <v>4989.1125250000005</v>
      </c>
      <c r="E25" s="77">
        <f t="shared" si="8"/>
        <v>6036.0515809999997</v>
      </c>
      <c r="F25" s="77">
        <f t="shared" si="8"/>
        <v>6469.9685389999995</v>
      </c>
      <c r="G25" s="72">
        <f t="shared" si="8"/>
        <v>5867.5619740000002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23</v>
      </c>
      <c r="C26" s="80"/>
      <c r="D26" s="80">
        <f>(D25/C25-1)*100</f>
        <v>21.892999679758731</v>
      </c>
      <c r="E26" s="80">
        <f>(E25/D25-1)*100</f>
        <v>20.984474708755929</v>
      </c>
      <c r="F26" s="80">
        <f>(F25/E25-1)*100</f>
        <v>7.1887549696537212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24</v>
      </c>
      <c r="C28" s="77">
        <f t="shared" ref="C28:E28" si="9">SUMPRODUCT(C13:C24,$M$13:$M$24)</f>
        <v>3366.2665550000002</v>
      </c>
      <c r="D28" s="77">
        <f t="shared" si="9"/>
        <v>3952.3635380000001</v>
      </c>
      <c r="E28" s="77">
        <f t="shared" si="9"/>
        <v>4849.3091929999991</v>
      </c>
      <c r="F28" s="77">
        <f>SUMPRODUCT(F13:F24,$M$13:$M$24)</f>
        <v>5431.6553439999998</v>
      </c>
      <c r="G28" s="73">
        <f>SUMPRODUCT(G13:G24,$M$13:$M$24)</f>
        <v>5867.5619740000002</v>
      </c>
      <c r="H28" s="74">
        <f>IF(OR(OR(G28=0,F28=0),G28=""),"",(G28/F28-1)*100)</f>
        <v>8.0252998836076515</v>
      </c>
      <c r="I28" s="31">
        <f>IF(OR(OR(G28=0,F28=0),G28=""),"",G28/F28*100)</f>
        <v>108.02529988360764</v>
      </c>
      <c r="J28" s="31">
        <f>IF(OR(OR(G28=0,F28=0),F28=""),"",(F28/E28-1)*100)</f>
        <v>12.008847607420448</v>
      </c>
      <c r="K28" s="66"/>
    </row>
    <row r="29" spans="1:14" ht="18.75" customHeight="1">
      <c r="A29" s="64"/>
      <c r="B29" s="79" t="s">
        <v>23</v>
      </c>
      <c r="C29" s="80"/>
      <c r="D29" s="80">
        <f t="shared" ref="D29:G29" si="10">(D28/C28-1)*100</f>
        <v>17.410890475368191</v>
      </c>
      <c r="E29" s="80">
        <f t="shared" si="10"/>
        <v>22.693905719357922</v>
      </c>
      <c r="F29" s="80">
        <f t="shared" si="10"/>
        <v>12.008847607420448</v>
      </c>
      <c r="G29" s="31">
        <f t="shared" si="10"/>
        <v>8.0252998836076515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117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tr">
        <f>IF(G32="","",1)</f>
        <v/>
      </c>
      <c r="N32" s="42"/>
    </row>
    <row r="33" spans="1:14" s="117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tr">
        <f>IF(G33="","",1)</f>
        <v/>
      </c>
      <c r="N33" s="42"/>
    </row>
    <row r="34" spans="1:14" s="117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tr">
        <f>IF(G34="","",1)</f>
        <v/>
      </c>
      <c r="N34" s="42"/>
    </row>
    <row r="35" spans="1:14" s="117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tr">
        <f>IF(G35="","",1)</f>
        <v/>
      </c>
      <c r="N35" s="42"/>
    </row>
    <row r="36" spans="1:14" s="117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tr">
        <f>IF(G36="","",1)</f>
        <v/>
      </c>
      <c r="N36" s="42"/>
    </row>
    <row r="37" spans="1:14" s="117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117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tr">
        <f>IF(G38="","",1)</f>
        <v/>
      </c>
      <c r="N38" s="42"/>
    </row>
    <row r="39" spans="1:14" s="117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tr">
        <f>IF(G39="","",1)</f>
        <v/>
      </c>
      <c r="N39" s="42"/>
    </row>
    <row r="40" spans="1:14" s="117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tr">
        <f>IF(G40="","",1)</f>
        <v/>
      </c>
      <c r="N40" s="42"/>
    </row>
    <row r="41" spans="1:14" s="117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tr">
        <f>IF(G41="","",1)</f>
        <v/>
      </c>
      <c r="N41" s="42"/>
    </row>
    <row r="42" spans="1:14" s="117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117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117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25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14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4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Normal="100" zoomScaleSheetLayoutView="100" workbookViewId="0">
      <pane ySplit="11" topLeftCell="A12" activePane="bottomLeft" state="frozen"/>
      <selection activeCell="F11" sqref="F11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15" t="s">
        <v>78</v>
      </c>
      <c r="D7" s="115"/>
      <c r="E7" s="115"/>
      <c r="F7" s="115"/>
      <c r="G7" s="115"/>
      <c r="H7" s="115"/>
      <c r="I7" s="115"/>
      <c r="J7" s="115"/>
      <c r="K7" s="66"/>
    </row>
    <row r="8" spans="1:14">
      <c r="A8" s="64"/>
      <c r="B8" s="44"/>
      <c r="C8" s="112" t="s">
        <v>57</v>
      </c>
      <c r="D8" s="112"/>
      <c r="E8" s="112"/>
      <c r="F8" s="112"/>
      <c r="G8" s="112"/>
      <c r="H8" s="112"/>
      <c r="I8" s="112"/>
      <c r="J8" s="112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16" t="s">
        <v>2</v>
      </c>
      <c r="D10" s="116"/>
      <c r="E10" s="116"/>
      <c r="F10" s="116"/>
      <c r="G10" s="116"/>
      <c r="H10" s="113" t="s">
        <v>1</v>
      </c>
      <c r="I10" s="113" t="s">
        <v>10</v>
      </c>
      <c r="J10" s="113" t="s">
        <v>3</v>
      </c>
      <c r="K10" s="66"/>
    </row>
    <row r="11" spans="1:14">
      <c r="A11" s="64"/>
      <c r="B11" s="46"/>
      <c r="C11" s="108">
        <v>2006</v>
      </c>
      <c r="D11" s="108">
        <v>2007</v>
      </c>
      <c r="E11" s="108">
        <v>2008</v>
      </c>
      <c r="F11" s="108">
        <v>2009</v>
      </c>
      <c r="G11" s="108">
        <v>2010</v>
      </c>
      <c r="H11" s="113"/>
      <c r="I11" s="113"/>
      <c r="J11" s="113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11</v>
      </c>
      <c r="C13" s="76">
        <f>+[18]princ_paises!C7/1000000</f>
        <v>235.64786000000001</v>
      </c>
      <c r="D13" s="76">
        <f>+[18]princ_paises!D7/1000000</f>
        <v>270.89749699999999</v>
      </c>
      <c r="E13" s="76">
        <f>+[18]princ_paises!E7/1000000</f>
        <v>315.07319999999999</v>
      </c>
      <c r="F13" s="76">
        <f>+[18]princ_paises!F7/1000000</f>
        <v>324.42503099999999</v>
      </c>
      <c r="G13" s="77">
        <f>+[18]princ_paises!G7/1000000</f>
        <v>324.08129300000002</v>
      </c>
      <c r="H13" s="78">
        <f t="shared" ref="H13:H24" si="0">IF(OR(OR(G13=0,F13=0),G13=""),"",(G13/F13-1)*100)</f>
        <v>-0.10595298363398342</v>
      </c>
      <c r="I13" s="78">
        <f t="shared" ref="I13:I24" si="1">IF(OR(OR(G13=0,F13=0),G13=""),"",G13/F13*100)</f>
        <v>99.894047016366017</v>
      </c>
      <c r="J13" s="78">
        <f t="shared" ref="J13:J24" si="2">IF(OR(OR(G13=0,F13=0),G13=""),"",(F13/E13-1)*100)</f>
        <v>2.9681454976177024</v>
      </c>
      <c r="K13" s="66"/>
      <c r="M13" s="42">
        <f t="shared" ref="M13:M24" si="3">IF(G13="","",1)</f>
        <v>1</v>
      </c>
    </row>
    <row r="14" spans="1:14">
      <c r="A14" s="64"/>
      <c r="B14" s="75" t="s">
        <v>12</v>
      </c>
      <c r="C14" s="76">
        <f>+[18]princ_paises!C8/1000000</f>
        <v>221.813928</v>
      </c>
      <c r="D14" s="76">
        <f>+[18]princ_paises!D8/1000000</f>
        <v>320.40637099999998</v>
      </c>
      <c r="E14" s="76">
        <f>+[18]princ_paises!E8/1000000</f>
        <v>310.72490599999998</v>
      </c>
      <c r="F14" s="76">
        <f>+[18]princ_paises!F8/1000000</f>
        <v>311.41471000000001</v>
      </c>
      <c r="G14" s="77">
        <f>+[18]princ_paises!G8/1000000</f>
        <v>329.56794000000002</v>
      </c>
      <c r="H14" s="78">
        <f t="shared" si="0"/>
        <v>5.8292782637018092</v>
      </c>
      <c r="I14" s="78">
        <f t="shared" si="1"/>
        <v>105.82927826370181</v>
      </c>
      <c r="J14" s="78">
        <f t="shared" si="2"/>
        <v>0.22199829710465302</v>
      </c>
      <c r="K14" s="66"/>
      <c r="M14" s="42">
        <f t="shared" si="3"/>
        <v>1</v>
      </c>
    </row>
    <row r="15" spans="1:14">
      <c r="A15" s="64"/>
      <c r="B15" s="75" t="s">
        <v>13</v>
      </c>
      <c r="C15" s="76">
        <f>+[18]princ_paises!C9/1000000</f>
        <v>281.59059600000001</v>
      </c>
      <c r="D15" s="76">
        <f>+[18]princ_paises!D9/1000000</f>
        <v>286.72902800000003</v>
      </c>
      <c r="E15" s="76">
        <f>+[18]princ_paises!E9/1000000</f>
        <v>331.89341100000001</v>
      </c>
      <c r="F15" s="76">
        <f>+[18]princ_paises!F9/1000000</f>
        <v>343.29247199999998</v>
      </c>
      <c r="G15" s="77">
        <f>+[18]princ_paises!G9/1000000</f>
        <v>401.76975599999997</v>
      </c>
      <c r="H15" s="78">
        <f t="shared" si="0"/>
        <v>17.034245947577897</v>
      </c>
      <c r="I15" s="78">
        <f>IF(OR(OR(G15=0,F15=0),G15=""),"",G15/F15*100)</f>
        <v>117.0342459475779</v>
      </c>
      <c r="J15" s="78">
        <f t="shared" si="2"/>
        <v>3.4345547763827033</v>
      </c>
      <c r="K15" s="66"/>
      <c r="M15" s="42">
        <f t="shared" si="3"/>
        <v>1</v>
      </c>
    </row>
    <row r="16" spans="1:14">
      <c r="A16" s="64"/>
      <c r="B16" s="75" t="s">
        <v>14</v>
      </c>
      <c r="C16" s="76">
        <f>+[18]princ_paises!C10/1000000</f>
        <v>228.34261900000001</v>
      </c>
      <c r="D16" s="76">
        <f>+[18]princ_paises!D10/1000000</f>
        <v>268.54633200000001</v>
      </c>
      <c r="E16" s="76">
        <f>+[18]princ_paises!E10/1000000</f>
        <v>405.340034</v>
      </c>
      <c r="F16" s="76">
        <f>+[18]princ_paises!F10/1000000</f>
        <v>348.97988600000002</v>
      </c>
      <c r="G16" s="77">
        <f>+[18]princ_paises!G10/1000000</f>
        <v>381.33982600000002</v>
      </c>
      <c r="H16" s="78">
        <f t="shared" si="0"/>
        <v>9.2727235288282408</v>
      </c>
      <c r="I16" s="78">
        <f t="shared" si="1"/>
        <v>109.27272352882824</v>
      </c>
      <c r="J16" s="78">
        <f t="shared" si="2"/>
        <v>-13.904411919006243</v>
      </c>
      <c r="K16" s="66"/>
      <c r="M16" s="42">
        <f t="shared" si="3"/>
        <v>1</v>
      </c>
    </row>
    <row r="17" spans="1:14">
      <c r="A17" s="64"/>
      <c r="B17" s="75" t="s">
        <v>15</v>
      </c>
      <c r="C17" s="76">
        <f>+[18]princ_paises!C11/1000000</f>
        <v>238.021772</v>
      </c>
      <c r="D17" s="76">
        <f>+[18]princ_paises!D11/1000000</f>
        <v>297.72078900000002</v>
      </c>
      <c r="E17" s="76">
        <f>+[18]princ_paises!E11/1000000</f>
        <v>337.01780100000002</v>
      </c>
      <c r="F17" s="76">
        <f>+[18]princ_paises!F11/1000000</f>
        <v>250.00607299999999</v>
      </c>
      <c r="G17" s="77">
        <f>+[18]princ_paises!G11/1000000</f>
        <v>334.339539</v>
      </c>
      <c r="H17" s="78">
        <f t="shared" si="0"/>
        <v>33.732566968483212</v>
      </c>
      <c r="I17" s="78">
        <f t="shared" si="1"/>
        <v>133.73256696848321</v>
      </c>
      <c r="J17" s="78">
        <f t="shared" si="2"/>
        <v>-25.818140092843358</v>
      </c>
      <c r="K17" s="66"/>
      <c r="M17" s="42">
        <f t="shared" si="3"/>
        <v>1</v>
      </c>
    </row>
    <row r="18" spans="1:14">
      <c r="A18" s="64"/>
      <c r="B18" s="75" t="s">
        <v>16</v>
      </c>
      <c r="C18" s="76">
        <f>+[18]princ_paises!C12/1000000</f>
        <v>255.62489099999999</v>
      </c>
      <c r="D18" s="76">
        <f>+[18]princ_paises!D12/1000000</f>
        <v>293.21677799999998</v>
      </c>
      <c r="E18" s="76">
        <f>+[18]princ_paises!E12/1000000</f>
        <v>363.60532599999999</v>
      </c>
      <c r="F18" s="76">
        <f>+[18]princ_paises!F12/1000000</f>
        <v>303.77524599999998</v>
      </c>
      <c r="G18" s="77">
        <f>+[18]princ_paises!G12/1000000</f>
        <v>338.61290100000002</v>
      </c>
      <c r="H18" s="78">
        <f t="shared" si="0"/>
        <v>11.468233655878613</v>
      </c>
      <c r="I18" s="78">
        <f t="shared" si="1"/>
        <v>111.46823365587861</v>
      </c>
      <c r="J18" s="78">
        <f t="shared" si="2"/>
        <v>-16.454676464227592</v>
      </c>
      <c r="K18" s="66"/>
      <c r="M18" s="42">
        <f t="shared" si="3"/>
        <v>1</v>
      </c>
    </row>
    <row r="19" spans="1:14">
      <c r="A19" s="64"/>
      <c r="B19" s="75" t="s">
        <v>17</v>
      </c>
      <c r="C19" s="76">
        <f>+[18]princ_paises!C13/1000000</f>
        <v>250.03122200000001</v>
      </c>
      <c r="D19" s="76">
        <f>+[18]princ_paises!D13/1000000</f>
        <v>298.90184099999999</v>
      </c>
      <c r="E19" s="76">
        <f>+[18]princ_paises!E13/1000000</f>
        <v>413.92208599999998</v>
      </c>
      <c r="F19" s="76">
        <f>+[18]princ_paises!F13/1000000</f>
        <v>336.97158400000001</v>
      </c>
      <c r="G19" s="77">
        <f>+[18]princ_paises!G13/1000000</f>
        <v>374.969356</v>
      </c>
      <c r="H19" s="78">
        <f>IF(OR(OR(G19=0,F19=0),G19=""),"",(G19/F19-1)*100)</f>
        <v>11.276254083192971</v>
      </c>
      <c r="I19" s="78">
        <f t="shared" si="1"/>
        <v>111.27625408319297</v>
      </c>
      <c r="J19" s="78">
        <f t="shared" si="2"/>
        <v>-18.590576488349065</v>
      </c>
      <c r="K19" s="66"/>
      <c r="M19" s="42">
        <f t="shared" si="3"/>
        <v>1</v>
      </c>
    </row>
    <row r="20" spans="1:14">
      <c r="A20" s="64"/>
      <c r="B20" s="75" t="s">
        <v>18</v>
      </c>
      <c r="C20" s="76">
        <f>+[18]princ_paises!C14/1000000</f>
        <v>270.18392699999998</v>
      </c>
      <c r="D20" s="76">
        <f>+[18]princ_paises!D14/1000000</f>
        <v>331.51915400000001</v>
      </c>
      <c r="E20" s="76">
        <f>+[18]princ_paises!E14/1000000</f>
        <v>335.01967200000001</v>
      </c>
      <c r="F20" s="76">
        <f>+[18]princ_paises!F14/1000000</f>
        <v>267.13538199999999</v>
      </c>
      <c r="G20" s="77">
        <f>+[18]princ_paises!G14/1000000</f>
        <v>471.35035199999999</v>
      </c>
      <c r="H20" s="78">
        <f>IF(OR(OR(G20=0,F20=0),G20=""),"",(G20/F20-1)*100)</f>
        <v>76.446245522055193</v>
      </c>
      <c r="I20" s="78">
        <f t="shared" si="1"/>
        <v>176.44624552205519</v>
      </c>
      <c r="J20" s="78">
        <f t="shared" si="2"/>
        <v>-20.262777285508182</v>
      </c>
      <c r="K20" s="66"/>
      <c r="M20" s="42">
        <f t="shared" si="3"/>
        <v>1</v>
      </c>
    </row>
    <row r="21" spans="1:14">
      <c r="A21" s="64"/>
      <c r="B21" s="75" t="s">
        <v>19</v>
      </c>
      <c r="C21" s="76">
        <f>+[18]princ_paises!C15/1000000</f>
        <v>244.57331500000001</v>
      </c>
      <c r="D21" s="76">
        <f>+[18]princ_paises!D15/1000000</f>
        <v>302.10800699999999</v>
      </c>
      <c r="E21" s="76">
        <f>+[18]princ_paises!E15/1000000</f>
        <v>326.00401399999998</v>
      </c>
      <c r="F21" s="76">
        <f>+[18]princ_paises!F15/1000000</f>
        <v>316.83633600000002</v>
      </c>
      <c r="G21" s="77">
        <f>+[18]princ_paises!G15/1000000</f>
        <v>433.81035700000001</v>
      </c>
      <c r="H21" s="78">
        <f>IF(OR(OR(G21=0,F21=0),G21=""),"",(G21/F21-1)*100)</f>
        <v>36.919383198523036</v>
      </c>
      <c r="I21" s="78">
        <f t="shared" ref="I21" si="4">IF(OR(OR(G21=0,F21=0),G21=""),"",G21/F21*100)</f>
        <v>136.91938319852304</v>
      </c>
      <c r="J21" s="78">
        <f t="shared" ref="J21" si="5">IF(OR(OR(G21=0,F21=0),G21=""),"",(F21/E21-1)*100)</f>
        <v>-2.8121365401347354</v>
      </c>
      <c r="K21" s="66"/>
      <c r="M21" s="42">
        <f t="shared" si="3"/>
        <v>1</v>
      </c>
    </row>
    <row r="22" spans="1:14">
      <c r="A22" s="64"/>
      <c r="B22" s="75" t="s">
        <v>20</v>
      </c>
      <c r="C22" s="76">
        <f>+[18]princ_paises!C16/1000000</f>
        <v>270.40472799999998</v>
      </c>
      <c r="D22" s="76">
        <f>+[18]princ_paises!D16/1000000</f>
        <v>380.80319700000001</v>
      </c>
      <c r="E22" s="76">
        <f>+[18]princ_paises!E16/1000000</f>
        <v>377.68897900000002</v>
      </c>
      <c r="F22" s="76">
        <f>+[18]princ_paises!F16/1000000</f>
        <v>353.44477599999999</v>
      </c>
      <c r="G22" s="73">
        <f>+[18]princ_paises!G16/1000000</f>
        <v>440.31103100000001</v>
      </c>
      <c r="H22" s="25">
        <f>IF(OR(OR(G22=0,F22=0),G22=""),"",(G22/F22-1)*100)</f>
        <v>24.577037460584794</v>
      </c>
      <c r="I22" s="25">
        <f t="shared" ref="I22" si="6">IF(OR(OR(G22=0,F22=0),G22=""),"",G22/F22*100)</f>
        <v>124.57703746058479</v>
      </c>
      <c r="J22" s="25">
        <f t="shared" ref="J22" si="7">IF(OR(OR(G22=0,F22=0),G22=""),"",(F22/E22-1)*100)</f>
        <v>-6.4190919905025901</v>
      </c>
      <c r="K22" s="66"/>
      <c r="M22" s="42">
        <f t="shared" si="3"/>
        <v>1</v>
      </c>
    </row>
    <row r="23" spans="1:14">
      <c r="A23" s="64"/>
      <c r="B23" s="75" t="s">
        <v>21</v>
      </c>
      <c r="C23" s="76">
        <f>+[18]princ_paises!C17/1000000</f>
        <v>247.513385</v>
      </c>
      <c r="D23" s="76">
        <f>+[18]princ_paises!D17/1000000</f>
        <v>351.12502799999999</v>
      </c>
      <c r="E23" s="76">
        <f>+[18]princ_paises!E17/1000000</f>
        <v>344.33035999999998</v>
      </c>
      <c r="F23" s="76">
        <f>+[18]princ_paises!F17/1000000</f>
        <v>302.899182</v>
      </c>
      <c r="G23" s="77"/>
      <c r="H23" s="78" t="str">
        <f t="shared" si="0"/>
        <v/>
      </c>
      <c r="I23" s="78" t="str">
        <f t="shared" si="1"/>
        <v/>
      </c>
      <c r="J23" s="78" t="str">
        <f t="shared" si="2"/>
        <v/>
      </c>
      <c r="K23" s="66"/>
      <c r="M23" s="42" t="str">
        <f t="shared" si="3"/>
        <v/>
      </c>
    </row>
    <row r="24" spans="1:14">
      <c r="A24" s="64"/>
      <c r="B24" s="75" t="s">
        <v>22</v>
      </c>
      <c r="C24" s="76">
        <f>+[18]princ_paises!C18/1000000</f>
        <v>251.58308199999999</v>
      </c>
      <c r="D24" s="76">
        <f>+[18]princ_paises!D18/1000000</f>
        <v>353.23301500000002</v>
      </c>
      <c r="E24" s="76">
        <f>+[18]princ_paises!E18/1000000</f>
        <v>398.67630800000001</v>
      </c>
      <c r="F24" s="76">
        <f>+[18]princ_paises!F18/1000000</f>
        <v>382.45822299999998</v>
      </c>
      <c r="G24" s="77"/>
      <c r="H24" s="78" t="str">
        <f t="shared" si="0"/>
        <v/>
      </c>
      <c r="I24" s="78" t="str">
        <f t="shared" si="1"/>
        <v/>
      </c>
      <c r="J24" s="78" t="str">
        <f t="shared" si="2"/>
        <v/>
      </c>
      <c r="K24" s="66"/>
      <c r="M24" s="42" t="str">
        <f t="shared" si="3"/>
        <v/>
      </c>
    </row>
    <row r="25" spans="1:14">
      <c r="A25" s="64"/>
      <c r="B25" s="79" t="s">
        <v>32</v>
      </c>
      <c r="C25" s="77">
        <f t="shared" ref="C25:G25" si="8">SUM(C13:C24)</f>
        <v>2995.3313250000006</v>
      </c>
      <c r="D25" s="77">
        <f t="shared" si="8"/>
        <v>3755.2070370000001</v>
      </c>
      <c r="E25" s="77">
        <f t="shared" si="8"/>
        <v>4259.2960969999995</v>
      </c>
      <c r="F25" s="77">
        <f t="shared" si="8"/>
        <v>3841.6389009999998</v>
      </c>
      <c r="G25" s="72">
        <f t="shared" si="8"/>
        <v>3830.1523510000002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23</v>
      </c>
      <c r="C26" s="80"/>
      <c r="D26" s="80">
        <f>(D25/C25-1)*100</f>
        <v>25.368669758094263</v>
      </c>
      <c r="E26" s="80">
        <f>(E25/D25-1)*100</f>
        <v>13.423735496690782</v>
      </c>
      <c r="F26" s="80">
        <f>(F25/E25-1)*100</f>
        <v>-9.8057797929139827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24</v>
      </c>
      <c r="C28" s="77">
        <f t="shared" ref="C28:E28" si="9">SUMPRODUCT(C13:C24,$M$13:$M$24)</f>
        <v>2496.2348580000003</v>
      </c>
      <c r="D28" s="77">
        <f t="shared" si="9"/>
        <v>3050.8489939999999</v>
      </c>
      <c r="E28" s="77">
        <f t="shared" si="9"/>
        <v>3516.2894289999999</v>
      </c>
      <c r="F28" s="77">
        <f>SUMPRODUCT(F13:F24,$M$13:$M$24)</f>
        <v>3156.2814959999996</v>
      </c>
      <c r="G28" s="73">
        <f>SUMPRODUCT(G13:G24,$M$13:$M$24)</f>
        <v>3830.1523510000002</v>
      </c>
      <c r="H28" s="74">
        <f>IF(OR(OR(G28=0,F28=0),G28=""),"",(G28/F28-1)*100)</f>
        <v>21.350150671098469</v>
      </c>
      <c r="I28" s="31">
        <f>IF(OR(OR(G28=0,F28=0),G28=""),"",G28/F28*100)</f>
        <v>121.35015067109846</v>
      </c>
      <c r="J28" s="31">
        <f>IF(OR(OR(G28=0,F28=0),F28=""),"",(F28/E28-1)*100)</f>
        <v>-10.238290683096107</v>
      </c>
      <c r="K28" s="66"/>
    </row>
    <row r="29" spans="1:14" ht="18.75" customHeight="1">
      <c r="A29" s="64"/>
      <c r="B29" s="79" t="s">
        <v>23</v>
      </c>
      <c r="C29" s="80"/>
      <c r="D29" s="80">
        <f t="shared" ref="D29:G29" si="10">(D28/C28-1)*100</f>
        <v>22.218027050722313</v>
      </c>
      <c r="E29" s="80">
        <f t="shared" si="10"/>
        <v>15.25609546442206</v>
      </c>
      <c r="F29" s="80">
        <f t="shared" si="10"/>
        <v>-10.238290683096107</v>
      </c>
      <c r="G29" s="31">
        <f t="shared" si="10"/>
        <v>21.350150671098469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117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tr">
        <f>IF(G32="","",1)</f>
        <v/>
      </c>
      <c r="N32" s="42"/>
    </row>
    <row r="33" spans="1:14" s="117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tr">
        <f>IF(G33="","",1)</f>
        <v/>
      </c>
      <c r="N33" s="42"/>
    </row>
    <row r="34" spans="1:14" s="117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tr">
        <f>IF(G34="","",1)</f>
        <v/>
      </c>
      <c r="N34" s="42"/>
    </row>
    <row r="35" spans="1:14" s="117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tr">
        <f>IF(G35="","",1)</f>
        <v/>
      </c>
      <c r="N35" s="42"/>
    </row>
    <row r="36" spans="1:14" s="117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tr">
        <f>IF(G36="","",1)</f>
        <v/>
      </c>
      <c r="N36" s="42"/>
    </row>
    <row r="37" spans="1:14" s="117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117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tr">
        <f>IF(G38="","",1)</f>
        <v/>
      </c>
      <c r="N38" s="42"/>
    </row>
    <row r="39" spans="1:14" s="117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tr">
        <f>IF(G39="","",1)</f>
        <v/>
      </c>
      <c r="N39" s="42"/>
    </row>
    <row r="40" spans="1:14" s="117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tr">
        <f>IF(G40="","",1)</f>
        <v/>
      </c>
      <c r="N40" s="42"/>
    </row>
    <row r="41" spans="1:14" s="117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tr">
        <f>IF(G41="","",1)</f>
        <v/>
      </c>
      <c r="N41" s="42"/>
    </row>
    <row r="42" spans="1:14" s="117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117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117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25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14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4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Normal="100" zoomScaleSheetLayoutView="100" workbookViewId="0">
      <pane ySplit="11" topLeftCell="A12" activePane="bottomLeft" state="frozen"/>
      <selection activeCell="F11" sqref="F11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15" t="s">
        <v>79</v>
      </c>
      <c r="D7" s="115"/>
      <c r="E7" s="115"/>
      <c r="F7" s="115"/>
      <c r="G7" s="115"/>
      <c r="H7" s="115"/>
      <c r="I7" s="115"/>
      <c r="J7" s="115"/>
      <c r="K7" s="66"/>
    </row>
    <row r="8" spans="1:14">
      <c r="A8" s="64"/>
      <c r="B8" s="44"/>
      <c r="C8" s="112" t="s">
        <v>57</v>
      </c>
      <c r="D8" s="112"/>
      <c r="E8" s="112"/>
      <c r="F8" s="112"/>
      <c r="G8" s="112"/>
      <c r="H8" s="112"/>
      <c r="I8" s="112"/>
      <c r="J8" s="112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16" t="s">
        <v>2</v>
      </c>
      <c r="D10" s="116"/>
      <c r="E10" s="116"/>
      <c r="F10" s="116"/>
      <c r="G10" s="116"/>
      <c r="H10" s="113" t="s">
        <v>1</v>
      </c>
      <c r="I10" s="113" t="s">
        <v>10</v>
      </c>
      <c r="J10" s="113" t="s">
        <v>3</v>
      </c>
      <c r="K10" s="66"/>
    </row>
    <row r="11" spans="1:14">
      <c r="A11" s="64"/>
      <c r="B11" s="46"/>
      <c r="C11" s="108">
        <v>2006</v>
      </c>
      <c r="D11" s="108">
        <v>2007</v>
      </c>
      <c r="E11" s="108">
        <v>2008</v>
      </c>
      <c r="F11" s="108">
        <v>2009</v>
      </c>
      <c r="G11" s="108">
        <v>2010</v>
      </c>
      <c r="H11" s="113"/>
      <c r="I11" s="113"/>
      <c r="J11" s="113"/>
      <c r="K11" s="66"/>
      <c r="N11" s="47"/>
    </row>
    <row r="12" spans="1:14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11</v>
      </c>
      <c r="C13" s="76">
        <f>+[18]princ_paises!C32/1000000</f>
        <v>36.640819999999998</v>
      </c>
      <c r="D13" s="76">
        <f>+[18]princ_paises!D32/1000000</f>
        <v>54.902939000000003</v>
      </c>
      <c r="E13" s="76">
        <f>+[18]princ_paises!E32/1000000</f>
        <v>98.566006999999999</v>
      </c>
      <c r="F13" s="76">
        <f>+[18]princ_paises!F32/1000000</f>
        <v>111.00767500000001</v>
      </c>
      <c r="G13" s="77">
        <f>+[18]princ_paises!G32/1000000</f>
        <v>97.797168999999997</v>
      </c>
      <c r="H13" s="78">
        <f t="shared" ref="H13:H24" si="0">IF(OR(OR(G13=0,F13=0),G13=""),"",(G13/F13-1)*100)</f>
        <v>-11.90053390452508</v>
      </c>
      <c r="I13" s="78">
        <f t="shared" ref="I13:I24" si="1">IF(OR(OR(G13=0,F13=0),G13=""),"",G13/F13*100)</f>
        <v>88.099466095474924</v>
      </c>
      <c r="J13" s="78">
        <f t="shared" ref="J13:J24" si="2">IF(OR(OR(G13=0,F13=0),G13=""),"",(F13/E13-1)*100)</f>
        <v>12.622676294475443</v>
      </c>
      <c r="K13" s="66"/>
      <c r="M13" s="42">
        <f t="shared" ref="M13:M24" si="3">IF(G13="","",1)</f>
        <v>1</v>
      </c>
    </row>
    <row r="14" spans="1:14">
      <c r="A14" s="64"/>
      <c r="B14" s="75" t="s">
        <v>12</v>
      </c>
      <c r="C14" s="76">
        <f>+[18]princ_paises!C33/1000000</f>
        <v>34.213265999999997</v>
      </c>
      <c r="D14" s="76">
        <f>+[18]princ_paises!D33/1000000</f>
        <v>56.304304000000002</v>
      </c>
      <c r="E14" s="76">
        <f>+[18]princ_paises!E33/1000000</f>
        <v>82.274044000000004</v>
      </c>
      <c r="F14" s="76">
        <f>+[18]princ_paises!F33/1000000</f>
        <v>92.533851999999996</v>
      </c>
      <c r="G14" s="77">
        <f>+[18]princ_paises!G33/1000000</f>
        <v>102.45463700000001</v>
      </c>
      <c r="H14" s="78">
        <f t="shared" si="0"/>
        <v>10.721249343429484</v>
      </c>
      <c r="I14" s="78">
        <f t="shared" si="1"/>
        <v>110.72124934342949</v>
      </c>
      <c r="J14" s="78">
        <f t="shared" si="2"/>
        <v>12.470285282196647</v>
      </c>
      <c r="K14" s="66"/>
      <c r="M14" s="42">
        <f t="shared" si="3"/>
        <v>1</v>
      </c>
    </row>
    <row r="15" spans="1:14">
      <c r="A15" s="64"/>
      <c r="B15" s="75" t="s">
        <v>13</v>
      </c>
      <c r="C15" s="76">
        <f>+[18]princ_paises!C34/1000000</f>
        <v>35.550046000000002</v>
      </c>
      <c r="D15" s="76">
        <f>+[18]princ_paises!D34/1000000</f>
        <v>72.105998</v>
      </c>
      <c r="E15" s="76">
        <f>+[18]princ_paises!E34/1000000</f>
        <v>78.978789000000006</v>
      </c>
      <c r="F15" s="76">
        <f>+[18]princ_paises!F34/1000000</f>
        <v>77.059093000000004</v>
      </c>
      <c r="G15" s="77">
        <f>+[18]princ_paises!G34/1000000</f>
        <v>124.831604</v>
      </c>
      <c r="H15" s="78">
        <f t="shared" si="0"/>
        <v>61.994644811093202</v>
      </c>
      <c r="I15" s="78">
        <f>IF(OR(OR(G15=0,F15=0),G15=""),"",G15/F15*100)</f>
        <v>161.9946448110932</v>
      </c>
      <c r="J15" s="78">
        <f t="shared" si="2"/>
        <v>-2.4306475501922442</v>
      </c>
      <c r="K15" s="66"/>
      <c r="M15" s="42">
        <f t="shared" si="3"/>
        <v>1</v>
      </c>
    </row>
    <row r="16" spans="1:14">
      <c r="A16" s="64"/>
      <c r="B16" s="75" t="s">
        <v>14</v>
      </c>
      <c r="C16" s="76">
        <f>+[18]princ_paises!C35/1000000</f>
        <v>47.213970000000003</v>
      </c>
      <c r="D16" s="76">
        <f>+[18]princ_paises!D35/1000000</f>
        <v>66.535871999999998</v>
      </c>
      <c r="E16" s="76">
        <f>+[18]princ_paises!E35/1000000</f>
        <v>98.174037999999996</v>
      </c>
      <c r="F16" s="76">
        <f>+[18]princ_paises!F35/1000000</f>
        <v>80.688473000000002</v>
      </c>
      <c r="G16" s="77">
        <f>+[18]princ_paises!G35/1000000</f>
        <v>120.452528</v>
      </c>
      <c r="H16" s="78">
        <f t="shared" si="0"/>
        <v>49.280961110764856</v>
      </c>
      <c r="I16" s="78">
        <f t="shared" si="1"/>
        <v>149.28096111076485</v>
      </c>
      <c r="J16" s="78">
        <f t="shared" si="2"/>
        <v>-17.81078313189073</v>
      </c>
      <c r="K16" s="66"/>
      <c r="M16" s="42">
        <f t="shared" si="3"/>
        <v>1</v>
      </c>
    </row>
    <row r="17" spans="1:14">
      <c r="A17" s="64"/>
      <c r="B17" s="75" t="s">
        <v>15</v>
      </c>
      <c r="C17" s="76">
        <f>+[18]princ_paises!C36/1000000</f>
        <v>44.999856999999999</v>
      </c>
      <c r="D17" s="76">
        <f>+[18]princ_paises!D36/1000000</f>
        <v>74.097904</v>
      </c>
      <c r="E17" s="76">
        <f>+[18]princ_paises!E36/1000000</f>
        <v>96.040042999999997</v>
      </c>
      <c r="F17" s="76">
        <f>+[18]princ_paises!F36/1000000</f>
        <v>80.439530000000005</v>
      </c>
      <c r="G17" s="77">
        <f>+[18]princ_paises!G36/1000000</f>
        <v>121.29451400000001</v>
      </c>
      <c r="H17" s="78">
        <f t="shared" si="0"/>
        <v>50.789685121233298</v>
      </c>
      <c r="I17" s="78">
        <f t="shared" si="1"/>
        <v>150.7896851212333</v>
      </c>
      <c r="J17" s="78">
        <f t="shared" si="2"/>
        <v>-16.243758866288715</v>
      </c>
      <c r="K17" s="66"/>
      <c r="M17" s="42">
        <f t="shared" si="3"/>
        <v>1</v>
      </c>
    </row>
    <row r="18" spans="1:14">
      <c r="A18" s="64"/>
      <c r="B18" s="75" t="s">
        <v>16</v>
      </c>
      <c r="C18" s="76">
        <f>+[18]princ_paises!C37/1000000</f>
        <v>48.226393000000002</v>
      </c>
      <c r="D18" s="76">
        <f>+[18]princ_paises!D37/1000000</f>
        <v>71.890561000000005</v>
      </c>
      <c r="E18" s="76">
        <f>+[18]princ_paises!E37/1000000</f>
        <v>115.749537</v>
      </c>
      <c r="F18" s="76">
        <f>+[18]princ_paises!F37/1000000</f>
        <v>94.540584999999993</v>
      </c>
      <c r="G18" s="77">
        <f>+[18]princ_paises!G37/1000000</f>
        <v>155.81370899999999</v>
      </c>
      <c r="H18" s="78">
        <f t="shared" si="0"/>
        <v>64.811450024346698</v>
      </c>
      <c r="I18" s="78">
        <f t="shared" si="1"/>
        <v>164.8114500243467</v>
      </c>
      <c r="J18" s="78">
        <f t="shared" si="2"/>
        <v>-18.323141975073309</v>
      </c>
      <c r="K18" s="66"/>
      <c r="M18" s="42">
        <f t="shared" si="3"/>
        <v>1</v>
      </c>
    </row>
    <row r="19" spans="1:14">
      <c r="A19" s="64"/>
      <c r="B19" s="75" t="s">
        <v>17</v>
      </c>
      <c r="C19" s="76">
        <f>+[18]princ_paises!C38/1000000</f>
        <v>43.454549999999998</v>
      </c>
      <c r="D19" s="76">
        <f>+[18]princ_paises!D38/1000000</f>
        <v>82.810235000000006</v>
      </c>
      <c r="E19" s="76">
        <f>+[18]princ_paises!E38/1000000</f>
        <v>128.16223299999999</v>
      </c>
      <c r="F19" s="76">
        <f>+[18]princ_paises!F38/1000000</f>
        <v>100.41503899999999</v>
      </c>
      <c r="G19" s="77">
        <f>+[18]princ_paises!G38/1000000</f>
        <v>169.16412399999999</v>
      </c>
      <c r="H19" s="78">
        <f>IF(OR(OR(G19=0,F19=0),G19=""),"",(G19/F19-1)*100)</f>
        <v>68.464928843975258</v>
      </c>
      <c r="I19" s="78">
        <f t="shared" si="1"/>
        <v>168.46492884397526</v>
      </c>
      <c r="J19" s="78">
        <f t="shared" si="2"/>
        <v>-21.650055051709337</v>
      </c>
      <c r="K19" s="66"/>
      <c r="M19" s="42">
        <f t="shared" si="3"/>
        <v>1</v>
      </c>
    </row>
    <row r="20" spans="1:14">
      <c r="A20" s="64"/>
      <c r="B20" s="75" t="s">
        <v>18</v>
      </c>
      <c r="C20" s="76">
        <f>+[18]princ_paises!C39/1000000</f>
        <v>55.244968</v>
      </c>
      <c r="D20" s="76">
        <f>+[18]princ_paises!D39/1000000</f>
        <v>111.68666399999999</v>
      </c>
      <c r="E20" s="76">
        <f>+[18]princ_paises!E39/1000000</f>
        <v>115.164861</v>
      </c>
      <c r="F20" s="76">
        <f>+[18]princ_paises!F39/1000000</f>
        <v>88.797070000000005</v>
      </c>
      <c r="G20" s="77">
        <f>+[18]princ_paises!G39/1000000</f>
        <v>179.88848200000001</v>
      </c>
      <c r="H20" s="78">
        <f>IF(OR(OR(G20=0,F20=0),G20=""),"",(G20/F20-1)*100)</f>
        <v>102.58380372235254</v>
      </c>
      <c r="I20" s="78">
        <f t="shared" si="1"/>
        <v>202.58380372235254</v>
      </c>
      <c r="J20" s="78">
        <f t="shared" si="2"/>
        <v>-22.895691247350179</v>
      </c>
      <c r="K20" s="66"/>
      <c r="M20" s="42">
        <f t="shared" si="3"/>
        <v>1</v>
      </c>
    </row>
    <row r="21" spans="1:14">
      <c r="A21" s="64"/>
      <c r="B21" s="75" t="s">
        <v>19</v>
      </c>
      <c r="C21" s="76">
        <f>+[18]princ_paises!C40/1000000</f>
        <v>50.988672000000001</v>
      </c>
      <c r="D21" s="76">
        <f>+[18]princ_paises!D40/1000000</f>
        <v>97.471211999999994</v>
      </c>
      <c r="E21" s="76">
        <f>+[18]princ_paises!E40/1000000</f>
        <v>120.868003</v>
      </c>
      <c r="F21" s="76">
        <f>+[18]princ_paises!F40/1000000</f>
        <v>104.199624</v>
      </c>
      <c r="G21" s="77">
        <f>+[18]princ_paises!G40/1000000</f>
        <v>182.05157299999999</v>
      </c>
      <c r="H21" s="78">
        <f>IF(OR(OR(G21=0,F21=0),G21=""),"",(G21/F21-1)*100)</f>
        <v>74.714232174196709</v>
      </c>
      <c r="I21" s="78">
        <f t="shared" ref="I21" si="4">IF(OR(OR(G21=0,F21=0),G21=""),"",G21/F21*100)</f>
        <v>174.7142321741967</v>
      </c>
      <c r="J21" s="78">
        <f t="shared" ref="J21" si="5">IF(OR(OR(G21=0,F21=0),G21=""),"",(F21/E21-1)*100)</f>
        <v>-13.790563744153195</v>
      </c>
      <c r="K21" s="66"/>
      <c r="M21" s="42">
        <f t="shared" si="3"/>
        <v>1</v>
      </c>
    </row>
    <row r="22" spans="1:14">
      <c r="A22" s="64"/>
      <c r="B22" s="75" t="s">
        <v>20</v>
      </c>
      <c r="C22" s="76">
        <f>+[18]princ_paises!C41/1000000</f>
        <v>62.277093999999998</v>
      </c>
      <c r="D22" s="76">
        <f>+[18]princ_paises!D41/1000000</f>
        <v>101.480598</v>
      </c>
      <c r="E22" s="76">
        <f>+[18]princ_paises!E41/1000000</f>
        <v>139.35911300000001</v>
      </c>
      <c r="F22" s="76">
        <f>+[18]princ_paises!F41/1000000</f>
        <v>117.400066</v>
      </c>
      <c r="G22" s="73">
        <f>+[18]princ_paises!G41/1000000</f>
        <v>211.856201</v>
      </c>
      <c r="H22" s="25">
        <f>IF(OR(OR(G22=0,F22=0),G22=""),"",(G22/F22-1)*100)</f>
        <v>80.45662853375228</v>
      </c>
      <c r="I22" s="25">
        <f t="shared" ref="I22" si="6">IF(OR(OR(G22=0,F22=0),G22=""),"",G22/F22*100)</f>
        <v>180.45662853375228</v>
      </c>
      <c r="J22" s="25">
        <f t="shared" ref="J22" si="7">IF(OR(OR(G22=0,F22=0),G22=""),"",(F22/E22-1)*100)</f>
        <v>-15.757166163937919</v>
      </c>
      <c r="K22" s="66"/>
      <c r="M22" s="42">
        <f t="shared" si="3"/>
        <v>1</v>
      </c>
    </row>
    <row r="23" spans="1:14">
      <c r="A23" s="64"/>
      <c r="B23" s="75" t="s">
        <v>21</v>
      </c>
      <c r="C23" s="76">
        <f>+[18]princ_paises!C42/1000000</f>
        <v>61.595522000000003</v>
      </c>
      <c r="D23" s="76">
        <f>+[18]princ_paises!D42/1000000</f>
        <v>94.649005000000002</v>
      </c>
      <c r="E23" s="76">
        <f>+[18]princ_paises!E42/1000000</f>
        <v>153.53624099999999</v>
      </c>
      <c r="F23" s="76">
        <f>+[18]princ_paises!F42/1000000</f>
        <v>102.830968</v>
      </c>
      <c r="G23" s="77"/>
      <c r="H23" s="78" t="str">
        <f t="shared" si="0"/>
        <v/>
      </c>
      <c r="I23" s="78" t="str">
        <f t="shared" si="1"/>
        <v/>
      </c>
      <c r="J23" s="78" t="str">
        <f t="shared" si="2"/>
        <v/>
      </c>
      <c r="K23" s="66"/>
      <c r="M23" s="42" t="str">
        <f t="shared" si="3"/>
        <v/>
      </c>
    </row>
    <row r="24" spans="1:14">
      <c r="A24" s="64"/>
      <c r="B24" s="75" t="s">
        <v>22</v>
      </c>
      <c r="C24" s="76">
        <f>+[18]princ_paises!C43/1000000</f>
        <v>52.760795000000002</v>
      </c>
      <c r="D24" s="76">
        <f>+[18]princ_paises!D43/1000000</f>
        <v>80.336984999999999</v>
      </c>
      <c r="E24" s="76">
        <f>+[18]princ_paises!E43/1000000</f>
        <v>114.886652</v>
      </c>
      <c r="F24" s="76">
        <f>+[18]princ_paises!F43/1000000</f>
        <v>128.283976</v>
      </c>
      <c r="G24" s="77"/>
      <c r="H24" s="78" t="str">
        <f t="shared" si="0"/>
        <v/>
      </c>
      <c r="I24" s="78" t="str">
        <f t="shared" si="1"/>
        <v/>
      </c>
      <c r="J24" s="78" t="str">
        <f t="shared" si="2"/>
        <v/>
      </c>
      <c r="K24" s="66"/>
      <c r="M24" s="42" t="str">
        <f t="shared" si="3"/>
        <v/>
      </c>
    </row>
    <row r="25" spans="1:14">
      <c r="A25" s="64"/>
      <c r="B25" s="79" t="s">
        <v>32</v>
      </c>
      <c r="C25" s="77">
        <f t="shared" ref="C25:G25" si="8">SUM(C13:C24)</f>
        <v>573.16595299999994</v>
      </c>
      <c r="D25" s="77">
        <f t="shared" si="8"/>
        <v>964.27227699999992</v>
      </c>
      <c r="E25" s="77">
        <f t="shared" si="8"/>
        <v>1341.7595610000001</v>
      </c>
      <c r="F25" s="77">
        <f t="shared" si="8"/>
        <v>1178.1959509999999</v>
      </c>
      <c r="G25" s="72">
        <f t="shared" si="8"/>
        <v>1465.6045410000002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23</v>
      </c>
      <c r="C26" s="80"/>
      <c r="D26" s="80">
        <f>(D25/C25-1)*100</f>
        <v>68.236140327756004</v>
      </c>
      <c r="E26" s="80">
        <f>(E25/D25-1)*100</f>
        <v>39.147374969072168</v>
      </c>
      <c r="F26" s="80">
        <f>(F25/E25-1)*100</f>
        <v>-12.190232494270269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24</v>
      </c>
      <c r="C28" s="77">
        <f t="shared" ref="C28:E28" si="9">SUMPRODUCT(C13:C24,$M$13:$M$24)</f>
        <v>458.80963599999995</v>
      </c>
      <c r="D28" s="77">
        <f t="shared" si="9"/>
        <v>789.2862869999999</v>
      </c>
      <c r="E28" s="77">
        <f t="shared" si="9"/>
        <v>1073.3366680000001</v>
      </c>
      <c r="F28" s="77">
        <f>SUMPRODUCT(F13:F24,$M$13:$M$24)</f>
        <v>947.08100699999989</v>
      </c>
      <c r="G28" s="73">
        <f>SUMPRODUCT(G13:G24,$M$13:$M$24)</f>
        <v>1465.6045410000002</v>
      </c>
      <c r="H28" s="74">
        <f>IF(OR(OR(G28=0,F28=0),G28=""),"",(G28/F28-1)*100)</f>
        <v>54.749649730859851</v>
      </c>
      <c r="I28" s="31">
        <f>IF(OR(OR(G28=0,F28=0),G28=""),"",G28/F28*100)</f>
        <v>154.74964973085986</v>
      </c>
      <c r="J28" s="31">
        <f>IF(OR(OR(G28=0,F28=0),F28=""),"",(F28/E28-1)*100)</f>
        <v>-11.762913237209949</v>
      </c>
      <c r="K28" s="66"/>
    </row>
    <row r="29" spans="1:14" ht="18.75" customHeight="1">
      <c r="A29" s="64"/>
      <c r="B29" s="79" t="s">
        <v>23</v>
      </c>
      <c r="C29" s="80"/>
      <c r="D29" s="80">
        <f t="shared" ref="D29:G29" si="10">(D28/C28-1)*100</f>
        <v>72.029143476838399</v>
      </c>
      <c r="E29" s="80">
        <f t="shared" si="10"/>
        <v>35.988257452140473</v>
      </c>
      <c r="F29" s="80">
        <f t="shared" si="10"/>
        <v>-11.762913237209949</v>
      </c>
      <c r="G29" s="31">
        <f t="shared" si="10"/>
        <v>54.749649730859851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117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tr">
        <f>IF(G32="","",1)</f>
        <v/>
      </c>
      <c r="N32" s="42"/>
    </row>
    <row r="33" spans="1:14" s="117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tr">
        <f>IF(G33="","",1)</f>
        <v/>
      </c>
      <c r="N33" s="42"/>
    </row>
    <row r="34" spans="1:14" s="117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tr">
        <f>IF(G34="","",1)</f>
        <v/>
      </c>
      <c r="N34" s="42"/>
    </row>
    <row r="35" spans="1:14" s="117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tr">
        <f>IF(G35="","",1)</f>
        <v/>
      </c>
      <c r="N35" s="42"/>
    </row>
    <row r="36" spans="1:14" s="117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tr">
        <f>IF(G36="","",1)</f>
        <v/>
      </c>
      <c r="N36" s="42"/>
    </row>
    <row r="37" spans="1:14" s="117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117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tr">
        <f>IF(G38="","",1)</f>
        <v/>
      </c>
      <c r="N38" s="42"/>
    </row>
    <row r="39" spans="1:14" s="117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tr">
        <f>IF(G39="","",1)</f>
        <v/>
      </c>
      <c r="N39" s="42"/>
    </row>
    <row r="40" spans="1:14" s="117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tr">
        <f>IF(G40="","",1)</f>
        <v/>
      </c>
      <c r="N40" s="42"/>
    </row>
    <row r="41" spans="1:14" s="117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tr">
        <f>IF(G41="","",1)</f>
        <v/>
      </c>
      <c r="N41" s="42"/>
    </row>
    <row r="42" spans="1:14" s="117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117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117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25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14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4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Normal="100" zoomScaleSheetLayoutView="100" workbookViewId="0">
      <pane ySplit="11" topLeftCell="A12" activePane="bottomLeft" state="frozen"/>
      <selection activeCell="F11" sqref="F11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15" t="s">
        <v>77</v>
      </c>
      <c r="D7" s="115"/>
      <c r="E7" s="115"/>
      <c r="F7" s="115"/>
      <c r="G7" s="115"/>
      <c r="H7" s="115"/>
      <c r="I7" s="115"/>
      <c r="J7" s="115"/>
      <c r="K7" s="66"/>
    </row>
    <row r="8" spans="1:14">
      <c r="A8" s="64"/>
      <c r="B8" s="44"/>
      <c r="C8" s="112" t="s">
        <v>57</v>
      </c>
      <c r="D8" s="112"/>
      <c r="E8" s="112"/>
      <c r="F8" s="112"/>
      <c r="G8" s="112"/>
      <c r="H8" s="112"/>
      <c r="I8" s="112"/>
      <c r="J8" s="112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16" t="s">
        <v>2</v>
      </c>
      <c r="D10" s="116"/>
      <c r="E10" s="116"/>
      <c r="F10" s="116"/>
      <c r="G10" s="116"/>
      <c r="H10" s="113" t="s">
        <v>1</v>
      </c>
      <c r="I10" s="113" t="s">
        <v>10</v>
      </c>
      <c r="J10" s="113" t="s">
        <v>3</v>
      </c>
      <c r="K10" s="66"/>
    </row>
    <row r="11" spans="1:14">
      <c r="A11" s="64"/>
      <c r="B11" s="46"/>
      <c r="C11" s="108">
        <v>2006</v>
      </c>
      <c r="D11" s="108">
        <v>2007</v>
      </c>
      <c r="E11" s="108">
        <v>2008</v>
      </c>
      <c r="F11" s="108">
        <v>2009</v>
      </c>
      <c r="G11" s="108">
        <v>2010</v>
      </c>
      <c r="H11" s="113"/>
      <c r="I11" s="113"/>
      <c r="J11" s="113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11</v>
      </c>
      <c r="C13" s="76">
        <f>+[18]princ_paises!C57/1000000</f>
        <v>48.412751999999998</v>
      </c>
      <c r="D13" s="76">
        <f>+[18]princ_paises!D57/1000000</f>
        <v>71.820668999999995</v>
      </c>
      <c r="E13" s="76">
        <f>+[18]princ_paises!E57/1000000</f>
        <v>79.004312999999996</v>
      </c>
      <c r="F13" s="76">
        <f>+[18]princ_paises!F57/1000000</f>
        <v>90.906913000000003</v>
      </c>
      <c r="G13" s="77">
        <f>+[18]princ_paises!G57/1000000</f>
        <v>68.514049999999997</v>
      </c>
      <c r="H13" s="78">
        <f t="shared" ref="H13:H24" si="0">IF(OR(OR(G13=0,F13=0),G13=""),"",(G13/F13-1)*100)</f>
        <v>-24.632739426538443</v>
      </c>
      <c r="I13" s="78">
        <f t="shared" ref="I13:I24" si="1">IF(OR(OR(G13=0,F13=0),G13=""),"",G13/F13*100)</f>
        <v>75.367260573461564</v>
      </c>
      <c r="J13" s="78">
        <f t="shared" ref="J13:J24" si="2">IF(OR(OR(G13=0,F13=0),G13=""),"",(F13/E13-1)*100)</f>
        <v>15.065759764280218</v>
      </c>
      <c r="K13" s="66"/>
      <c r="M13" s="42">
        <f t="shared" ref="M13:M24" si="3">IF(G13="","",1)</f>
        <v>1</v>
      </c>
    </row>
    <row r="14" spans="1:14">
      <c r="A14" s="64"/>
      <c r="B14" s="75" t="s">
        <v>12</v>
      </c>
      <c r="C14" s="76">
        <f>+[18]princ_paises!C58/1000000</f>
        <v>48.610934999999998</v>
      </c>
      <c r="D14" s="76">
        <f>+[18]princ_paises!D58/1000000</f>
        <v>78.882541000000003</v>
      </c>
      <c r="E14" s="76">
        <f>+[18]princ_paises!E58/1000000</f>
        <v>87.694115999999994</v>
      </c>
      <c r="F14" s="76">
        <f>+[18]princ_paises!F58/1000000</f>
        <v>72.042342000000005</v>
      </c>
      <c r="G14" s="77">
        <f>+[18]princ_paises!G58/1000000</f>
        <v>101.843254</v>
      </c>
      <c r="H14" s="78">
        <f t="shared" si="0"/>
        <v>41.365829000950583</v>
      </c>
      <c r="I14" s="78">
        <f t="shared" si="1"/>
        <v>141.36582900095058</v>
      </c>
      <c r="J14" s="78">
        <f t="shared" si="2"/>
        <v>-17.848146162964905</v>
      </c>
      <c r="K14" s="66"/>
      <c r="M14" s="42">
        <f t="shared" si="3"/>
        <v>1</v>
      </c>
    </row>
    <row r="15" spans="1:14">
      <c r="A15" s="64"/>
      <c r="B15" s="75" t="s">
        <v>13</v>
      </c>
      <c r="C15" s="76">
        <f>+[18]princ_paises!C59/1000000</f>
        <v>70.186449999999994</v>
      </c>
      <c r="D15" s="76">
        <f>+[18]princ_paises!D59/1000000</f>
        <v>89.596866000000006</v>
      </c>
      <c r="E15" s="76">
        <f>+[18]princ_paises!E59/1000000</f>
        <v>90.000680000000003</v>
      </c>
      <c r="F15" s="76">
        <f>+[18]princ_paises!F59/1000000</f>
        <v>62.628124999999997</v>
      </c>
      <c r="G15" s="77">
        <f>+[18]princ_paises!G59/1000000</f>
        <v>138.79317699999999</v>
      </c>
      <c r="H15" s="78">
        <f t="shared" si="0"/>
        <v>121.61477291552316</v>
      </c>
      <c r="I15" s="78">
        <f>IF(OR(OR(G15=0,F15=0),G15=""),"",G15/F15*100)</f>
        <v>221.61477291552316</v>
      </c>
      <c r="J15" s="78">
        <f t="shared" si="2"/>
        <v>-30.413720207447327</v>
      </c>
      <c r="K15" s="66"/>
      <c r="M15" s="42">
        <f t="shared" si="3"/>
        <v>1</v>
      </c>
    </row>
    <row r="16" spans="1:14">
      <c r="A16" s="64"/>
      <c r="B16" s="75" t="s">
        <v>14</v>
      </c>
      <c r="C16" s="76">
        <f>+[18]princ_paises!C60/1000000</f>
        <v>84.978437</v>
      </c>
      <c r="D16" s="76">
        <f>+[18]princ_paises!D60/1000000</f>
        <v>64.837641000000005</v>
      </c>
      <c r="E16" s="76">
        <f>+[18]princ_paises!E60/1000000</f>
        <v>107.613038</v>
      </c>
      <c r="F16" s="76">
        <f>+[18]princ_paises!F60/1000000</f>
        <v>61.256332999999998</v>
      </c>
      <c r="G16" s="77">
        <f>+[18]princ_paises!G60/1000000</f>
        <v>140.24274500000001</v>
      </c>
      <c r="H16" s="78">
        <f t="shared" si="0"/>
        <v>128.9440750558804</v>
      </c>
      <c r="I16" s="78">
        <f t="shared" si="1"/>
        <v>228.9440750558804</v>
      </c>
      <c r="J16" s="78">
        <f t="shared" si="2"/>
        <v>-43.077219881107723</v>
      </c>
      <c r="K16" s="66"/>
      <c r="M16" s="42">
        <f t="shared" si="3"/>
        <v>1</v>
      </c>
    </row>
    <row r="17" spans="1:14">
      <c r="A17" s="64"/>
      <c r="B17" s="75" t="s">
        <v>15</v>
      </c>
      <c r="C17" s="76">
        <f>+[18]princ_paises!C61/1000000</f>
        <v>117.84246899999999</v>
      </c>
      <c r="D17" s="76">
        <f>+[18]princ_paises!D61/1000000</f>
        <v>106.686482</v>
      </c>
      <c r="E17" s="76">
        <f>+[18]princ_paises!E61/1000000</f>
        <v>112.666393</v>
      </c>
      <c r="F17" s="76">
        <f>+[18]princ_paises!F61/1000000</f>
        <v>42.971876999999999</v>
      </c>
      <c r="G17" s="77">
        <f>+[18]princ_paises!G61/1000000</f>
        <v>131.29288299999999</v>
      </c>
      <c r="H17" s="78">
        <f t="shared" si="0"/>
        <v>205.53211115260333</v>
      </c>
      <c r="I17" s="78">
        <f t="shared" si="1"/>
        <v>305.53211115260336</v>
      </c>
      <c r="J17" s="78">
        <f t="shared" si="2"/>
        <v>-61.85918812542441</v>
      </c>
      <c r="K17" s="66"/>
      <c r="M17" s="42">
        <f t="shared" si="3"/>
        <v>1</v>
      </c>
    </row>
    <row r="18" spans="1:14">
      <c r="A18" s="64"/>
      <c r="B18" s="75" t="s">
        <v>16</v>
      </c>
      <c r="C18" s="76">
        <f>+[18]princ_paises!C62/1000000</f>
        <v>73.571355999999994</v>
      </c>
      <c r="D18" s="76">
        <f>+[18]princ_paises!D62/1000000</f>
        <v>97.262258000000003</v>
      </c>
      <c r="E18" s="76">
        <f>+[18]princ_paises!E62/1000000</f>
        <v>73.837749000000002</v>
      </c>
      <c r="F18" s="76">
        <f>+[18]princ_paises!F62/1000000</f>
        <v>50.474806000000001</v>
      </c>
      <c r="G18" s="77">
        <f>+[18]princ_paises!G62/1000000</f>
        <v>143.268125</v>
      </c>
      <c r="H18" s="78">
        <f t="shared" si="0"/>
        <v>183.84086310306969</v>
      </c>
      <c r="I18" s="78">
        <f t="shared" si="1"/>
        <v>283.84086310306969</v>
      </c>
      <c r="J18" s="78">
        <f t="shared" si="2"/>
        <v>-31.640919876904693</v>
      </c>
      <c r="K18" s="66"/>
      <c r="M18" s="42">
        <f t="shared" si="3"/>
        <v>1</v>
      </c>
    </row>
    <row r="19" spans="1:14">
      <c r="A19" s="64"/>
      <c r="B19" s="75" t="s">
        <v>17</v>
      </c>
      <c r="C19" s="76">
        <f>+[18]princ_paises!C63/1000000</f>
        <v>82.387808000000007</v>
      </c>
      <c r="D19" s="76">
        <f>+[18]princ_paises!D63/1000000</f>
        <v>91.361442999999994</v>
      </c>
      <c r="E19" s="76">
        <f>+[18]princ_paises!E63/1000000</f>
        <v>100.508644</v>
      </c>
      <c r="F19" s="76">
        <f>+[18]princ_paises!F63/1000000</f>
        <v>65.159738000000004</v>
      </c>
      <c r="G19" s="77">
        <f>+[18]princ_paises!G63/1000000</f>
        <v>140.964528</v>
      </c>
      <c r="H19" s="78">
        <f>IF(OR(OR(G19=0,F19=0),G19=""),"",(G19/F19-1)*100)</f>
        <v>116.33685512977353</v>
      </c>
      <c r="I19" s="78">
        <f t="shared" si="1"/>
        <v>216.33685512977351</v>
      </c>
      <c r="J19" s="78">
        <f t="shared" si="2"/>
        <v>-35.170015824708564</v>
      </c>
      <c r="K19" s="66"/>
      <c r="M19" s="42">
        <f t="shared" si="3"/>
        <v>1</v>
      </c>
    </row>
    <row r="20" spans="1:14">
      <c r="A20" s="64"/>
      <c r="B20" s="75" t="s">
        <v>18</v>
      </c>
      <c r="C20" s="76">
        <f>+[18]princ_paises!C64/1000000</f>
        <v>74.960303999999994</v>
      </c>
      <c r="D20" s="76">
        <f>+[18]princ_paises!D64/1000000</f>
        <v>94.053914000000006</v>
      </c>
      <c r="E20" s="76">
        <f>+[18]princ_paises!E64/1000000</f>
        <v>70.886898000000002</v>
      </c>
      <c r="F20" s="76">
        <f>+[18]princ_paises!F64/1000000</f>
        <v>55.792810000000003</v>
      </c>
      <c r="G20" s="77">
        <f>+[18]princ_paises!G64/1000000</f>
        <v>132.72178600000001</v>
      </c>
      <c r="H20" s="78">
        <f>IF(OR(OR(G20=0,F20=0),G20=""),"",(G20/F20-1)*100)</f>
        <v>137.88331507231848</v>
      </c>
      <c r="I20" s="78">
        <f t="shared" si="1"/>
        <v>237.88331507231848</v>
      </c>
      <c r="J20" s="78">
        <f t="shared" si="2"/>
        <v>-21.293198638766786</v>
      </c>
      <c r="K20" s="66"/>
      <c r="M20" s="42">
        <f t="shared" si="3"/>
        <v>1</v>
      </c>
    </row>
    <row r="21" spans="1:14">
      <c r="A21" s="64"/>
      <c r="B21" s="75" t="s">
        <v>19</v>
      </c>
      <c r="C21" s="76">
        <f>+[18]princ_paises!C65/1000000</f>
        <v>76.342457999999993</v>
      </c>
      <c r="D21" s="76">
        <f>+[18]princ_paises!D65/1000000</f>
        <v>101.324786</v>
      </c>
      <c r="E21" s="76">
        <f>+[18]princ_paises!E65/1000000</f>
        <v>69.062175999999994</v>
      </c>
      <c r="F21" s="76">
        <f>+[18]princ_paises!F65/1000000</f>
        <v>62.706408000000003</v>
      </c>
      <c r="G21" s="73">
        <f>+[18]princ_paises!G65/1000000</f>
        <v>154.76434900000001</v>
      </c>
      <c r="H21" s="25">
        <f>IF(OR(OR(G21=0,F21=0),G21=""),"",(G21/F21-1)*100)</f>
        <v>146.80786850364638</v>
      </c>
      <c r="I21" s="25">
        <f t="shared" ref="I21" si="4">IF(OR(OR(G21=0,F21=0),G21=""),"",G21/F21*100)</f>
        <v>246.80786850364638</v>
      </c>
      <c r="J21" s="25">
        <f t="shared" ref="J21" si="5">IF(OR(OR(G21=0,F21=0),G21=""),"",(F21/E21-1)*100)</f>
        <v>-9.2029651657659741</v>
      </c>
      <c r="K21" s="66"/>
      <c r="M21" s="42">
        <f t="shared" si="3"/>
        <v>1</v>
      </c>
    </row>
    <row r="22" spans="1:14">
      <c r="A22" s="64"/>
      <c r="B22" s="75" t="s">
        <v>20</v>
      </c>
      <c r="C22" s="76">
        <f>+[18]princ_paises!C66/1000000</f>
        <v>79.904728000000006</v>
      </c>
      <c r="D22" s="76">
        <f>+[18]princ_paises!D66/1000000</f>
        <v>104.140991</v>
      </c>
      <c r="E22" s="76">
        <f>+[18]princ_paises!E66/1000000</f>
        <v>113.615318</v>
      </c>
      <c r="F22" s="76">
        <f>+[18]princ_paises!F66/1000000</f>
        <v>129.07881599999999</v>
      </c>
      <c r="G22" s="77"/>
      <c r="H22" s="78" t="str">
        <f t="shared" si="0"/>
        <v/>
      </c>
      <c r="I22" s="78" t="str">
        <f t="shared" si="1"/>
        <v/>
      </c>
      <c r="J22" s="78" t="str">
        <f t="shared" si="2"/>
        <v/>
      </c>
      <c r="K22" s="66"/>
      <c r="M22" s="42" t="str">
        <f t="shared" si="3"/>
        <v/>
      </c>
    </row>
    <row r="23" spans="1:14">
      <c r="A23" s="64"/>
      <c r="B23" s="75" t="s">
        <v>21</v>
      </c>
      <c r="C23" s="76">
        <f>+[18]princ_paises!C67/1000000</f>
        <v>91.443167000000003</v>
      </c>
      <c r="D23" s="76">
        <f>+[18]princ_paises!D67/1000000</f>
        <v>114.19716200000001</v>
      </c>
      <c r="E23" s="76">
        <f>+[18]princ_paises!E67/1000000</f>
        <v>97.726419000000007</v>
      </c>
      <c r="F23" s="76">
        <f>+[18]princ_paises!F67/1000000</f>
        <v>78.472666000000004</v>
      </c>
      <c r="G23" s="77"/>
      <c r="H23" s="78" t="str">
        <f t="shared" si="0"/>
        <v/>
      </c>
      <c r="I23" s="78" t="str">
        <f t="shared" si="1"/>
        <v/>
      </c>
      <c r="J23" s="78" t="str">
        <f t="shared" si="2"/>
        <v/>
      </c>
      <c r="K23" s="66"/>
      <c r="M23" s="42" t="str">
        <f t="shared" si="3"/>
        <v/>
      </c>
    </row>
    <row r="24" spans="1:14">
      <c r="A24" s="64"/>
      <c r="B24" s="75" t="s">
        <v>22</v>
      </c>
      <c r="C24" s="76">
        <f>+[18]princ_paises!C68/1000000</f>
        <v>81.190652999999998</v>
      </c>
      <c r="D24" s="76">
        <f>+[18]princ_paises!D68/1000000</f>
        <v>107.06538399999999</v>
      </c>
      <c r="E24" s="76">
        <f>+[18]princ_paises!E68/1000000</f>
        <v>100.089341</v>
      </c>
      <c r="F24" s="76">
        <f>+[18]princ_paises!F68/1000000</f>
        <v>97.220270999999997</v>
      </c>
      <c r="G24" s="77"/>
      <c r="H24" s="78" t="str">
        <f t="shared" si="0"/>
        <v/>
      </c>
      <c r="I24" s="78" t="str">
        <f t="shared" si="1"/>
        <v/>
      </c>
      <c r="J24" s="78" t="str">
        <f t="shared" si="2"/>
        <v/>
      </c>
      <c r="K24" s="66"/>
      <c r="M24" s="42" t="str">
        <f t="shared" si="3"/>
        <v/>
      </c>
    </row>
    <row r="25" spans="1:14">
      <c r="A25" s="64"/>
      <c r="B25" s="79" t="s">
        <v>32</v>
      </c>
      <c r="C25" s="77">
        <f t="shared" ref="C25:G25" si="6">SUM(C13:C24)</f>
        <v>929.83151699999985</v>
      </c>
      <c r="D25" s="77">
        <f t="shared" si="6"/>
        <v>1121.230137</v>
      </c>
      <c r="E25" s="77">
        <f t="shared" si="6"/>
        <v>1102.7050850000001</v>
      </c>
      <c r="F25" s="77">
        <f t="shared" si="6"/>
        <v>868.71110499999998</v>
      </c>
      <c r="G25" s="72">
        <f t="shared" si="6"/>
        <v>1152.4048970000001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23</v>
      </c>
      <c r="C26" s="80"/>
      <c r="D26" s="80">
        <f>(D25/C25-1)*100</f>
        <v>20.584225905519627</v>
      </c>
      <c r="E26" s="80">
        <f>(E25/D25-1)*100</f>
        <v>-1.6522078196690493</v>
      </c>
      <c r="F26" s="80">
        <f>(F25/E25-1)*100</f>
        <v>-21.219996459887557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24</v>
      </c>
      <c r="C28" s="77">
        <f t="shared" ref="C28:E28" si="7">SUMPRODUCT(C13:C24,$M$13:$M$24)</f>
        <v>677.29296899999986</v>
      </c>
      <c r="D28" s="77">
        <f t="shared" si="7"/>
        <v>795.82659999999998</v>
      </c>
      <c r="E28" s="77">
        <f t="shared" si="7"/>
        <v>791.27400699999998</v>
      </c>
      <c r="F28" s="77">
        <f>SUMPRODUCT(F13:F24,$M$13:$M$24)</f>
        <v>563.93935199999999</v>
      </c>
      <c r="G28" s="73">
        <f>SUMPRODUCT(G13:G24,$M$13:$M$24)</f>
        <v>1152.4048970000001</v>
      </c>
      <c r="H28" s="74">
        <f>IF(OR(OR(G28=0,F28=0),G28=""),"",(G28/F28-1)*100)</f>
        <v>104.34908344541279</v>
      </c>
      <c r="I28" s="31">
        <f>IF(OR(OR(G28=0,F28=0),G28=""),"",G28/F28*100)</f>
        <v>204.34908344541279</v>
      </c>
      <c r="J28" s="31">
        <f>IF(OR(OR(G28=0,F28=0),F28=""),"",(F28/E28-1)*100)</f>
        <v>-28.730206349366405</v>
      </c>
      <c r="K28" s="66"/>
    </row>
    <row r="29" spans="1:14" ht="18.75" customHeight="1">
      <c r="A29" s="64"/>
      <c r="B29" s="79" t="s">
        <v>23</v>
      </c>
      <c r="C29" s="80"/>
      <c r="D29" s="80">
        <f t="shared" ref="D29:G29" si="8">(D28/C28-1)*100</f>
        <v>17.501086889328121</v>
      </c>
      <c r="E29" s="80">
        <f t="shared" si="8"/>
        <v>-0.57205841071409358</v>
      </c>
      <c r="F29" s="80">
        <f t="shared" si="8"/>
        <v>-28.730206349366405</v>
      </c>
      <c r="G29" s="31">
        <f t="shared" si="8"/>
        <v>104.34908344541279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117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tr">
        <f>IF(G32="","",1)</f>
        <v/>
      </c>
      <c r="N32" s="42"/>
    </row>
    <row r="33" spans="1:14" s="117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tr">
        <f>IF(G33="","",1)</f>
        <v/>
      </c>
      <c r="N33" s="42"/>
    </row>
    <row r="34" spans="1:14" s="117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tr">
        <f>IF(G34="","",1)</f>
        <v/>
      </c>
      <c r="N34" s="42"/>
    </row>
    <row r="35" spans="1:14" s="117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tr">
        <f>IF(G35="","",1)</f>
        <v/>
      </c>
      <c r="N35" s="42"/>
    </row>
    <row r="36" spans="1:14" s="117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tr">
        <f>IF(G36="","",1)</f>
        <v/>
      </c>
      <c r="N36" s="42"/>
    </row>
    <row r="37" spans="1:14" s="117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117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tr">
        <f>IF(G38="","",1)</f>
        <v/>
      </c>
      <c r="N38" s="42"/>
    </row>
    <row r="39" spans="1:14" s="117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tr">
        <f>IF(G39="","",1)</f>
        <v/>
      </c>
      <c r="N39" s="42"/>
    </row>
    <row r="40" spans="1:14" s="117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tr">
        <f>IF(G40="","",1)</f>
        <v/>
      </c>
      <c r="N40" s="42"/>
    </row>
    <row r="41" spans="1:14" s="117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tr">
        <f>IF(G41="","",1)</f>
        <v/>
      </c>
      <c r="N41" s="42"/>
    </row>
    <row r="42" spans="1:14" s="117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117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117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25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14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4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Normal="100" zoomScaleSheetLayoutView="100" workbookViewId="0">
      <pane ySplit="11" topLeftCell="A12" activePane="bottomLeft" state="frozen"/>
      <selection activeCell="F11" sqref="F11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15" t="s">
        <v>80</v>
      </c>
      <c r="D7" s="115"/>
      <c r="E7" s="115"/>
      <c r="F7" s="115"/>
      <c r="G7" s="115"/>
      <c r="H7" s="115"/>
      <c r="I7" s="115"/>
      <c r="J7" s="115"/>
      <c r="K7" s="66"/>
    </row>
    <row r="8" spans="1:14">
      <c r="A8" s="64"/>
      <c r="B8" s="44"/>
      <c r="C8" s="112" t="s">
        <v>57</v>
      </c>
      <c r="D8" s="112"/>
      <c r="E8" s="112"/>
      <c r="F8" s="112"/>
      <c r="G8" s="112"/>
      <c r="H8" s="112"/>
      <c r="I8" s="112"/>
      <c r="J8" s="112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16" t="s">
        <v>2</v>
      </c>
      <c r="D10" s="116"/>
      <c r="E10" s="116"/>
      <c r="F10" s="116"/>
      <c r="G10" s="116"/>
      <c r="H10" s="113" t="s">
        <v>1</v>
      </c>
      <c r="I10" s="113" t="s">
        <v>10</v>
      </c>
      <c r="J10" s="113" t="s">
        <v>3</v>
      </c>
      <c r="K10" s="66"/>
    </row>
    <row r="11" spans="1:14">
      <c r="A11" s="64"/>
      <c r="B11" s="46"/>
      <c r="C11" s="108">
        <v>2006</v>
      </c>
      <c r="D11" s="108">
        <v>2007</v>
      </c>
      <c r="E11" s="108">
        <v>2008</v>
      </c>
      <c r="F11" s="108">
        <v>2009</v>
      </c>
      <c r="G11" s="108">
        <v>2010</v>
      </c>
      <c r="H11" s="113"/>
      <c r="I11" s="113"/>
      <c r="J11" s="113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11</v>
      </c>
      <c r="C13" s="76">
        <f>+[18]princ_paises!C82/1000000</f>
        <v>43.998868999999999</v>
      </c>
      <c r="D13" s="76">
        <f>+[18]princ_paises!D82/1000000</f>
        <v>67.826542000000003</v>
      </c>
      <c r="E13" s="76">
        <f>+[18]princ_paises!E82/1000000</f>
        <v>94.907622000000003</v>
      </c>
      <c r="F13" s="76">
        <f>+[18]princ_paises!F82/1000000</f>
        <v>64.763853999999995</v>
      </c>
      <c r="G13" s="77">
        <f>+[18]princ_paises!G82/1000000</f>
        <v>47.685760999999999</v>
      </c>
      <c r="H13" s="78">
        <f t="shared" ref="H13:H24" si="0">IF(OR(OR(G13=0,F13=0),G13=""),"",(G13/F13-1)*100)</f>
        <v>-26.369791087479133</v>
      </c>
      <c r="I13" s="78">
        <f t="shared" ref="I13:I24" si="1">IF(OR(OR(G13=0,F13=0),G13=""),"",G13/F13*100)</f>
        <v>73.630208912520871</v>
      </c>
      <c r="J13" s="78">
        <f t="shared" ref="J13:J24" si="2">IF(OR(OR(G13=0,F13=0),G13=""),"",(F13/E13-1)*100)</f>
        <v>-31.761166663726968</v>
      </c>
      <c r="K13" s="66"/>
      <c r="M13" s="42">
        <f t="shared" ref="M13:M24" si="3">IF(G13="","",1)</f>
        <v>1</v>
      </c>
    </row>
    <row r="14" spans="1:14">
      <c r="A14" s="64"/>
      <c r="B14" s="75" t="s">
        <v>12</v>
      </c>
      <c r="C14" s="76">
        <f>+[18]princ_paises!C83/1000000</f>
        <v>42.521554000000002</v>
      </c>
      <c r="D14" s="76">
        <f>+[18]princ_paises!D83/1000000</f>
        <v>131.969931</v>
      </c>
      <c r="E14" s="76">
        <f>+[18]princ_paises!E83/1000000</f>
        <v>77.616759999999999</v>
      </c>
      <c r="F14" s="76">
        <f>+[18]princ_paises!F83/1000000</f>
        <v>117.578092</v>
      </c>
      <c r="G14" s="77">
        <f>+[18]princ_paises!G83/1000000</f>
        <v>61.493138999999999</v>
      </c>
      <c r="H14" s="78">
        <f t="shared" si="0"/>
        <v>-47.700172749869083</v>
      </c>
      <c r="I14" s="78">
        <f t="shared" si="1"/>
        <v>52.299827250130917</v>
      </c>
      <c r="J14" s="78">
        <f t="shared" si="2"/>
        <v>51.485442061740287</v>
      </c>
      <c r="K14" s="66"/>
      <c r="M14" s="42">
        <f t="shared" si="3"/>
        <v>1</v>
      </c>
    </row>
    <row r="15" spans="1:14">
      <c r="A15" s="64"/>
      <c r="B15" s="75" t="s">
        <v>13</v>
      </c>
      <c r="C15" s="76">
        <f>+[18]princ_paises!C84/1000000</f>
        <v>55.060431999999999</v>
      </c>
      <c r="D15" s="76">
        <f>+[18]princ_paises!D84/1000000</f>
        <v>83.981835000000004</v>
      </c>
      <c r="E15" s="76">
        <f>+[18]princ_paises!E84/1000000</f>
        <v>68.182661999999993</v>
      </c>
      <c r="F15" s="76">
        <f>+[18]princ_paises!F84/1000000</f>
        <v>99.491810999999998</v>
      </c>
      <c r="G15" s="77">
        <f>+[18]princ_paises!G84/1000000</f>
        <v>88.540310000000005</v>
      </c>
      <c r="H15" s="78">
        <f t="shared" si="0"/>
        <v>-11.007439597214685</v>
      </c>
      <c r="I15" s="78">
        <f>IF(OR(OR(G15=0,F15=0),G15=""),"",G15/F15*100)</f>
        <v>88.992560402785315</v>
      </c>
      <c r="J15" s="78">
        <f t="shared" si="2"/>
        <v>45.919516900058866</v>
      </c>
      <c r="K15" s="66"/>
      <c r="M15" s="42">
        <f t="shared" si="3"/>
        <v>1</v>
      </c>
    </row>
    <row r="16" spans="1:14">
      <c r="A16" s="64"/>
      <c r="B16" s="75" t="s">
        <v>14</v>
      </c>
      <c r="C16" s="76">
        <f>+[18]princ_paises!C85/1000000</f>
        <v>60.223500000000001</v>
      </c>
      <c r="D16" s="76">
        <f>+[18]princ_paises!D85/1000000</f>
        <v>67.819824999999994</v>
      </c>
      <c r="E16" s="76">
        <f>+[18]princ_paises!E85/1000000</f>
        <v>62.527484999999999</v>
      </c>
      <c r="F16" s="76">
        <f>+[18]princ_paises!F85/1000000</f>
        <v>55.884469000000003</v>
      </c>
      <c r="G16" s="77">
        <f>+[18]princ_paises!G85/1000000</f>
        <v>58.483390999999997</v>
      </c>
      <c r="H16" s="78">
        <f t="shared" si="0"/>
        <v>4.6505264280134684</v>
      </c>
      <c r="I16" s="78">
        <f t="shared" si="1"/>
        <v>104.65052642801346</v>
      </c>
      <c r="J16" s="78">
        <f t="shared" si="2"/>
        <v>-10.624153522247049</v>
      </c>
      <c r="K16" s="66"/>
      <c r="M16" s="42">
        <f t="shared" si="3"/>
        <v>1</v>
      </c>
    </row>
    <row r="17" spans="1:14">
      <c r="A17" s="64"/>
      <c r="B17" s="75" t="s">
        <v>15</v>
      </c>
      <c r="C17" s="76">
        <f>+[18]princ_paises!C86/1000000</f>
        <v>109.682969</v>
      </c>
      <c r="D17" s="76">
        <f>+[18]princ_paises!D86/1000000</f>
        <v>72.942409999999995</v>
      </c>
      <c r="E17" s="76">
        <f>+[18]princ_paises!E86/1000000</f>
        <v>55.671126999999998</v>
      </c>
      <c r="F17" s="76">
        <f>+[18]princ_paises!F86/1000000</f>
        <v>49.316144999999999</v>
      </c>
      <c r="G17" s="77">
        <f>+[18]princ_paises!G86/1000000</f>
        <v>63.380879</v>
      </c>
      <c r="H17" s="78">
        <f t="shared" si="0"/>
        <v>28.519532497927401</v>
      </c>
      <c r="I17" s="78">
        <f t="shared" si="1"/>
        <v>128.5195324979274</v>
      </c>
      <c r="J17" s="78">
        <f t="shared" si="2"/>
        <v>-11.415220676240311</v>
      </c>
      <c r="K17" s="66"/>
      <c r="M17" s="42">
        <f t="shared" si="3"/>
        <v>1</v>
      </c>
    </row>
    <row r="18" spans="1:14">
      <c r="A18" s="64"/>
      <c r="B18" s="75" t="s">
        <v>16</v>
      </c>
      <c r="C18" s="76">
        <f>+[18]princ_paises!C87/1000000</f>
        <v>75.789961000000005</v>
      </c>
      <c r="D18" s="76">
        <f>+[18]princ_paises!D87/1000000</f>
        <v>53.560025000000003</v>
      </c>
      <c r="E18" s="76">
        <f>+[18]princ_paises!E87/1000000</f>
        <v>93.933080000000004</v>
      </c>
      <c r="F18" s="76">
        <f>+[18]princ_paises!F87/1000000</f>
        <v>72.568822999999995</v>
      </c>
      <c r="G18" s="77">
        <f>+[18]princ_paises!G87/1000000</f>
        <v>75.652925999999994</v>
      </c>
      <c r="H18" s="78">
        <f t="shared" si="0"/>
        <v>4.2499008148444206</v>
      </c>
      <c r="I18" s="78">
        <f t="shared" si="1"/>
        <v>104.24990081484442</v>
      </c>
      <c r="J18" s="78">
        <f t="shared" si="2"/>
        <v>-22.744124859953494</v>
      </c>
      <c r="K18" s="66"/>
      <c r="M18" s="42">
        <f t="shared" si="3"/>
        <v>1</v>
      </c>
    </row>
    <row r="19" spans="1:14">
      <c r="A19" s="64"/>
      <c r="B19" s="75" t="s">
        <v>17</v>
      </c>
      <c r="C19" s="76">
        <f>+[18]princ_paises!C88/1000000</f>
        <v>83.459813999999994</v>
      </c>
      <c r="D19" s="76">
        <f>+[18]princ_paises!D88/1000000</f>
        <v>58.616193000000003</v>
      </c>
      <c r="E19" s="76">
        <f>+[18]princ_paises!E88/1000000</f>
        <v>66.197625000000002</v>
      </c>
      <c r="F19" s="76">
        <f>+[18]princ_paises!F88/1000000</f>
        <v>79.115898000000001</v>
      </c>
      <c r="G19" s="77">
        <f>+[18]princ_paises!G88/1000000</f>
        <v>61.434530000000002</v>
      </c>
      <c r="H19" s="78">
        <f>IF(OR(OR(G19=0,F19=0),G19=""),"",(G19/F19-1)*100)</f>
        <v>-22.348691536055121</v>
      </c>
      <c r="I19" s="78">
        <f t="shared" si="1"/>
        <v>77.651308463944872</v>
      </c>
      <c r="J19" s="78">
        <f t="shared" si="2"/>
        <v>19.514707665116383</v>
      </c>
      <c r="K19" s="66"/>
      <c r="M19" s="42">
        <f t="shared" si="3"/>
        <v>1</v>
      </c>
    </row>
    <row r="20" spans="1:14">
      <c r="A20" s="64"/>
      <c r="B20" s="75" t="s">
        <v>18</v>
      </c>
      <c r="C20" s="76">
        <f>+[18]princ_paises!C89/1000000</f>
        <v>74.149949000000007</v>
      </c>
      <c r="D20" s="76">
        <f>+[18]princ_paises!D89/1000000</f>
        <v>56.004313000000003</v>
      </c>
      <c r="E20" s="76">
        <f>+[18]princ_paises!E89/1000000</f>
        <v>118.826342</v>
      </c>
      <c r="F20" s="76">
        <f>+[18]princ_paises!F89/1000000</f>
        <v>54.766841999999997</v>
      </c>
      <c r="G20" s="77">
        <f>+[18]princ_paises!G89/1000000</f>
        <v>84.337526999999994</v>
      </c>
      <c r="H20" s="78">
        <f>IF(OR(OR(G20=0,F20=0),G20=""),"",(G20/F20-1)*100)</f>
        <v>53.993774189134356</v>
      </c>
      <c r="I20" s="78">
        <f t="shared" si="1"/>
        <v>153.99377418913437</v>
      </c>
      <c r="J20" s="78">
        <f t="shared" si="2"/>
        <v>-53.910184325963684</v>
      </c>
      <c r="K20" s="66"/>
      <c r="M20" s="42">
        <f t="shared" si="3"/>
        <v>1</v>
      </c>
    </row>
    <row r="21" spans="1:14">
      <c r="A21" s="64"/>
      <c r="B21" s="75" t="s">
        <v>19</v>
      </c>
      <c r="C21" s="76">
        <f>+[18]princ_paises!C90/1000000</f>
        <v>70.605604999999997</v>
      </c>
      <c r="D21" s="76">
        <f>+[18]princ_paises!D90/1000000</f>
        <v>89.149789999999996</v>
      </c>
      <c r="E21" s="76">
        <f>+[18]princ_paises!E90/1000000</f>
        <v>91.093552000000003</v>
      </c>
      <c r="F21" s="76">
        <f>+[18]princ_paises!F90/1000000</f>
        <v>53.542099999999998</v>
      </c>
      <c r="G21" s="73">
        <f>+[18]princ_paises!G90/1000000</f>
        <v>86.502414999999999</v>
      </c>
      <c r="H21" s="25">
        <f>IF(OR(OR(G21=0,F21=0),G21=""),"",(G21/F21-1)*100)</f>
        <v>61.559623175034226</v>
      </c>
      <c r="I21" s="25">
        <f t="shared" ref="I21" si="4">IF(OR(OR(G21=0,F21=0),G21=""),"",G21/F21*100)</f>
        <v>161.55962317503423</v>
      </c>
      <c r="J21" s="25">
        <f t="shared" ref="J21" si="5">IF(OR(OR(G21=0,F21=0),G21=""),"",(F21/E21-1)*100)</f>
        <v>-41.222952860593253</v>
      </c>
      <c r="K21" s="66"/>
      <c r="M21" s="42">
        <f t="shared" si="3"/>
        <v>1</v>
      </c>
    </row>
    <row r="22" spans="1:14">
      <c r="A22" s="64"/>
      <c r="B22" s="75" t="s">
        <v>20</v>
      </c>
      <c r="C22" s="76">
        <f>+[18]princ_paises!C91/1000000</f>
        <v>54.630015999999998</v>
      </c>
      <c r="D22" s="76">
        <f>+[18]princ_paises!D91/1000000</f>
        <v>98.044387</v>
      </c>
      <c r="E22" s="76">
        <f>+[18]princ_paises!E91/1000000</f>
        <v>76.184393</v>
      </c>
      <c r="F22" s="76">
        <f>+[18]princ_paises!F91/1000000</f>
        <v>59.084651999999998</v>
      </c>
      <c r="G22" s="77"/>
      <c r="H22" s="78" t="str">
        <f t="shared" si="0"/>
        <v/>
      </c>
      <c r="I22" s="78" t="str">
        <f t="shared" si="1"/>
        <v/>
      </c>
      <c r="J22" s="78" t="str">
        <f t="shared" si="2"/>
        <v/>
      </c>
      <c r="K22" s="66"/>
      <c r="M22" s="42" t="str">
        <f t="shared" si="3"/>
        <v/>
      </c>
    </row>
    <row r="23" spans="1:14">
      <c r="A23" s="64"/>
      <c r="B23" s="75" t="s">
        <v>21</v>
      </c>
      <c r="C23" s="76">
        <f>+[18]princ_paises!C92/1000000</f>
        <v>65.804770000000005</v>
      </c>
      <c r="D23" s="76">
        <f>+[18]princ_paises!D92/1000000</f>
        <v>117.127562</v>
      </c>
      <c r="E23" s="76">
        <f>+[18]princ_paises!E92/1000000</f>
        <v>70.769124000000005</v>
      </c>
      <c r="F23" s="76">
        <f>+[18]princ_paises!F92/1000000</f>
        <v>67.887377999999998</v>
      </c>
      <c r="G23" s="77"/>
      <c r="H23" s="78" t="str">
        <f t="shared" si="0"/>
        <v/>
      </c>
      <c r="I23" s="78" t="str">
        <f t="shared" si="1"/>
        <v/>
      </c>
      <c r="J23" s="78" t="str">
        <f t="shared" si="2"/>
        <v/>
      </c>
      <c r="K23" s="66"/>
      <c r="M23" s="42" t="str">
        <f t="shared" si="3"/>
        <v/>
      </c>
    </row>
    <row r="24" spans="1:14">
      <c r="A24" s="64"/>
      <c r="B24" s="75" t="s">
        <v>22</v>
      </c>
      <c r="C24" s="76">
        <f>+[18]princ_paises!C93/1000000</f>
        <v>102.318622</v>
      </c>
      <c r="D24" s="76">
        <f>+[18]princ_paises!D93/1000000</f>
        <v>87.619422</v>
      </c>
      <c r="E24" s="76">
        <f>+[18]princ_paises!E93/1000000</f>
        <v>81.433691999999994</v>
      </c>
      <c r="F24" s="76">
        <f>+[18]princ_paises!F93/1000000</f>
        <v>58.943736999999999</v>
      </c>
      <c r="G24" s="77"/>
      <c r="H24" s="78" t="str">
        <f t="shared" si="0"/>
        <v/>
      </c>
      <c r="I24" s="78" t="str">
        <f t="shared" si="1"/>
        <v/>
      </c>
      <c r="J24" s="78" t="str">
        <f t="shared" si="2"/>
        <v/>
      </c>
      <c r="K24" s="66"/>
      <c r="M24" s="42" t="str">
        <f t="shared" si="3"/>
        <v/>
      </c>
    </row>
    <row r="25" spans="1:14">
      <c r="A25" s="64"/>
      <c r="B25" s="79" t="s">
        <v>32</v>
      </c>
      <c r="C25" s="77">
        <f t="shared" ref="C25:G25" si="6">SUM(C13:C24)</f>
        <v>838.24606099999994</v>
      </c>
      <c r="D25" s="77">
        <f t="shared" si="6"/>
        <v>984.66223500000001</v>
      </c>
      <c r="E25" s="77">
        <f t="shared" si="6"/>
        <v>957.34346400000004</v>
      </c>
      <c r="F25" s="77">
        <f t="shared" si="6"/>
        <v>832.94380100000012</v>
      </c>
      <c r="G25" s="72">
        <f t="shared" si="6"/>
        <v>627.51087800000005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23</v>
      </c>
      <c r="C26" s="80"/>
      <c r="D26" s="80">
        <f>(D25/C25-1)*100</f>
        <v>17.466968329720565</v>
      </c>
      <c r="E26" s="80">
        <f>(E25/D25-1)*100</f>
        <v>-2.7744306655571038</v>
      </c>
      <c r="F26" s="80">
        <f>(F25/E25-1)*100</f>
        <v>-12.99425625994558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24</v>
      </c>
      <c r="C28" s="77">
        <f t="shared" ref="C28:E28" si="7">SUMPRODUCT(C13:C24,$M$13:$M$24)</f>
        <v>615.49265300000002</v>
      </c>
      <c r="D28" s="77">
        <f t="shared" si="7"/>
        <v>681.87086399999998</v>
      </c>
      <c r="E28" s="77">
        <f t="shared" si="7"/>
        <v>728.95625500000006</v>
      </c>
      <c r="F28" s="77">
        <f>SUMPRODUCT(F13:F24,$M$13:$M$24)</f>
        <v>647.02803400000005</v>
      </c>
      <c r="G28" s="73">
        <f>SUMPRODUCT(G13:G24,$M$13:$M$24)</f>
        <v>627.51087800000005</v>
      </c>
      <c r="H28" s="74">
        <f>IF(OR(OR(G28=0,F28=0),G28=""),"",(G28/F28-1)*100)</f>
        <v>-3.0164312787720693</v>
      </c>
      <c r="I28" s="31">
        <f>IF(OR(OR(G28=0,F28=0),G28=""),"",G28/F28*100)</f>
        <v>96.983568721227925</v>
      </c>
      <c r="J28" s="31">
        <f>IF(OR(OR(G28=0,F28=0),F28=""),"",(F28/E28-1)*100)</f>
        <v>-11.23911351854715</v>
      </c>
      <c r="K28" s="66"/>
    </row>
    <row r="29" spans="1:14" ht="18.75" customHeight="1">
      <c r="A29" s="64"/>
      <c r="B29" s="79" t="s">
        <v>23</v>
      </c>
      <c r="C29" s="80"/>
      <c r="D29" s="80">
        <f t="shared" ref="D29:G29" si="8">(D28/C28-1)*100</f>
        <v>10.784565936971457</v>
      </c>
      <c r="E29" s="80">
        <f t="shared" si="8"/>
        <v>6.9053237916322008</v>
      </c>
      <c r="F29" s="80">
        <f t="shared" si="8"/>
        <v>-11.23911351854715</v>
      </c>
      <c r="G29" s="31">
        <f t="shared" si="8"/>
        <v>-3.0164312787720693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117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tr">
        <f>IF(G32="","",1)</f>
        <v/>
      </c>
      <c r="N32" s="42"/>
    </row>
    <row r="33" spans="1:14" s="117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tr">
        <f>IF(G33="","",1)</f>
        <v/>
      </c>
      <c r="N33" s="42"/>
    </row>
    <row r="34" spans="1:14" s="117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tr">
        <f>IF(G34="","",1)</f>
        <v/>
      </c>
      <c r="N34" s="42"/>
    </row>
    <row r="35" spans="1:14" s="117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tr">
        <f>IF(G35="","",1)</f>
        <v/>
      </c>
      <c r="N35" s="42"/>
    </row>
    <row r="36" spans="1:14" s="117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tr">
        <f>IF(G36="","",1)</f>
        <v/>
      </c>
      <c r="N36" s="42"/>
    </row>
    <row r="37" spans="1:14" s="117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117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tr">
        <f>IF(G38="","",1)</f>
        <v/>
      </c>
      <c r="N38" s="42"/>
    </row>
    <row r="39" spans="1:14" s="117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tr">
        <f>IF(G39="","",1)</f>
        <v/>
      </c>
      <c r="N39" s="42"/>
    </row>
    <row r="40" spans="1:14" s="117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tr">
        <f>IF(G40="","",1)</f>
        <v/>
      </c>
      <c r="N40" s="42"/>
    </row>
    <row r="41" spans="1:14" s="117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tr">
        <f>IF(G41="","",1)</f>
        <v/>
      </c>
      <c r="N41" s="42"/>
    </row>
    <row r="42" spans="1:14" s="117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117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117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25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14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4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Normal="100" zoomScaleSheetLayoutView="100" workbookViewId="0">
      <pane ySplit="11" topLeftCell="A12" activePane="bottomLeft" state="frozen"/>
      <selection activeCell="F11" sqref="F11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15" t="s">
        <v>81</v>
      </c>
      <c r="D7" s="115"/>
      <c r="E7" s="115"/>
      <c r="F7" s="115"/>
      <c r="G7" s="115"/>
      <c r="H7" s="115"/>
      <c r="I7" s="115"/>
      <c r="J7" s="115"/>
      <c r="K7" s="66"/>
    </row>
    <row r="8" spans="1:14">
      <c r="A8" s="64"/>
      <c r="B8" s="44"/>
      <c r="C8" s="112" t="s">
        <v>57</v>
      </c>
      <c r="D8" s="112"/>
      <c r="E8" s="112"/>
      <c r="F8" s="112"/>
      <c r="G8" s="112"/>
      <c r="H8" s="112"/>
      <c r="I8" s="112"/>
      <c r="J8" s="112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16" t="s">
        <v>2</v>
      </c>
      <c r="D10" s="116"/>
      <c r="E10" s="116"/>
      <c r="F10" s="116"/>
      <c r="G10" s="116"/>
      <c r="H10" s="113" t="s">
        <v>1</v>
      </c>
      <c r="I10" s="113" t="s">
        <v>10</v>
      </c>
      <c r="J10" s="113" t="s">
        <v>3</v>
      </c>
      <c r="K10" s="66"/>
    </row>
    <row r="11" spans="1:14">
      <c r="A11" s="64"/>
      <c r="B11" s="46"/>
      <c r="C11" s="108">
        <v>2006</v>
      </c>
      <c r="D11" s="108">
        <v>2007</v>
      </c>
      <c r="E11" s="108">
        <v>2008</v>
      </c>
      <c r="F11" s="108">
        <v>2009</v>
      </c>
      <c r="G11" s="108">
        <v>2010</v>
      </c>
      <c r="H11" s="113"/>
      <c r="I11" s="113"/>
      <c r="J11" s="113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11</v>
      </c>
      <c r="C13" s="76">
        <f>+[18]princ_paises!C107/1000000</f>
        <v>23.786939</v>
      </c>
      <c r="D13" s="76">
        <f>+[18]princ_paises!D107/1000000</f>
        <v>32.285136999999999</v>
      </c>
      <c r="E13" s="76">
        <f>+[18]princ_paises!E107/1000000</f>
        <v>38.679566000000001</v>
      </c>
      <c r="F13" s="76">
        <f>+[18]princ_paises!F107/1000000</f>
        <v>44.593698000000003</v>
      </c>
      <c r="G13" s="77">
        <f>+[18]princ_paises!G107/1000000</f>
        <v>43.132019</v>
      </c>
      <c r="H13" s="78">
        <f t="shared" ref="H13:H24" si="0">IF(OR(OR(G13=0,F13=0),G13=""),"",(G13/F13-1)*100)</f>
        <v>-3.2777703253047186</v>
      </c>
      <c r="I13" s="78">
        <f t="shared" ref="I13:I24" si="1">IF(OR(OR(G13=0,F13=0),G13=""),"",G13/F13*100)</f>
        <v>96.722229674695285</v>
      </c>
      <c r="J13" s="78">
        <f t="shared" ref="J13:J24" si="2">IF(OR(OR(G13=0,F13=0),G13=""),"",(F13/E13-1)*100)</f>
        <v>15.290068146059355</v>
      </c>
      <c r="K13" s="66"/>
      <c r="M13" s="42">
        <f t="shared" ref="M13:M24" si="3">IF(G13="","",1)</f>
        <v>1</v>
      </c>
    </row>
    <row r="14" spans="1:14">
      <c r="A14" s="64"/>
      <c r="B14" s="75" t="s">
        <v>12</v>
      </c>
      <c r="C14" s="76">
        <f>+[18]princ_paises!C108/1000000</f>
        <v>21.098251999999999</v>
      </c>
      <c r="D14" s="76">
        <f>+[18]princ_paises!D108/1000000</f>
        <v>27.996580000000002</v>
      </c>
      <c r="E14" s="76">
        <f>+[18]princ_paises!E108/1000000</f>
        <v>39.492758000000002</v>
      </c>
      <c r="F14" s="76">
        <f>+[18]princ_paises!F108/1000000</f>
        <v>32.198345000000003</v>
      </c>
      <c r="G14" s="77">
        <f>+[18]princ_paises!G108/1000000</f>
        <v>90.445032999999995</v>
      </c>
      <c r="H14" s="78">
        <f t="shared" si="0"/>
        <v>180.89963319543281</v>
      </c>
      <c r="I14" s="78">
        <f t="shared" si="1"/>
        <v>280.89963319543278</v>
      </c>
      <c r="J14" s="78">
        <f t="shared" si="2"/>
        <v>-18.470254723663505</v>
      </c>
      <c r="K14" s="66"/>
      <c r="M14" s="42">
        <f t="shared" si="3"/>
        <v>1</v>
      </c>
    </row>
    <row r="15" spans="1:14">
      <c r="A15" s="64"/>
      <c r="B15" s="75" t="s">
        <v>13</v>
      </c>
      <c r="C15" s="76">
        <f>+[18]princ_paises!C109/1000000</f>
        <v>29.697832999999999</v>
      </c>
      <c r="D15" s="76">
        <f>+[18]princ_paises!D109/1000000</f>
        <v>37.015791999999998</v>
      </c>
      <c r="E15" s="76">
        <f>+[18]princ_paises!E109/1000000</f>
        <v>46.377988999999999</v>
      </c>
      <c r="F15" s="76">
        <f>+[18]princ_paises!F109/1000000</f>
        <v>35.193404999999998</v>
      </c>
      <c r="G15" s="77">
        <f>+[18]princ_paises!G109/1000000</f>
        <v>104.238868</v>
      </c>
      <c r="H15" s="78">
        <f t="shared" si="0"/>
        <v>196.18864102521479</v>
      </c>
      <c r="I15" s="78">
        <f>IF(OR(OR(G15=0,F15=0),G15=""),"",G15/F15*100)</f>
        <v>296.18864102521479</v>
      </c>
      <c r="J15" s="78">
        <f t="shared" si="2"/>
        <v>-24.116146993781907</v>
      </c>
      <c r="K15" s="66"/>
      <c r="M15" s="42">
        <f t="shared" si="3"/>
        <v>1</v>
      </c>
    </row>
    <row r="16" spans="1:14">
      <c r="A16" s="64"/>
      <c r="B16" s="75" t="s">
        <v>14</v>
      </c>
      <c r="C16" s="76">
        <f>+[18]princ_paises!C110/1000000</f>
        <v>23.232996</v>
      </c>
      <c r="D16" s="76">
        <f>+[18]princ_paises!D110/1000000</f>
        <v>26.454795000000001</v>
      </c>
      <c r="E16" s="76">
        <f>+[18]princ_paises!E110/1000000</f>
        <v>54.952838</v>
      </c>
      <c r="F16" s="76">
        <f>+[18]princ_paises!F110/1000000</f>
        <v>37.403931</v>
      </c>
      <c r="G16" s="77">
        <f>+[18]princ_paises!G110/1000000</f>
        <v>44.126179999999998</v>
      </c>
      <c r="H16" s="78">
        <f t="shared" si="0"/>
        <v>17.972038821267212</v>
      </c>
      <c r="I16" s="78">
        <f t="shared" si="1"/>
        <v>117.9720388212672</v>
      </c>
      <c r="J16" s="78">
        <f t="shared" si="2"/>
        <v>-31.934487168797364</v>
      </c>
      <c r="K16" s="66"/>
      <c r="M16" s="42">
        <f t="shared" si="3"/>
        <v>1</v>
      </c>
    </row>
    <row r="17" spans="1:14">
      <c r="A17" s="64"/>
      <c r="B17" s="75" t="s">
        <v>15</v>
      </c>
      <c r="C17" s="76">
        <f>+[18]princ_paises!C111/1000000</f>
        <v>36.649239999999999</v>
      </c>
      <c r="D17" s="76">
        <f>+[18]princ_paises!D111/1000000</f>
        <v>34.660088000000002</v>
      </c>
      <c r="E17" s="76">
        <f>+[18]princ_paises!E111/1000000</f>
        <v>85.901092000000006</v>
      </c>
      <c r="F17" s="76">
        <f>+[18]princ_paises!F111/1000000</f>
        <v>39.706612</v>
      </c>
      <c r="G17" s="77">
        <f>+[18]princ_paises!G111/1000000</f>
        <v>47.373012000000003</v>
      </c>
      <c r="H17" s="78">
        <f t="shared" si="0"/>
        <v>19.307615567905923</v>
      </c>
      <c r="I17" s="78">
        <f t="shared" si="1"/>
        <v>119.30761556790593</v>
      </c>
      <c r="J17" s="78">
        <f t="shared" si="2"/>
        <v>-53.776359443719301</v>
      </c>
      <c r="K17" s="66"/>
      <c r="M17" s="42">
        <f t="shared" si="3"/>
        <v>1</v>
      </c>
    </row>
    <row r="18" spans="1:14">
      <c r="A18" s="64"/>
      <c r="B18" s="75" t="s">
        <v>16</v>
      </c>
      <c r="C18" s="76">
        <f>+[18]princ_paises!C112/1000000</f>
        <v>24.707826000000001</v>
      </c>
      <c r="D18" s="76">
        <f>+[18]princ_paises!D112/1000000</f>
        <v>32.682102999999998</v>
      </c>
      <c r="E18" s="76">
        <f>+[18]princ_paises!E112/1000000</f>
        <v>45.069783999999999</v>
      </c>
      <c r="F18" s="76">
        <f>+[18]princ_paises!F112/1000000</f>
        <v>35.181767999999998</v>
      </c>
      <c r="G18" s="77">
        <f>+[18]princ_paises!G112/1000000</f>
        <v>48.544271000000002</v>
      </c>
      <c r="H18" s="78">
        <f t="shared" si="0"/>
        <v>37.981328851921269</v>
      </c>
      <c r="I18" s="78">
        <f t="shared" si="1"/>
        <v>137.98132885192126</v>
      </c>
      <c r="J18" s="78">
        <f t="shared" si="2"/>
        <v>-21.939346325689069</v>
      </c>
      <c r="K18" s="66"/>
      <c r="M18" s="42">
        <f t="shared" si="3"/>
        <v>1</v>
      </c>
    </row>
    <row r="19" spans="1:14">
      <c r="A19" s="64"/>
      <c r="B19" s="75" t="s">
        <v>17</v>
      </c>
      <c r="C19" s="76">
        <f>+[18]princ_paises!C113/1000000</f>
        <v>31.577272000000001</v>
      </c>
      <c r="D19" s="76">
        <f>+[18]princ_paises!D113/1000000</f>
        <v>46.335330999999996</v>
      </c>
      <c r="E19" s="76">
        <f>+[18]princ_paises!E113/1000000</f>
        <v>55.479595000000003</v>
      </c>
      <c r="F19" s="76">
        <f>+[18]princ_paises!F113/1000000</f>
        <v>45.915439999999997</v>
      </c>
      <c r="G19" s="77">
        <f>+[18]princ_paises!G113/1000000</f>
        <v>56.575783000000001</v>
      </c>
      <c r="H19" s="78">
        <f>IF(OR(OR(G19=0,F19=0),G19=""),"",(G19/F19-1)*100)</f>
        <v>23.217338219997472</v>
      </c>
      <c r="I19" s="78">
        <f t="shared" si="1"/>
        <v>123.21733821999747</v>
      </c>
      <c r="J19" s="78">
        <f t="shared" si="2"/>
        <v>-17.239049780374216</v>
      </c>
      <c r="K19" s="66"/>
      <c r="M19" s="42">
        <f t="shared" si="3"/>
        <v>1</v>
      </c>
    </row>
    <row r="20" spans="1:14">
      <c r="A20" s="64"/>
      <c r="B20" s="75" t="s">
        <v>18</v>
      </c>
      <c r="C20" s="76">
        <f>+[18]princ_paises!C114/1000000</f>
        <v>29.884098999999999</v>
      </c>
      <c r="D20" s="76">
        <f>+[18]princ_paises!D114/1000000</f>
        <v>55.517828999999999</v>
      </c>
      <c r="E20" s="76">
        <f>+[18]princ_paises!E114/1000000</f>
        <v>44.119916000000003</v>
      </c>
      <c r="F20" s="76">
        <f>+[18]princ_paises!F114/1000000</f>
        <v>42.855651000000002</v>
      </c>
      <c r="G20" s="77">
        <f>+[18]princ_paises!G114/1000000</f>
        <v>49.239570000000001</v>
      </c>
      <c r="H20" s="78">
        <f>IF(OR(OR(G20=0,F20=0),G20=""),"",(G20/F20-1)*100)</f>
        <v>14.896329541231324</v>
      </c>
      <c r="I20" s="78">
        <f t="shared" si="1"/>
        <v>114.89632954123132</v>
      </c>
      <c r="J20" s="78">
        <f t="shared" si="2"/>
        <v>-2.8655199615520655</v>
      </c>
      <c r="K20" s="66"/>
      <c r="M20" s="42">
        <f t="shared" si="3"/>
        <v>1</v>
      </c>
    </row>
    <row r="21" spans="1:14">
      <c r="A21" s="64"/>
      <c r="B21" s="75" t="s">
        <v>19</v>
      </c>
      <c r="C21" s="76">
        <f>+[18]princ_paises!C115/1000000</f>
        <v>28.971067000000001</v>
      </c>
      <c r="D21" s="76">
        <f>+[18]princ_paises!D115/1000000</f>
        <v>43.072735000000002</v>
      </c>
      <c r="E21" s="76">
        <f>+[18]princ_paises!E115/1000000</f>
        <v>84.075018999999998</v>
      </c>
      <c r="F21" s="76">
        <f>+[18]princ_paises!F115/1000000</f>
        <v>40.498767000000001</v>
      </c>
      <c r="G21" s="77">
        <f>+[18]princ_paises!G115/1000000</f>
        <v>60.719701000000001</v>
      </c>
      <c r="H21" s="78">
        <f>IF(OR(OR(G21=0,F21=0),G21=""),"",(G21/F21-1)*100)</f>
        <v>49.929752182331868</v>
      </c>
      <c r="I21" s="78">
        <f t="shared" ref="I21" si="4">IF(OR(OR(G21=0,F21=0),G21=""),"",G21/F21*100)</f>
        <v>149.92975218233187</v>
      </c>
      <c r="J21" s="78">
        <f t="shared" ref="J21" si="5">IF(OR(OR(G21=0,F21=0),G21=""),"",(F21/E21-1)*100)</f>
        <v>-51.830201786811372</v>
      </c>
      <c r="K21" s="66"/>
      <c r="M21" s="42">
        <f t="shared" si="3"/>
        <v>1</v>
      </c>
    </row>
    <row r="22" spans="1:14">
      <c r="A22" s="64"/>
      <c r="B22" s="75" t="s">
        <v>20</v>
      </c>
      <c r="C22" s="76">
        <f>+[18]princ_paises!C116/1000000</f>
        <v>28.118808999999999</v>
      </c>
      <c r="D22" s="76">
        <f>+[18]princ_paises!D116/1000000</f>
        <v>46.284270999999997</v>
      </c>
      <c r="E22" s="76">
        <f>+[18]princ_paises!E116/1000000</f>
        <v>51.665624999999999</v>
      </c>
      <c r="F22" s="76">
        <f>+[18]princ_paises!F116/1000000</f>
        <v>90.055987999999999</v>
      </c>
      <c r="G22" s="73">
        <f>+[18]princ_paises!G116/1000000</f>
        <v>53.044333999999999</v>
      </c>
      <c r="H22" s="25">
        <f>IF(OR(OR(G22=0,F22=0),G22=""),"",(G22/F22-1)*100)</f>
        <v>-41.098493084102309</v>
      </c>
      <c r="I22" s="25">
        <f t="shared" ref="I22" si="6">IF(OR(OR(G22=0,F22=0),G22=""),"",G22/F22*100)</f>
        <v>58.901506915897691</v>
      </c>
      <c r="J22" s="25">
        <f t="shared" ref="J22" si="7">IF(OR(OR(G22=0,F22=0),G22=""),"",(F22/E22-1)*100)</f>
        <v>74.305426480372589</v>
      </c>
      <c r="K22" s="66"/>
      <c r="M22" s="42">
        <f t="shared" si="3"/>
        <v>1</v>
      </c>
    </row>
    <row r="23" spans="1:14">
      <c r="A23" s="64"/>
      <c r="B23" s="75" t="s">
        <v>21</v>
      </c>
      <c r="C23" s="76">
        <f>+[18]princ_paises!C117/1000000</f>
        <v>26.199943000000001</v>
      </c>
      <c r="D23" s="76">
        <f>+[18]princ_paises!D117/1000000</f>
        <v>42.515953000000003</v>
      </c>
      <c r="E23" s="76">
        <f>+[18]princ_paises!E117/1000000</f>
        <v>87.784576000000001</v>
      </c>
      <c r="F23" s="76">
        <f>+[18]princ_paises!F117/1000000</f>
        <v>41.562719999999999</v>
      </c>
      <c r="G23" s="77"/>
      <c r="H23" s="78" t="str">
        <f t="shared" si="0"/>
        <v/>
      </c>
      <c r="I23" s="78" t="str">
        <f t="shared" si="1"/>
        <v/>
      </c>
      <c r="J23" s="78" t="str">
        <f t="shared" si="2"/>
        <v/>
      </c>
      <c r="K23" s="66"/>
      <c r="M23" s="42" t="str">
        <f t="shared" si="3"/>
        <v/>
      </c>
    </row>
    <row r="24" spans="1:14">
      <c r="A24" s="64"/>
      <c r="B24" s="75" t="s">
        <v>22</v>
      </c>
      <c r="C24" s="76">
        <f>+[18]princ_paises!C118/1000000</f>
        <v>48.699770999999998</v>
      </c>
      <c r="D24" s="76">
        <f>+[18]princ_paises!D118/1000000</f>
        <v>38.551411999999999</v>
      </c>
      <c r="E24" s="76">
        <f>+[18]princ_paises!E118/1000000</f>
        <v>43.527026999999997</v>
      </c>
      <c r="F24" s="76">
        <f>+[18]princ_paises!F118/1000000</f>
        <v>49.401130999999999</v>
      </c>
      <c r="G24" s="77"/>
      <c r="H24" s="78" t="str">
        <f t="shared" si="0"/>
        <v/>
      </c>
      <c r="I24" s="78" t="str">
        <f t="shared" si="1"/>
        <v/>
      </c>
      <c r="J24" s="78" t="str">
        <f t="shared" si="2"/>
        <v/>
      </c>
      <c r="K24" s="66"/>
      <c r="M24" s="42" t="str">
        <f t="shared" si="3"/>
        <v/>
      </c>
    </row>
    <row r="25" spans="1:14">
      <c r="A25" s="64"/>
      <c r="B25" s="79" t="s">
        <v>32</v>
      </c>
      <c r="C25" s="77">
        <f t="shared" ref="C25:G25" si="8">SUM(C13:C24)</f>
        <v>352.62404700000002</v>
      </c>
      <c r="D25" s="77">
        <f t="shared" si="8"/>
        <v>463.37202600000001</v>
      </c>
      <c r="E25" s="77">
        <f t="shared" si="8"/>
        <v>677.12578499999995</v>
      </c>
      <c r="F25" s="77">
        <f t="shared" si="8"/>
        <v>534.56745600000011</v>
      </c>
      <c r="G25" s="72">
        <f t="shared" si="8"/>
        <v>597.43877100000009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23</v>
      </c>
      <c r="C26" s="80"/>
      <c r="D26" s="80">
        <f>(D25/C25-1)*100</f>
        <v>31.406814124619231</v>
      </c>
      <c r="E26" s="80">
        <f>(E25/D25-1)*100</f>
        <v>46.130052529325539</v>
      </c>
      <c r="F26" s="80">
        <f>(F25/E25-1)*100</f>
        <v>-21.053448584888823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24</v>
      </c>
      <c r="C28" s="77">
        <f t="shared" ref="C28:E28" si="9">SUMPRODUCT(C13:C24,$M$13:$M$24)</f>
        <v>277.724333</v>
      </c>
      <c r="D28" s="77">
        <f t="shared" si="9"/>
        <v>382.30466100000001</v>
      </c>
      <c r="E28" s="77">
        <f t="shared" si="9"/>
        <v>545.81418199999996</v>
      </c>
      <c r="F28" s="77">
        <f>SUMPRODUCT(F13:F24,$M$13:$M$24)</f>
        <v>443.60360500000007</v>
      </c>
      <c r="G28" s="73">
        <f>SUMPRODUCT(G13:G24,$M$13:$M$24)</f>
        <v>597.43877100000009</v>
      </c>
      <c r="H28" s="74">
        <f>IF(OR(OR(G28=0,F28=0),G28=""),"",(G28/F28-1)*100)</f>
        <v>34.678520252332021</v>
      </c>
      <c r="I28" s="31">
        <f>IF(OR(OR(G28=0,F28=0),G28=""),"",G28/F28*100)</f>
        <v>134.67852025233202</v>
      </c>
      <c r="J28" s="31">
        <f>IF(OR(OR(G28=0,F28=0),F28=""),"",(F28/E28-1)*100)</f>
        <v>-18.726258930369799</v>
      </c>
      <c r="K28" s="66"/>
    </row>
    <row r="29" spans="1:14" ht="18.75" customHeight="1">
      <c r="A29" s="64"/>
      <c r="B29" s="79" t="s">
        <v>23</v>
      </c>
      <c r="C29" s="80"/>
      <c r="D29" s="80">
        <f t="shared" ref="D29:G29" si="10">(D28/C28-1)*100</f>
        <v>37.656163170981507</v>
      </c>
      <c r="E29" s="80">
        <f t="shared" si="10"/>
        <v>42.76942911768473</v>
      </c>
      <c r="F29" s="80">
        <f t="shared" si="10"/>
        <v>-18.726258930369799</v>
      </c>
      <c r="G29" s="31">
        <f t="shared" si="10"/>
        <v>34.678520252332021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117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tr">
        <f>IF(G32="","",1)</f>
        <v/>
      </c>
      <c r="N32" s="42"/>
    </row>
    <row r="33" spans="1:14" s="117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tr">
        <f>IF(G33="","",1)</f>
        <v/>
      </c>
      <c r="N33" s="42"/>
    </row>
    <row r="34" spans="1:14" s="117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tr">
        <f>IF(G34="","",1)</f>
        <v/>
      </c>
      <c r="N34" s="42"/>
    </row>
    <row r="35" spans="1:14" s="117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tr">
        <f>IF(G35="","",1)</f>
        <v/>
      </c>
      <c r="N35" s="42"/>
    </row>
    <row r="36" spans="1:14" s="117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tr">
        <f>IF(G36="","",1)</f>
        <v/>
      </c>
      <c r="N36" s="42"/>
    </row>
    <row r="37" spans="1:14" s="117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117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tr">
        <f>IF(G38="","",1)</f>
        <v/>
      </c>
      <c r="N38" s="42"/>
    </row>
    <row r="39" spans="1:14" s="117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tr">
        <f>IF(G39="","",1)</f>
        <v/>
      </c>
      <c r="N39" s="42"/>
    </row>
    <row r="40" spans="1:14" s="117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tr">
        <f>IF(G40="","",1)</f>
        <v/>
      </c>
      <c r="N40" s="42"/>
    </row>
    <row r="41" spans="1:14" s="117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tr">
        <f>IF(G41="","",1)</f>
        <v/>
      </c>
      <c r="N41" s="42"/>
    </row>
    <row r="42" spans="1:14" s="117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117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117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25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14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4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71093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56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82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41"/>
      <c r="D9" s="41"/>
      <c r="E9" s="41"/>
      <c r="F9" s="41"/>
      <c r="G9" s="41"/>
      <c r="H9" s="41"/>
      <c r="I9" s="8"/>
      <c r="J9" s="8"/>
      <c r="K9" s="16"/>
    </row>
    <row r="10" spans="1:14" ht="15.75" customHeight="1">
      <c r="A10" s="14"/>
      <c r="B10" s="9"/>
      <c r="C10" s="114" t="s">
        <v>140</v>
      </c>
      <c r="D10" s="114"/>
      <c r="E10" s="113" t="s">
        <v>1</v>
      </c>
      <c r="F10" s="113" t="s">
        <v>4</v>
      </c>
      <c r="G10" s="114" t="s">
        <v>141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41">
        <v>2009</v>
      </c>
      <c r="D11" s="41">
        <v>2010</v>
      </c>
      <c r="E11" s="113"/>
      <c r="F11" s="113"/>
      <c r="G11" s="41">
        <v>2009</v>
      </c>
      <c r="H11" s="41">
        <v>2010</v>
      </c>
      <c r="I11" s="113"/>
      <c r="J11" s="113"/>
      <c r="K11" s="16"/>
      <c r="N11" s="2"/>
    </row>
    <row r="12" spans="1:14" ht="12" customHeight="1">
      <c r="A12" s="14"/>
      <c r="B12" s="9"/>
      <c r="C12" s="41"/>
      <c r="D12" s="41"/>
      <c r="E12" s="41"/>
      <c r="F12" s="41"/>
      <c r="G12" s="41"/>
      <c r="H12" s="41"/>
      <c r="I12" s="41"/>
      <c r="J12" s="41"/>
      <c r="K12" s="16"/>
    </row>
    <row r="13" spans="1:14">
      <c r="A13" s="14"/>
      <c r="B13" s="10" t="s">
        <v>31</v>
      </c>
      <c r="C13" s="100">
        <f>SUM(C14:C44)</f>
        <v>27009.987703859595</v>
      </c>
      <c r="D13" s="100">
        <f>SUM(D14:D44)</f>
        <v>32897.108597919192</v>
      </c>
      <c r="E13" s="99">
        <f>IF(OR(OR(D13=0,C13=0),D13=""),"",(D13/C13-1)*100)</f>
        <v>21.796088760226851</v>
      </c>
      <c r="F13" s="99">
        <f>(D13/D$13)*100</f>
        <v>100</v>
      </c>
      <c r="G13" s="100">
        <f t="shared" ref="G13:H13" si="0">SUM(G14:G44)</f>
        <v>2966.9907850199897</v>
      </c>
      <c r="H13" s="100">
        <f t="shared" si="0"/>
        <v>3624.2965466800229</v>
      </c>
      <c r="I13" s="99">
        <f>IF(OR(OR(H13=0,G13=0),H13=""),"",(H13/G13-1)*100)</f>
        <v>22.153953594284737</v>
      </c>
      <c r="J13" s="99">
        <f>(H13/H$13)*100</f>
        <v>100</v>
      </c>
      <c r="K13" s="16"/>
    </row>
    <row r="14" spans="1:14">
      <c r="A14" s="14"/>
      <c r="B14" s="9" t="str">
        <f>+[19]Total!A2</f>
        <v>Bogotá</v>
      </c>
      <c r="C14" s="25">
        <f>+[19]Total!B2/1000000</f>
        <v>11531.093251529655</v>
      </c>
      <c r="D14" s="25">
        <f>+[19]Total!C2/1000000</f>
        <v>14441.04376469922</v>
      </c>
      <c r="E14" s="25">
        <f>IF(OR(OR(D14=0,C14=0),D14=""),"",(D14/C14-1)*100)</f>
        <v>25.23568624148924</v>
      </c>
      <c r="F14" s="25">
        <f>(D14/D$13)*100</f>
        <v>43.897607966715483</v>
      </c>
      <c r="G14" s="25">
        <f>+[19]Total!D2/1000000</f>
        <v>1265.9982494299913</v>
      </c>
      <c r="H14" s="25">
        <f>+[19]Total!E2/1000000</f>
        <v>1619.3198718300175</v>
      </c>
      <c r="I14" s="25">
        <f>IF(OR(OR(H14=0,G14=0),H14=""),"",(H14/G14-1)*100)</f>
        <v>27.908539570185596</v>
      </c>
      <c r="J14" s="25">
        <f>(H14/H$13)*100</f>
        <v>44.679563357291194</v>
      </c>
      <c r="K14" s="16"/>
    </row>
    <row r="15" spans="1:14">
      <c r="A15" s="14"/>
      <c r="B15" s="9" t="str">
        <f>+[19]Total!A3</f>
        <v>Antioquia</v>
      </c>
      <c r="C15" s="22">
        <f>+[19]Total!B3/1000000</f>
        <v>2993.6424092000111</v>
      </c>
      <c r="D15" s="22">
        <f>+[19]Total!C3/1000000</f>
        <v>3926.5610527200251</v>
      </c>
      <c r="E15" s="22">
        <f t="shared" ref="E15:E42" si="1">IF(OR(OR(D15=0,C15=0),D15=""),"",(D15/C15-1)*100)</f>
        <v>31.16332934932322</v>
      </c>
      <c r="F15" s="22">
        <f t="shared" ref="F15:F42" si="2">(D15/D$13)*100</f>
        <v>11.935885006527254</v>
      </c>
      <c r="G15" s="22">
        <f>+[19]Total!D3/1000000</f>
        <v>340.9731653899974</v>
      </c>
      <c r="H15" s="22">
        <f>+[19]Total!E3/1000000</f>
        <v>484.62974008000003</v>
      </c>
      <c r="I15" s="22">
        <f t="shared" ref="I15:I42" si="3">IF(OR(OR(H15=0,G15=0),H15=""),"",(H15/G15-1)*100)</f>
        <v>42.131343246818709</v>
      </c>
      <c r="J15" s="22">
        <f t="shared" ref="J15:J42" si="4">(H15/H$13)*100</f>
        <v>13.371691136144396</v>
      </c>
      <c r="K15" s="16"/>
    </row>
    <row r="16" spans="1:14">
      <c r="A16" s="14"/>
      <c r="B16" s="9" t="str">
        <f>+[19]Total!A4</f>
        <v>Valle del Cauca</v>
      </c>
      <c r="C16" s="22">
        <f>+[19]Total!B4/1000000</f>
        <v>2682.280039019965</v>
      </c>
      <c r="D16" s="22">
        <f>+[19]Total!C4/1000000</f>
        <v>3440.326341579977</v>
      </c>
      <c r="E16" s="22">
        <f t="shared" si="1"/>
        <v>28.261266218757019</v>
      </c>
      <c r="F16" s="22">
        <f t="shared" si="2"/>
        <v>10.457838053881686</v>
      </c>
      <c r="G16" s="22">
        <f>+[19]Total!D4/1000000</f>
        <v>297.1266462699989</v>
      </c>
      <c r="H16" s="22">
        <f>+[19]Total!E4/1000000</f>
        <v>323.17669871000214</v>
      </c>
      <c r="I16" s="22">
        <f t="shared" si="3"/>
        <v>8.7673228796624194</v>
      </c>
      <c r="J16" s="22">
        <f t="shared" si="4"/>
        <v>8.9169496631296035</v>
      </c>
      <c r="K16" s="16"/>
    </row>
    <row r="17" spans="1:11">
      <c r="A17" s="14"/>
      <c r="B17" s="9" t="str">
        <f>+[19]Total!A5</f>
        <v>Cundinamarca</v>
      </c>
      <c r="C17" s="22">
        <f>+[19]Total!B5/1000000</f>
        <v>2305.0066796399892</v>
      </c>
      <c r="D17" s="22">
        <f>+[19]Total!C5/1000000</f>
        <v>2880.2158955599962</v>
      </c>
      <c r="E17" s="22">
        <f t="shared" si="1"/>
        <v>24.954774361428168</v>
      </c>
      <c r="F17" s="22">
        <f t="shared" si="2"/>
        <v>8.7552250587219564</v>
      </c>
      <c r="G17" s="22">
        <f>+[19]Total!D5/1000000</f>
        <v>250.84323395000095</v>
      </c>
      <c r="H17" s="22">
        <f>+[19]Total!E5/1000000</f>
        <v>416.50327905999995</v>
      </c>
      <c r="I17" s="22">
        <f t="shared" si="3"/>
        <v>66.041265096677478</v>
      </c>
      <c r="J17" s="22">
        <f t="shared" si="4"/>
        <v>11.491975717095526</v>
      </c>
      <c r="K17" s="16"/>
    </row>
    <row r="18" spans="1:11">
      <c r="A18" s="14"/>
      <c r="B18" s="9" t="str">
        <f>+[19]Total!A6</f>
        <v>Bolívar</v>
      </c>
      <c r="C18" s="22">
        <f>+[19]Total!B6/1000000</f>
        <v>2012.1948091699867</v>
      </c>
      <c r="D18" s="22">
        <f>+[19]Total!C6/1000000</f>
        <v>2039.2183508899961</v>
      </c>
      <c r="E18" s="22">
        <f t="shared" si="1"/>
        <v>1.3429883427219735</v>
      </c>
      <c r="F18" s="22">
        <f t="shared" si="2"/>
        <v>6.1987768463608397</v>
      </c>
      <c r="G18" s="22">
        <f>+[19]Total!D6/1000000</f>
        <v>221.60562807000036</v>
      </c>
      <c r="H18" s="22">
        <f>+[19]Total!E6/1000000</f>
        <v>201.03750654999973</v>
      </c>
      <c r="I18" s="22">
        <f t="shared" si="3"/>
        <v>-9.281407561320421</v>
      </c>
      <c r="J18" s="22">
        <f t="shared" si="4"/>
        <v>5.5469386668747296</v>
      </c>
      <c r="K18" s="16"/>
    </row>
    <row r="19" spans="1:11">
      <c r="A19" s="14"/>
      <c r="B19" s="9" t="str">
        <f>+[19]Total!A7</f>
        <v>Atlántico</v>
      </c>
      <c r="C19" s="22">
        <f>+[19]Total!B7/1000000</f>
        <v>1592.5162100599898</v>
      </c>
      <c r="D19" s="22">
        <f>+[19]Total!C7/1000000</f>
        <v>1734.4528153799945</v>
      </c>
      <c r="E19" s="22">
        <f t="shared" si="1"/>
        <v>8.9127259379455879</v>
      </c>
      <c r="F19" s="22">
        <f t="shared" si="2"/>
        <v>5.2723564145990087</v>
      </c>
      <c r="G19" s="22">
        <f>+[19]Total!D7/1000000</f>
        <v>157.41072621000012</v>
      </c>
      <c r="H19" s="22">
        <f>+[19]Total!E7/1000000</f>
        <v>192.56634017000181</v>
      </c>
      <c r="I19" s="22">
        <f t="shared" si="3"/>
        <v>22.333683864148448</v>
      </c>
      <c r="J19" s="22">
        <f t="shared" si="4"/>
        <v>5.3132059612064308</v>
      </c>
      <c r="K19" s="16"/>
    </row>
    <row r="20" spans="1:11">
      <c r="A20" s="14"/>
      <c r="B20" s="9" t="str">
        <f>+[19]Total!A8</f>
        <v>Magdalena</v>
      </c>
      <c r="C20" s="22">
        <f>+[19]Total!B8/1000000</f>
        <v>1020.6026579299985</v>
      </c>
      <c r="D20" s="22">
        <f>+[19]Total!C8/1000000</f>
        <v>1308.1130449900022</v>
      </c>
      <c r="E20" s="22">
        <f t="shared" si="1"/>
        <v>28.170648471868233</v>
      </c>
      <c r="F20" s="22">
        <f t="shared" si="2"/>
        <v>3.9763769545167351</v>
      </c>
      <c r="G20" s="22">
        <f>+[19]Total!D8/1000000</f>
        <v>141.79018201999992</v>
      </c>
      <c r="H20" s="22">
        <f>+[19]Total!E8/1000000</f>
        <v>5.9821327200000054</v>
      </c>
      <c r="I20" s="22">
        <f t="shared" si="3"/>
        <v>-95.780996515572411</v>
      </c>
      <c r="J20" s="22">
        <f t="shared" si="4"/>
        <v>0.16505638109221055</v>
      </c>
      <c r="K20" s="16"/>
    </row>
    <row r="21" spans="1:11">
      <c r="A21" s="14"/>
      <c r="B21" s="9" t="str">
        <f>+[19]Total!A9</f>
        <v>Guajira</v>
      </c>
      <c r="C21" s="22">
        <f>+[19]Total!B9/1000000</f>
        <v>456.29990434000354</v>
      </c>
      <c r="D21" s="22">
        <f>+[19]Total!C9/1000000</f>
        <v>533.35743272000116</v>
      </c>
      <c r="E21" s="22">
        <f t="shared" si="1"/>
        <v>16.88747414739311</v>
      </c>
      <c r="F21" s="22">
        <f t="shared" si="2"/>
        <v>1.6212896982494598</v>
      </c>
      <c r="G21" s="22">
        <f>+[19]Total!D9/1000000</f>
        <v>45.169083870000023</v>
      </c>
      <c r="H21" s="22">
        <f>+[19]Total!E9/1000000</f>
        <v>56.939286779999868</v>
      </c>
      <c r="I21" s="22">
        <f t="shared" si="3"/>
        <v>26.058095275687609</v>
      </c>
      <c r="J21" s="22">
        <f t="shared" si="4"/>
        <v>1.5710438162726548</v>
      </c>
      <c r="K21" s="16"/>
    </row>
    <row r="22" spans="1:11">
      <c r="A22" s="14"/>
      <c r="B22" s="9" t="str">
        <f>+[19]Total!A10</f>
        <v>Santander</v>
      </c>
      <c r="C22" s="22">
        <f>+[19]Total!B10/1000000</f>
        <v>431.72467158000029</v>
      </c>
      <c r="D22" s="22">
        <f>+[19]Total!C10/1000000</f>
        <v>495.34550024999743</v>
      </c>
      <c r="E22" s="22">
        <f t="shared" si="1"/>
        <v>14.736435709629792</v>
      </c>
      <c r="F22" s="22">
        <f t="shared" si="2"/>
        <v>1.5057417547064578</v>
      </c>
      <c r="G22" s="22">
        <f>+[19]Total!D10/1000000</f>
        <v>50.495549359999963</v>
      </c>
      <c r="H22" s="22">
        <f>+[19]Total!E10/1000000</f>
        <v>59.732524490000074</v>
      </c>
      <c r="I22" s="22">
        <f t="shared" si="3"/>
        <v>18.292652019976209</v>
      </c>
      <c r="J22" s="22">
        <f t="shared" si="4"/>
        <v>1.6481136055137946</v>
      </c>
      <c r="K22" s="16"/>
    </row>
    <row r="23" spans="1:11">
      <c r="A23" s="14"/>
      <c r="B23" s="9" t="str">
        <f>+[19]Total!A11</f>
        <v>Cesar</v>
      </c>
      <c r="C23" s="22">
        <f>+[19]Total!B11/1000000</f>
        <v>589.67276704000199</v>
      </c>
      <c r="D23" s="22">
        <f>+[19]Total!C11/1000000</f>
        <v>438.62008118999898</v>
      </c>
      <c r="E23" s="22">
        <f t="shared" si="1"/>
        <v>-25.616357799300559</v>
      </c>
      <c r="F23" s="22">
        <f t="shared" si="2"/>
        <v>1.3333089134093157</v>
      </c>
      <c r="G23" s="22">
        <f>+[19]Total!D11/1000000</f>
        <v>53.871486170000075</v>
      </c>
      <c r="H23" s="22">
        <f>+[19]Total!E11/1000000</f>
        <v>42.338022720000019</v>
      </c>
      <c r="I23" s="22">
        <f t="shared" si="3"/>
        <v>-21.409217138737123</v>
      </c>
      <c r="J23" s="22">
        <f t="shared" si="4"/>
        <v>1.1681721452617631</v>
      </c>
      <c r="K23" s="16"/>
    </row>
    <row r="24" spans="1:11">
      <c r="A24" s="14"/>
      <c r="B24" s="9" t="str">
        <f>+[19]Total!A12</f>
        <v>Nariño</v>
      </c>
      <c r="C24" s="22">
        <f>+[19]Total!B12/1000000</f>
        <v>308.32542155000004</v>
      </c>
      <c r="D24" s="22">
        <f>+[19]Total!C12/1000000</f>
        <v>340.12249288000089</v>
      </c>
      <c r="E24" s="22">
        <f t="shared" si="1"/>
        <v>10.312828300096699</v>
      </c>
      <c r="F24" s="22">
        <f t="shared" si="2"/>
        <v>1.0338978328980386</v>
      </c>
      <c r="G24" s="22">
        <f>+[19]Total!D12/1000000</f>
        <v>24.812629299999994</v>
      </c>
      <c r="H24" s="22">
        <f>+[19]Total!E12/1000000</f>
        <v>16.511399970000006</v>
      </c>
      <c r="I24" s="22">
        <f t="shared" si="3"/>
        <v>-33.455661750445728</v>
      </c>
      <c r="J24" s="22">
        <f t="shared" si="4"/>
        <v>0.45557530288532827</v>
      </c>
      <c r="K24" s="16"/>
    </row>
    <row r="25" spans="1:11">
      <c r="A25" s="14"/>
      <c r="B25" s="9" t="str">
        <f>+[19]Total!A13</f>
        <v>Caldas</v>
      </c>
      <c r="C25" s="22">
        <f>+[19]Total!B13/1000000</f>
        <v>206.49022608000041</v>
      </c>
      <c r="D25" s="22">
        <f>+[19]Total!C13/1000000</f>
        <v>253.72487080999923</v>
      </c>
      <c r="E25" s="22">
        <f t="shared" si="1"/>
        <v>22.875002670440558</v>
      </c>
      <c r="F25" s="22">
        <f t="shared" si="2"/>
        <v>0.77126799777791966</v>
      </c>
      <c r="G25" s="22">
        <f>+[19]Total!D13/1000000</f>
        <v>20.855926160000013</v>
      </c>
      <c r="H25" s="22">
        <f>+[19]Total!E13/1000000</f>
        <v>30.464500410000017</v>
      </c>
      <c r="I25" s="22">
        <f t="shared" si="3"/>
        <v>46.071194231731006</v>
      </c>
      <c r="J25" s="22">
        <f t="shared" si="4"/>
        <v>0.84056312770285102</v>
      </c>
      <c r="K25" s="16"/>
    </row>
    <row r="26" spans="1:11">
      <c r="A26" s="14"/>
      <c r="B26" s="9" t="str">
        <f>+[19]Total!A14</f>
        <v>Cauca</v>
      </c>
      <c r="C26" s="22">
        <f>+[19]Total!B14/1000000</f>
        <v>179.86281996000037</v>
      </c>
      <c r="D26" s="22">
        <f>+[19]Total!C14/1000000</f>
        <v>242.06429649000029</v>
      </c>
      <c r="E26" s="22">
        <f t="shared" si="1"/>
        <v>34.582731741797936</v>
      </c>
      <c r="F26" s="22">
        <f t="shared" si="2"/>
        <v>0.73582240752097994</v>
      </c>
      <c r="G26" s="22">
        <f>+[19]Total!D14/1000000</f>
        <v>20.004637679999995</v>
      </c>
      <c r="H26" s="22">
        <f>+[19]Total!E14/1000000</f>
        <v>27.843393429999981</v>
      </c>
      <c r="I26" s="22">
        <f t="shared" si="3"/>
        <v>39.184692446776602</v>
      </c>
      <c r="J26" s="22">
        <f t="shared" si="4"/>
        <v>0.76824269403411438</v>
      </c>
      <c r="K26" s="16"/>
    </row>
    <row r="27" spans="1:11">
      <c r="A27" s="14"/>
      <c r="B27" s="9" t="str">
        <f>+[19]Total!A15</f>
        <v>Risaralda</v>
      </c>
      <c r="C27" s="22">
        <f>+[19]Total!B15/1000000</f>
        <v>174.27189964000067</v>
      </c>
      <c r="D27" s="22">
        <f>+[19]Total!C15/1000000</f>
        <v>217.75882407999993</v>
      </c>
      <c r="E27" s="22">
        <f t="shared" si="1"/>
        <v>24.95349194553549</v>
      </c>
      <c r="F27" s="22">
        <f t="shared" si="2"/>
        <v>0.6619390984828788</v>
      </c>
      <c r="G27" s="22">
        <f>+[19]Total!D15/1000000</f>
        <v>16.522028219999967</v>
      </c>
      <c r="H27" s="22">
        <f>+[19]Total!E15/1000000</f>
        <v>27.970042430000014</v>
      </c>
      <c r="I27" s="22">
        <f t="shared" si="3"/>
        <v>69.289399930585944</v>
      </c>
      <c r="J27" s="22">
        <f t="shared" si="4"/>
        <v>0.7717371376694192</v>
      </c>
      <c r="K27" s="16"/>
    </row>
    <row r="28" spans="1:11">
      <c r="A28" s="14"/>
      <c r="B28" s="9" t="str">
        <f>+[19]Total!A16</f>
        <v>Boyacá</v>
      </c>
      <c r="C28" s="22">
        <f>+[19]Total!B16/1000000</f>
        <v>88.578787779999843</v>
      </c>
      <c r="D28" s="22">
        <f>+[19]Total!C16/1000000</f>
        <v>122.85674319999987</v>
      </c>
      <c r="E28" s="22">
        <f t="shared" si="1"/>
        <v>38.697702101246904</v>
      </c>
      <c r="F28" s="22">
        <f t="shared" si="2"/>
        <v>0.37345757252286543</v>
      </c>
      <c r="G28" s="22">
        <f>+[19]Total!D16/1000000</f>
        <v>7.2106061600000011</v>
      </c>
      <c r="H28" s="22">
        <f>+[19]Total!E16/1000000</f>
        <v>20.625504150000005</v>
      </c>
      <c r="I28" s="22">
        <f t="shared" si="3"/>
        <v>186.04397040040251</v>
      </c>
      <c r="J28" s="22">
        <f t="shared" si="4"/>
        <v>0.56908986017972674</v>
      </c>
      <c r="K28" s="16"/>
    </row>
    <row r="29" spans="1:11">
      <c r="A29" s="14"/>
      <c r="B29" s="9" t="str">
        <f>+[19]Total!A17</f>
        <v>Norte de Santander</v>
      </c>
      <c r="C29" s="22">
        <f>+[19]Total!B17/1000000</f>
        <v>153.7530773500003</v>
      </c>
      <c r="D29" s="22">
        <f>+[19]Total!C17/1000000</f>
        <v>112.83381494000011</v>
      </c>
      <c r="E29" s="22">
        <f t="shared" si="1"/>
        <v>-26.613621733796212</v>
      </c>
      <c r="F29" s="22">
        <f t="shared" si="2"/>
        <v>0.34299006736153426</v>
      </c>
      <c r="G29" s="22">
        <f>+[19]Total!D17/1000000</f>
        <v>11.679928050000013</v>
      </c>
      <c r="H29" s="22">
        <f>+[19]Total!E17/1000000</f>
        <v>12.831193120000005</v>
      </c>
      <c r="I29" s="22">
        <f t="shared" si="3"/>
        <v>9.8567822085170462</v>
      </c>
      <c r="J29" s="22">
        <f t="shared" si="4"/>
        <v>0.35403265032917375</v>
      </c>
      <c r="K29" s="16"/>
    </row>
    <row r="30" spans="1:11">
      <c r="A30" s="14"/>
      <c r="B30" s="9" t="str">
        <f>+[19]Total!A18</f>
        <v>Casanare</v>
      </c>
      <c r="C30" s="22">
        <f>+[19]Total!B18/1000000</f>
        <v>49.283147399999912</v>
      </c>
      <c r="D30" s="22">
        <f>+[19]Total!C18/1000000</f>
        <v>106.99981810999988</v>
      </c>
      <c r="E30" s="22">
        <f t="shared" si="1"/>
        <v>117.11238781393267</v>
      </c>
      <c r="F30" s="22">
        <f t="shared" si="2"/>
        <v>0.32525599564931928</v>
      </c>
      <c r="G30" s="22">
        <f>+[19]Total!D18/1000000</f>
        <v>8.1590675100000052</v>
      </c>
      <c r="H30" s="22">
        <f>+[19]Total!E18/1000000</f>
        <v>24.978309590000006</v>
      </c>
      <c r="I30" s="22">
        <f t="shared" si="3"/>
        <v>206.14171974169619</v>
      </c>
      <c r="J30" s="22">
        <f t="shared" si="4"/>
        <v>0.68919055789960049</v>
      </c>
      <c r="K30" s="16"/>
    </row>
    <row r="31" spans="1:11">
      <c r="A31" s="14"/>
      <c r="B31" s="9" t="str">
        <f>+[19]Total!A19</f>
        <v>Meta</v>
      </c>
      <c r="C31" s="22">
        <f>+[19]Total!B19/1000000</f>
        <v>35.925904120000013</v>
      </c>
      <c r="D31" s="22">
        <f>+[19]Total!C19/1000000</f>
        <v>84.832936230000016</v>
      </c>
      <c r="E31" s="22">
        <f t="shared" si="1"/>
        <v>136.1330586048449</v>
      </c>
      <c r="F31" s="22">
        <f t="shared" si="2"/>
        <v>0.25787353310243766</v>
      </c>
      <c r="G31" s="22">
        <f>+[19]Total!D19/1000000</f>
        <v>5.5352888199999981</v>
      </c>
      <c r="H31" s="22">
        <f>+[19]Total!E19/1000000</f>
        <v>44.038902479999997</v>
      </c>
      <c r="I31" s="22">
        <f t="shared" si="3"/>
        <v>695.60261283710236</v>
      </c>
      <c r="J31" s="22">
        <f t="shared" si="4"/>
        <v>1.2151020732655309</v>
      </c>
      <c r="K31" s="16"/>
    </row>
    <row r="32" spans="1:11">
      <c r="A32" s="14"/>
      <c r="B32" s="9" t="str">
        <f>+[19]Total!A20</f>
        <v>Córdoba</v>
      </c>
      <c r="C32" s="22">
        <f>+[19]Total!B20/1000000</f>
        <v>56.612071749999977</v>
      </c>
      <c r="D32" s="22">
        <f>+[19]Total!C20/1000000</f>
        <v>57.185855219999951</v>
      </c>
      <c r="E32" s="22">
        <f t="shared" si="1"/>
        <v>1.0135355450932915</v>
      </c>
      <c r="F32" s="22">
        <f t="shared" si="2"/>
        <v>0.17383246630865629</v>
      </c>
      <c r="G32" s="22">
        <f>+[19]Total!D20/1000000</f>
        <v>4.5270275700000004</v>
      </c>
      <c r="H32" s="22">
        <f>+[19]Total!E20/1000000</f>
        <v>7.0754654200000058</v>
      </c>
      <c r="I32" s="22">
        <f t="shared" si="3"/>
        <v>56.293844263024994</v>
      </c>
      <c r="J32" s="22">
        <f t="shared" si="4"/>
        <v>0.19522313720386289</v>
      </c>
      <c r="K32" s="16"/>
    </row>
    <row r="33" spans="1:13">
      <c r="A33" s="14"/>
      <c r="B33" s="9" t="str">
        <f>+[19]Total!A21</f>
        <v>Huila</v>
      </c>
      <c r="C33" s="22">
        <f>+[19]Total!B21/1000000</f>
        <v>50.976229830000008</v>
      </c>
      <c r="D33" s="22">
        <f>+[19]Total!C21/1000000</f>
        <v>51.099486230000025</v>
      </c>
      <c r="E33" s="22">
        <f t="shared" si="1"/>
        <v>0.24179191048663284</v>
      </c>
      <c r="F33" s="22">
        <f t="shared" si="2"/>
        <v>0.15533123854304987</v>
      </c>
      <c r="G33" s="22">
        <f>+[19]Total!D21/1000000</f>
        <v>15.602749439999998</v>
      </c>
      <c r="H33" s="22">
        <f>+[19]Total!E21/1000000</f>
        <v>1.6815109799999997</v>
      </c>
      <c r="I33" s="22">
        <f t="shared" si="3"/>
        <v>-89.222982869357665</v>
      </c>
      <c r="J33" s="22">
        <f t="shared" si="4"/>
        <v>4.6395513124893713E-2</v>
      </c>
      <c r="K33" s="16"/>
    </row>
    <row r="34" spans="1:13">
      <c r="A34" s="14"/>
      <c r="B34" s="9" t="str">
        <f>+[19]Total!A22</f>
        <v>Quindío</v>
      </c>
      <c r="C34" s="22">
        <f>+[19]Total!B22/1000000</f>
        <v>25.065826549999983</v>
      </c>
      <c r="D34" s="22">
        <f>+[19]Total!C22/1000000</f>
        <v>34.686857119999992</v>
      </c>
      <c r="E34" s="22">
        <f t="shared" si="1"/>
        <v>38.383057310352342</v>
      </c>
      <c r="F34" s="22">
        <f t="shared" si="2"/>
        <v>0.10544044324367766</v>
      </c>
      <c r="G34" s="22">
        <f>+[19]Total!D22/1000000</f>
        <v>2.9872372500000046</v>
      </c>
      <c r="H34" s="22">
        <f>+[19]Total!E22/1000000</f>
        <v>3.3443274000000005</v>
      </c>
      <c r="I34" s="22">
        <f t="shared" si="3"/>
        <v>11.953859707661163</v>
      </c>
      <c r="J34" s="22">
        <f t="shared" si="4"/>
        <v>9.2275214153309734E-2</v>
      </c>
      <c r="K34" s="16"/>
    </row>
    <row r="35" spans="1:13">
      <c r="A35" s="14"/>
      <c r="B35" s="9" t="str">
        <f>+[19]Total!A23</f>
        <v>Tolima</v>
      </c>
      <c r="C35" s="22">
        <f>+[19]Total!B23/1000000</f>
        <v>24.552587209999999</v>
      </c>
      <c r="D35" s="22">
        <f>+[19]Total!C23/1000000</f>
        <v>21.923341959999977</v>
      </c>
      <c r="E35" s="22">
        <f t="shared" si="1"/>
        <v>-10.708628086775141</v>
      </c>
      <c r="F35" s="22">
        <f t="shared" si="2"/>
        <v>6.6642154567306489E-2</v>
      </c>
      <c r="G35" s="22">
        <f>+[19]Total!D23/1000000</f>
        <v>2.8301501799999995</v>
      </c>
      <c r="H35" s="22">
        <f>+[19]Total!E23/1000000</f>
        <v>3.760407569999999</v>
      </c>
      <c r="I35" s="22">
        <f t="shared" si="3"/>
        <v>32.869541573231984</v>
      </c>
      <c r="J35" s="22">
        <f t="shared" si="4"/>
        <v>0.10375551563087901</v>
      </c>
      <c r="K35" s="16"/>
    </row>
    <row r="36" spans="1:13">
      <c r="A36" s="14"/>
      <c r="B36" s="9" t="str">
        <f>+[19]Total!A24</f>
        <v>Sucre</v>
      </c>
      <c r="C36" s="22">
        <f>+[19]Total!B24/1000000</f>
        <v>4.2191250800000013</v>
      </c>
      <c r="D36" s="22">
        <f>+[19]Total!C24/1000000</f>
        <v>7.6392984500000036</v>
      </c>
      <c r="E36" s="22">
        <f t="shared" si="1"/>
        <v>81.063568989995474</v>
      </c>
      <c r="F36" s="22">
        <f t="shared" si="2"/>
        <v>2.3221792964756804E-2</v>
      </c>
      <c r="G36" s="22">
        <f>+[19]Total!D24/1000000</f>
        <v>0.41882925999999993</v>
      </c>
      <c r="H36" s="22">
        <f>+[19]Total!E24/1000000</f>
        <v>0.29577784000000001</v>
      </c>
      <c r="I36" s="22">
        <f t="shared" si="3"/>
        <v>-29.379852782969351</v>
      </c>
      <c r="J36" s="22">
        <f t="shared" si="4"/>
        <v>8.1609723760309415E-3</v>
      </c>
      <c r="K36" s="16"/>
    </row>
    <row r="37" spans="1:13">
      <c r="A37" s="14"/>
      <c r="B37" s="9" t="str">
        <f>+[19]Total!A25</f>
        <v>Aráuca</v>
      </c>
      <c r="C37" s="22">
        <f>+[19]Total!B25/1000000</f>
        <v>4.3766704000000001</v>
      </c>
      <c r="D37" s="22">
        <f>+[19]Total!C25/1000000</f>
        <v>1.3455585200000006</v>
      </c>
      <c r="E37" s="22">
        <f t="shared" si="1"/>
        <v>-69.256114876733676</v>
      </c>
      <c r="F37" s="22">
        <f t="shared" si="2"/>
        <v>4.0902029915331527E-3</v>
      </c>
      <c r="G37" s="22">
        <f>+[19]Total!D25/1000000</f>
        <v>3.0666570000000001E-2</v>
      </c>
      <c r="H37" s="22">
        <f>+[19]Total!E25/1000000</f>
        <v>1.5462190000000001E-2</v>
      </c>
      <c r="I37" s="22">
        <f t="shared" si="3"/>
        <v>-49.579656283699158</v>
      </c>
      <c r="J37" s="22">
        <f t="shared" si="4"/>
        <v>4.2662596177909021E-4</v>
      </c>
      <c r="K37" s="16"/>
    </row>
    <row r="38" spans="1:13">
      <c r="A38" s="14"/>
      <c r="B38" s="9" t="str">
        <f>+[19]Total!A26</f>
        <v>Amazonas</v>
      </c>
      <c r="C38" s="22">
        <f>+[19]Total!B26/1000000</f>
        <v>1.38455846</v>
      </c>
      <c r="D38" s="22">
        <f>+[19]Total!C26/1000000</f>
        <v>1.290607350000001</v>
      </c>
      <c r="E38" s="22">
        <f t="shared" si="1"/>
        <v>-6.785636917057225</v>
      </c>
      <c r="F38" s="22">
        <f t="shared" si="2"/>
        <v>3.9231634785120133E-3</v>
      </c>
      <c r="G38" s="22">
        <f>+[19]Total!D26/1000000</f>
        <v>0.18631847000000001</v>
      </c>
      <c r="H38" s="22">
        <f>+[19]Total!E26/1000000</f>
        <v>0.17064774999999999</v>
      </c>
      <c r="I38" s="22">
        <f t="shared" si="3"/>
        <v>-8.4107174130401692</v>
      </c>
      <c r="J38" s="22">
        <f t="shared" si="4"/>
        <v>4.7084378389599226E-3</v>
      </c>
      <c r="K38" s="16"/>
    </row>
    <row r="39" spans="1:13">
      <c r="A39" s="14"/>
      <c r="B39" s="9" t="str">
        <f>+[19]Total!A27</f>
        <v>Vichada</v>
      </c>
      <c r="C39" s="22">
        <f>+[19]Total!B27/1000000</f>
        <v>0.29139981999999998</v>
      </c>
      <c r="D39" s="22">
        <f>+[19]Total!C27/1000000</f>
        <v>1.1673077200000006</v>
      </c>
      <c r="E39" s="22">
        <f t="shared" si="1"/>
        <v>300.586287253026</v>
      </c>
      <c r="F39" s="22">
        <f t="shared" si="2"/>
        <v>3.548359627185701E-3</v>
      </c>
      <c r="G39" s="22">
        <f>+[19]Total!D27/1000000</f>
        <v>4.8288060000000001E-2</v>
      </c>
      <c r="H39" s="22">
        <f>+[19]Total!E27/1000000</f>
        <v>0.13619151000000002</v>
      </c>
      <c r="I39" s="22">
        <f t="shared" si="3"/>
        <v>182.03972162062425</v>
      </c>
      <c r="J39" s="22">
        <f t="shared" si="4"/>
        <v>3.7577363840372285E-3</v>
      </c>
      <c r="K39" s="16"/>
    </row>
    <row r="40" spans="1:13">
      <c r="A40" s="14"/>
      <c r="B40" s="9" t="str">
        <f>+[19]Total!A28</f>
        <v>San Andrés</v>
      </c>
      <c r="C40" s="22">
        <f>+[19]Total!B28/1000000</f>
        <v>0.95918954999999972</v>
      </c>
      <c r="D40" s="22">
        <f>+[19]Total!C28/1000000</f>
        <v>0.8619768399999993</v>
      </c>
      <c r="E40" s="22">
        <f t="shared" si="1"/>
        <v>-10.134880014070259</v>
      </c>
      <c r="F40" s="22">
        <f t="shared" si="2"/>
        <v>2.6202206720821694E-3</v>
      </c>
      <c r="G40" s="22">
        <f>+[19]Total!D28/1000000</f>
        <v>1.7943750000000001E-2</v>
      </c>
      <c r="H40" s="22">
        <f>+[19]Total!E28/1000000</f>
        <v>2.4875760000000004E-2</v>
      </c>
      <c r="I40" s="22">
        <f t="shared" si="3"/>
        <v>38.631891327063748</v>
      </c>
      <c r="J40" s="22">
        <f t="shared" si="4"/>
        <v>6.8636105461036389E-4</v>
      </c>
      <c r="K40" s="16"/>
    </row>
    <row r="41" spans="1:13">
      <c r="A41" s="14"/>
      <c r="B41" s="9" t="str">
        <f>+[19]Total!A29</f>
        <v>Putumayo</v>
      </c>
      <c r="C41" s="22">
        <f>+[19]Total!B29/1000000</f>
        <v>28.631450450000003</v>
      </c>
      <c r="D41" s="22">
        <f>+[19]Total!C29/1000000</f>
        <v>0.48810674000000015</v>
      </c>
      <c r="E41" s="22">
        <f t="shared" si="1"/>
        <v>-98.295207779108523</v>
      </c>
      <c r="F41" s="22">
        <f t="shared" si="2"/>
        <v>1.4837375100827976E-3</v>
      </c>
      <c r="G41" s="22">
        <f>+[19]Total!D29/1000000</f>
        <v>3.0537950000000001E-2</v>
      </c>
      <c r="H41" s="22">
        <f>+[19]Total!E29/1000000</f>
        <v>4.0073810000000008E-2</v>
      </c>
      <c r="I41" s="22">
        <f t="shared" si="3"/>
        <v>31.226261094801732</v>
      </c>
      <c r="J41" s="22">
        <f t="shared" si="4"/>
        <v>1.1056989814122401E-3</v>
      </c>
      <c r="K41" s="16"/>
    </row>
    <row r="42" spans="1:13">
      <c r="A42" s="14"/>
      <c r="B42" s="9" t="str">
        <f>+[19]Total!A30</f>
        <v>Chocó</v>
      </c>
      <c r="C42" s="22">
        <f>+[19]Total!B30/1000000</f>
        <v>0.28198718999999994</v>
      </c>
      <c r="D42" s="22">
        <f>+[19]Total!C30/1000000</f>
        <v>0.47976751000000001</v>
      </c>
      <c r="E42" s="22">
        <f t="shared" si="1"/>
        <v>70.138051306515067</v>
      </c>
      <c r="F42" s="22">
        <f t="shared" si="2"/>
        <v>1.458388078611706E-3</v>
      </c>
      <c r="G42" s="22">
        <f>+[19]Total!D30/1000000</f>
        <v>0.23165040000000001</v>
      </c>
      <c r="H42" s="22">
        <f>+[19]Total!E30/1000000</f>
        <v>0.23755781999999998</v>
      </c>
      <c r="I42" s="22">
        <f t="shared" si="3"/>
        <v>2.5501445281337576</v>
      </c>
      <c r="J42" s="22">
        <f t="shared" si="4"/>
        <v>6.5545911307288282E-3</v>
      </c>
      <c r="K42" s="16"/>
    </row>
    <row r="43" spans="1:13">
      <c r="A43" s="14"/>
      <c r="B43" s="9" t="str">
        <f>+[19]Total!A31</f>
        <v>Caquetá</v>
      </c>
      <c r="C43" s="22">
        <f>+[19]Total!B31/1000000</f>
        <v>1.1119241799999999</v>
      </c>
      <c r="D43" s="22">
        <f>+[19]Total!C31/1000000</f>
        <v>0.45080794000000013</v>
      </c>
      <c r="E43" s="22">
        <f t="shared" ref="E43" si="5">IF(OR(OR(D43=0,C43=0),D43=""),"",(D43/C43-1)*100)</f>
        <v>-59.456953260967829</v>
      </c>
      <c r="F43" s="22">
        <f t="shared" ref="F43" si="6">(D43/D$13)*100</f>
        <v>1.3703573329496644E-3</v>
      </c>
      <c r="G43" s="22">
        <f>+[19]Total!D31/1000000</f>
        <v>1.5323480000000002E-2</v>
      </c>
      <c r="H43" s="22">
        <f>+[19]Total!E31/1000000</f>
        <v>2.5599939999999995E-2</v>
      </c>
      <c r="I43" s="22">
        <f t="shared" ref="I43" si="7">IF(OR(OR(H43=0,G43=0),H43=""),"",(H43/G43-1)*100)</f>
        <v>67.063486884180293</v>
      </c>
      <c r="J43" s="22">
        <f t="shared" ref="J43" si="8">(H43/H$13)*100</f>
        <v>7.0634231140524078E-4</v>
      </c>
      <c r="K43" s="16"/>
    </row>
    <row r="44" spans="1:13">
      <c r="A44" s="14"/>
      <c r="B44" s="9" t="str">
        <f>+[19]Total!A32</f>
        <v>Guaviare</v>
      </c>
      <c r="C44" s="22">
        <f>+[19]Total!B32/1000000</f>
        <v>0</v>
      </c>
      <c r="D44" s="22">
        <f>+[19]Total!C32/1000000</f>
        <v>4.1549599999999999E-2</v>
      </c>
      <c r="E44" s="22" t="str">
        <f t="shared" ref="E44" si="9">IF(OR(OR(D44=0,C44=0),D44=""),"",(D44/C44-1)*100)</f>
        <v/>
      </c>
      <c r="F44" s="22">
        <f t="shared" ref="F44" si="10">(D44/D$13)*100</f>
        <v>1.2630167747516903E-4</v>
      </c>
      <c r="G44" s="22">
        <f>+[19]Total!D32/1000000</f>
        <v>0</v>
      </c>
      <c r="H44" s="22">
        <f>+[19]Total!E32/1000000</f>
        <v>0</v>
      </c>
      <c r="I44" s="22" t="str">
        <f t="shared" ref="I44" si="11">IF(OR(OR(H44=0,G44=0),H44=""),"",(H44/G44-1)*100)</f>
        <v/>
      </c>
      <c r="J44" s="22">
        <f t="shared" ref="J44" si="12">(H44/H$13)*100</f>
        <v>0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tr">
        <f>IF(F45="","",1)</f>
        <v/>
      </c>
    </row>
    <row r="46" spans="1:13">
      <c r="A46" s="17"/>
      <c r="B46" s="39" t="s">
        <v>25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5703125" style="7" customWidth="1"/>
    <col min="8" max="8" width="10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72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82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7"/>
      <c r="D9" s="107"/>
      <c r="E9" s="107"/>
      <c r="F9" s="107"/>
      <c r="G9" s="107"/>
      <c r="H9" s="107"/>
      <c r="I9" s="8"/>
      <c r="J9" s="8"/>
      <c r="K9" s="16"/>
    </row>
    <row r="10" spans="1:14" ht="15.75" customHeight="1">
      <c r="A10" s="14"/>
      <c r="B10" s="9"/>
      <c r="C10" s="114" t="s">
        <v>140</v>
      </c>
      <c r="D10" s="114"/>
      <c r="E10" s="113" t="s">
        <v>1</v>
      </c>
      <c r="F10" s="113" t="s">
        <v>4</v>
      </c>
      <c r="G10" s="114" t="s">
        <v>141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107">
        <v>2009</v>
      </c>
      <c r="D11" s="107">
        <v>2010</v>
      </c>
      <c r="E11" s="113"/>
      <c r="F11" s="113"/>
      <c r="G11" s="107">
        <v>2009</v>
      </c>
      <c r="H11" s="107">
        <v>2010</v>
      </c>
      <c r="I11" s="113"/>
      <c r="J11" s="113"/>
      <c r="K11" s="16"/>
      <c r="N11" s="2"/>
    </row>
    <row r="12" spans="1:14" ht="12" customHeight="1">
      <c r="A12" s="14"/>
      <c r="B12" s="9"/>
      <c r="C12" s="107"/>
      <c r="D12" s="107"/>
      <c r="E12" s="107"/>
      <c r="F12" s="107"/>
      <c r="G12" s="107"/>
      <c r="H12" s="107"/>
      <c r="I12" s="107"/>
      <c r="J12" s="107"/>
      <c r="K12" s="16"/>
    </row>
    <row r="13" spans="1:14">
      <c r="A13" s="14"/>
      <c r="B13" s="10" t="s">
        <v>31</v>
      </c>
      <c r="C13" s="100">
        <f>SUM(C14:C41)</f>
        <v>2212.1826266699982</v>
      </c>
      <c r="D13" s="100">
        <f>SUM(D14:D41)</f>
        <v>2452.8134222500034</v>
      </c>
      <c r="E13" s="99">
        <f>IF(OR(OR(D13=0,C13=0),D13=""),"",(D13/C13-1)*100)</f>
        <v>10.877528495114674</v>
      </c>
      <c r="F13" s="99">
        <f>(D13/D$13)*100</f>
        <v>100</v>
      </c>
      <c r="G13" s="100">
        <f>SUM(G14:G41)</f>
        <v>221.37868104000015</v>
      </c>
      <c r="H13" s="100">
        <f>SUM(H14:H41)</f>
        <v>284.19638563000018</v>
      </c>
      <c r="I13" s="99">
        <f>IF(OR(OR(H13=0,G13=0),H13=""),"",(H13/G13-1)*100)</f>
        <v>28.375679308817325</v>
      </c>
      <c r="J13" s="99">
        <f>(H13/H$13)*100</f>
        <v>100</v>
      </c>
      <c r="K13" s="16"/>
    </row>
    <row r="14" spans="1:14">
      <c r="A14" s="14"/>
      <c r="B14" s="9" t="str">
        <f>+[19]Primarios!A2</f>
        <v>Antioquia</v>
      </c>
      <c r="C14" s="22">
        <f>[19]Primarios!B2/1000000</f>
        <v>636.3449129899991</v>
      </c>
      <c r="D14" s="22">
        <f>[19]Primarios!C2/1000000</f>
        <v>723.16716867000321</v>
      </c>
      <c r="E14" s="22">
        <f>IF(OR(OR(D14=0,C14=0),D14=""),"",(D14/C14-1)*100)</f>
        <v>13.643898757994567</v>
      </c>
      <c r="F14" s="22">
        <f>(D14/D$13)*100</f>
        <v>29.483170717756057</v>
      </c>
      <c r="G14" s="22">
        <f>[19]Primarios!D2/1000000</f>
        <v>67.365950600000019</v>
      </c>
      <c r="H14" s="22">
        <f>[19]Primarios!E2/1000000</f>
        <v>87.877491250000077</v>
      </c>
      <c r="I14" s="22">
        <f>IF(OR(OR(H14=0,G14=0),H14=""),"",(H14/G14-1)*100)</f>
        <v>30.447934701896795</v>
      </c>
      <c r="J14" s="22">
        <f>(H14/H$13)*100</f>
        <v>30.92139650375751</v>
      </c>
      <c r="K14" s="16"/>
    </row>
    <row r="15" spans="1:14">
      <c r="A15" s="14"/>
      <c r="B15" s="9" t="str">
        <f>+[19]Primarios!A3</f>
        <v>Bogotá</v>
      </c>
      <c r="C15" s="25">
        <f>[19]Primarios!B3/1000000</f>
        <v>400.20852915000063</v>
      </c>
      <c r="D15" s="25">
        <f>[19]Primarios!C3/1000000</f>
        <v>522.63412937999999</v>
      </c>
      <c r="E15" s="25">
        <f t="shared" ref="E15:E41" si="0">IF(OR(OR(D15=0,C15=0),D15=""),"",(D15/C15-1)*100)</f>
        <v>30.590452554826353</v>
      </c>
      <c r="F15" s="25">
        <f t="shared" ref="F15:F41" si="1">(D15/D$13)*100</f>
        <v>21.30753707718134</v>
      </c>
      <c r="G15" s="25">
        <f>[19]Primarios!D3/1000000</f>
        <v>44.752462370000067</v>
      </c>
      <c r="H15" s="25">
        <f>[19]Primarios!E3/1000000</f>
        <v>41.996588630000055</v>
      </c>
      <c r="I15" s="25">
        <f t="shared" ref="I15:I41" si="2">IF(OR(OR(H15=0,G15=0),H15=""),"",(H15/G15-1)*100)</f>
        <v>-6.1580382264002971</v>
      </c>
      <c r="J15" s="25">
        <f t="shared" ref="J15:J41" si="3">(H15/H$13)*100</f>
        <v>14.777312715256022</v>
      </c>
      <c r="K15" s="16"/>
    </row>
    <row r="16" spans="1:14">
      <c r="A16" s="14"/>
      <c r="B16" s="9" t="str">
        <f>+[19]Primarios!A4</f>
        <v>Valle del Cauca</v>
      </c>
      <c r="C16" s="22">
        <f>[19]Primarios!B4/1000000</f>
        <v>358.3182023599993</v>
      </c>
      <c r="D16" s="22">
        <f>[19]Primarios!C4/1000000</f>
        <v>412.59974481000012</v>
      </c>
      <c r="E16" s="22">
        <f t="shared" si="0"/>
        <v>15.148977108191852</v>
      </c>
      <c r="F16" s="22">
        <f t="shared" si="1"/>
        <v>16.821489195518019</v>
      </c>
      <c r="G16" s="22">
        <f>[19]Primarios!D4/1000000</f>
        <v>37.604473570000032</v>
      </c>
      <c r="H16" s="22">
        <f>[19]Primarios!E4/1000000</f>
        <v>63.067578870000027</v>
      </c>
      <c r="I16" s="22">
        <f t="shared" si="2"/>
        <v>67.712968385532363</v>
      </c>
      <c r="J16" s="22">
        <f t="shared" si="3"/>
        <v>22.191548541404998</v>
      </c>
      <c r="K16" s="16"/>
    </row>
    <row r="17" spans="1:11">
      <c r="A17" s="14"/>
      <c r="B17" s="9" t="str">
        <f>+[19]Primarios!A5</f>
        <v>Santander</v>
      </c>
      <c r="C17" s="22">
        <f>[19]Primarios!B5/1000000</f>
        <v>187.94771388999968</v>
      </c>
      <c r="D17" s="22">
        <f>[19]Primarios!C5/1000000</f>
        <v>193.52804064999992</v>
      </c>
      <c r="E17" s="22">
        <f t="shared" si="0"/>
        <v>2.9690846696152073</v>
      </c>
      <c r="F17" s="22">
        <f t="shared" si="1"/>
        <v>7.8900432823167481</v>
      </c>
      <c r="G17" s="22">
        <f>[19]Primarios!D5/1000000</f>
        <v>16.457845769999999</v>
      </c>
      <c r="H17" s="22">
        <f>[19]Primarios!E5/1000000</f>
        <v>20.470884170000005</v>
      </c>
      <c r="I17" s="22">
        <f t="shared" si="2"/>
        <v>24.383740472979333</v>
      </c>
      <c r="J17" s="22">
        <f t="shared" si="3"/>
        <v>7.203076888054226</v>
      </c>
      <c r="K17" s="16"/>
    </row>
    <row r="18" spans="1:11">
      <c r="A18" s="14"/>
      <c r="B18" s="9" t="str">
        <f>+[19]Primarios!A6</f>
        <v>Cundinamarca</v>
      </c>
      <c r="C18" s="22">
        <f>[19]Primarios!B6/1000000</f>
        <v>126.15311463999991</v>
      </c>
      <c r="D18" s="22">
        <f>[19]Primarios!C6/1000000</f>
        <v>167.27038196000012</v>
      </c>
      <c r="E18" s="22">
        <f t="shared" si="0"/>
        <v>32.59314479657165</v>
      </c>
      <c r="F18" s="22">
        <f t="shared" si="1"/>
        <v>6.8195314181932529</v>
      </c>
      <c r="G18" s="22">
        <f>[19]Primarios!D6/1000000</f>
        <v>16.991482089999995</v>
      </c>
      <c r="H18" s="22">
        <f>[19]Primarios!E6/1000000</f>
        <v>17.772604319999996</v>
      </c>
      <c r="I18" s="22">
        <f t="shared" si="2"/>
        <v>4.5971400603112444</v>
      </c>
      <c r="J18" s="22">
        <f t="shared" si="3"/>
        <v>6.2536348872284515</v>
      </c>
      <c r="K18" s="16"/>
    </row>
    <row r="19" spans="1:11">
      <c r="A19" s="14"/>
      <c r="B19" s="9" t="str">
        <f>+[19]Primarios!A7</f>
        <v>Atlántico</v>
      </c>
      <c r="C19" s="22">
        <f>[19]Primarios!B7/1000000</f>
        <v>131.43228157000007</v>
      </c>
      <c r="D19" s="22">
        <f>[19]Primarios!C7/1000000</f>
        <v>139.51264897999985</v>
      </c>
      <c r="E19" s="22">
        <f t="shared" si="0"/>
        <v>6.1479320859968656</v>
      </c>
      <c r="F19" s="22">
        <f t="shared" si="1"/>
        <v>5.6878622611263578</v>
      </c>
      <c r="G19" s="22">
        <f>[19]Primarios!D7/1000000</f>
        <v>7.5746351599999988</v>
      </c>
      <c r="H19" s="22">
        <f>[19]Primarios!E7/1000000</f>
        <v>19.744453899999993</v>
      </c>
      <c r="I19" s="22">
        <f t="shared" si="2"/>
        <v>160.66541137540406</v>
      </c>
      <c r="J19" s="22">
        <f t="shared" si="3"/>
        <v>6.9474683346978292</v>
      </c>
      <c r="K19" s="16"/>
    </row>
    <row r="20" spans="1:11">
      <c r="A20" s="14"/>
      <c r="B20" s="9" t="str">
        <f>+[19]Primarios!A8</f>
        <v>Nariño</v>
      </c>
      <c r="C20" s="22">
        <f>[19]Primarios!B8/1000000</f>
        <v>132.63128820999992</v>
      </c>
      <c r="D20" s="22">
        <f>[19]Primarios!C8/1000000</f>
        <v>98.491553100000175</v>
      </c>
      <c r="E20" s="22">
        <f t="shared" si="0"/>
        <v>-25.740332896371378</v>
      </c>
      <c r="F20" s="22">
        <f t="shared" si="1"/>
        <v>4.0154523049556845</v>
      </c>
      <c r="G20" s="22">
        <f>[19]Primarios!D8/1000000</f>
        <v>9.1992903200000065</v>
      </c>
      <c r="H20" s="22">
        <f>[19]Primarios!E8/1000000</f>
        <v>10.371180199999994</v>
      </c>
      <c r="I20" s="22">
        <f t="shared" si="2"/>
        <v>12.738916147174994</v>
      </c>
      <c r="J20" s="22">
        <f t="shared" si="3"/>
        <v>3.64930052752409</v>
      </c>
      <c r="K20" s="16"/>
    </row>
    <row r="21" spans="1:11">
      <c r="A21" s="14"/>
      <c r="B21" s="9" t="str">
        <f>+[19]Primarios!A9</f>
        <v>Bolívar</v>
      </c>
      <c r="C21" s="22">
        <f>[19]Primarios!B9/1000000</f>
        <v>125.14500977000013</v>
      </c>
      <c r="D21" s="22">
        <f>[19]Primarios!C9/1000000</f>
        <v>72.85154878999991</v>
      </c>
      <c r="E21" s="22">
        <f t="shared" si="0"/>
        <v>-41.786293417619</v>
      </c>
      <c r="F21" s="22">
        <f t="shared" si="1"/>
        <v>2.9701219069150424</v>
      </c>
      <c r="G21" s="22">
        <f>[19]Primarios!D9/1000000</f>
        <v>10.553767179999996</v>
      </c>
      <c r="H21" s="22">
        <f>[19]Primarios!E9/1000000</f>
        <v>9.5715054899999945</v>
      </c>
      <c r="I21" s="22">
        <f t="shared" si="2"/>
        <v>-9.3072139383692747</v>
      </c>
      <c r="J21" s="22">
        <f t="shared" si="3"/>
        <v>3.3679195000253417</v>
      </c>
      <c r="K21" s="16"/>
    </row>
    <row r="22" spans="1:11">
      <c r="A22" s="14"/>
      <c r="B22" s="9" t="str">
        <f>+[19]Primarios!A10</f>
        <v>Huila</v>
      </c>
      <c r="C22" s="22">
        <f>[19]Primarios!B10/1000000</f>
        <v>23.97764527</v>
      </c>
      <c r="D22" s="22">
        <f>[19]Primarios!C10/1000000</f>
        <v>20.451639640000003</v>
      </c>
      <c r="E22" s="22">
        <f t="shared" si="0"/>
        <v>-14.705387415217174</v>
      </c>
      <c r="F22" s="22">
        <f t="shared" si="1"/>
        <v>0.83380331559175014</v>
      </c>
      <c r="G22" s="22">
        <f>[19]Primarios!D10/1000000</f>
        <v>1.8497090700000001</v>
      </c>
      <c r="H22" s="22">
        <f>[19]Primarios!E10/1000000</f>
        <v>0.61523660000000002</v>
      </c>
      <c r="I22" s="22">
        <f t="shared" si="2"/>
        <v>-66.738736919314562</v>
      </c>
      <c r="J22" s="22">
        <f t="shared" si="3"/>
        <v>0.21648290798496869</v>
      </c>
      <c r="K22" s="16"/>
    </row>
    <row r="23" spans="1:11">
      <c r="A23" s="14"/>
      <c r="B23" s="9" t="str">
        <f>+[19]Primarios!A11</f>
        <v>Cauca</v>
      </c>
      <c r="C23" s="22">
        <f>[19]Primarios!B11/1000000</f>
        <v>19.736159620000009</v>
      </c>
      <c r="D23" s="22">
        <f>[19]Primarios!C11/1000000</f>
        <v>18.529617320000007</v>
      </c>
      <c r="E23" s="22">
        <f t="shared" si="0"/>
        <v>-6.1133590487246092</v>
      </c>
      <c r="F23" s="22">
        <f t="shared" si="1"/>
        <v>0.75544340845144686</v>
      </c>
      <c r="G23" s="22">
        <f>[19]Primarios!D11/1000000</f>
        <v>1.1925347700000002</v>
      </c>
      <c r="H23" s="22">
        <f>[19]Primarios!E11/1000000</f>
        <v>2.6540108600000001</v>
      </c>
      <c r="I23" s="22">
        <f t="shared" si="2"/>
        <v>122.55207368083698</v>
      </c>
      <c r="J23" s="22">
        <f t="shared" si="3"/>
        <v>0.93386509969739706</v>
      </c>
      <c r="K23" s="16"/>
    </row>
    <row r="24" spans="1:11">
      <c r="A24" s="14"/>
      <c r="B24" s="9" t="str">
        <f>+[19]Primarios!A12</f>
        <v>Córdoba</v>
      </c>
      <c r="C24" s="22">
        <f>[19]Primarios!B12/1000000</f>
        <v>11.89032978</v>
      </c>
      <c r="D24" s="22">
        <f>[19]Primarios!C12/1000000</f>
        <v>16.56872044</v>
      </c>
      <c r="E24" s="22">
        <f t="shared" si="0"/>
        <v>39.346180859249479</v>
      </c>
      <c r="F24" s="22">
        <f t="shared" si="1"/>
        <v>0.67549860456981914</v>
      </c>
      <c r="G24" s="22">
        <f>[19]Primarios!D12/1000000</f>
        <v>1.7100169599999999</v>
      </c>
      <c r="H24" s="22">
        <f>[19]Primarios!E12/1000000</f>
        <v>2.6216825799999999</v>
      </c>
      <c r="I24" s="22">
        <f t="shared" si="2"/>
        <v>53.31325017969413</v>
      </c>
      <c r="J24" s="22">
        <f t="shared" si="3"/>
        <v>0.92248976854097298</v>
      </c>
      <c r="K24" s="16"/>
    </row>
    <row r="25" spans="1:11">
      <c r="A25" s="14"/>
      <c r="B25" s="9" t="str">
        <f>+[19]Primarios!A13</f>
        <v>Cesar</v>
      </c>
      <c r="C25" s="22">
        <f>[19]Primarios!B13/1000000</f>
        <v>1.7153687000000004</v>
      </c>
      <c r="D25" s="22">
        <f>[19]Primarios!C13/1000000</f>
        <v>15.883323509999997</v>
      </c>
      <c r="E25" s="22">
        <f t="shared" si="0"/>
        <v>825.9422484507262</v>
      </c>
      <c r="F25" s="22">
        <f t="shared" si="1"/>
        <v>0.64755530795448679</v>
      </c>
      <c r="G25" s="22">
        <f>[19]Primarios!D13/1000000</f>
        <v>6.8298300000000003E-3</v>
      </c>
      <c r="H25" s="22">
        <f>[19]Primarios!E13/1000000</f>
        <v>2.4169250100000008</v>
      </c>
      <c r="I25" s="22">
        <f t="shared" si="2"/>
        <v>35287.777001770191</v>
      </c>
      <c r="J25" s="22">
        <f t="shared" si="3"/>
        <v>0.85044185366475211</v>
      </c>
      <c r="K25" s="16"/>
    </row>
    <row r="26" spans="1:11">
      <c r="A26" s="14"/>
      <c r="B26" s="9" t="str">
        <f>+[19]Primarios!A14</f>
        <v>Risaralda</v>
      </c>
      <c r="C26" s="22">
        <f>[19]Primarios!B14/1000000</f>
        <v>4.7877383700000005</v>
      </c>
      <c r="D26" s="22">
        <f>[19]Primarios!C14/1000000</f>
        <v>9.4591727899999967</v>
      </c>
      <c r="E26" s="22">
        <f t="shared" si="0"/>
        <v>97.570795623905312</v>
      </c>
      <c r="F26" s="22">
        <f t="shared" si="1"/>
        <v>0.38564583446069661</v>
      </c>
      <c r="G26" s="22">
        <f>[19]Primarios!D14/1000000</f>
        <v>0.49701369000000001</v>
      </c>
      <c r="H26" s="22">
        <f>[19]Primarios!E14/1000000</f>
        <v>1.28915913</v>
      </c>
      <c r="I26" s="22">
        <f t="shared" si="2"/>
        <v>159.38101020919567</v>
      </c>
      <c r="J26" s="22">
        <f t="shared" si="3"/>
        <v>0.45361559653273598</v>
      </c>
      <c r="K26" s="16"/>
    </row>
    <row r="27" spans="1:11">
      <c r="A27" s="14"/>
      <c r="B27" s="9" t="str">
        <f>+[19]Primarios!A15</f>
        <v>Norte de Santander</v>
      </c>
      <c r="C27" s="22">
        <f>[19]Primarios!B15/1000000</f>
        <v>8.8951966299999992</v>
      </c>
      <c r="D27" s="22">
        <f>[19]Primarios!C15/1000000</f>
        <v>9.3978169800000071</v>
      </c>
      <c r="E27" s="22">
        <f t="shared" si="0"/>
        <v>5.6504692465691786</v>
      </c>
      <c r="F27" s="22">
        <f t="shared" si="1"/>
        <v>0.38314438818502733</v>
      </c>
      <c r="G27" s="22">
        <f>[19]Primarios!D15/1000000</f>
        <v>0.78652145000000007</v>
      </c>
      <c r="H27" s="22">
        <f>[19]Primarios!E15/1000000</f>
        <v>0.86178904999999995</v>
      </c>
      <c r="I27" s="22">
        <f t="shared" si="2"/>
        <v>9.5696817931665947</v>
      </c>
      <c r="J27" s="22">
        <f t="shared" si="3"/>
        <v>0.30323716049013266</v>
      </c>
      <c r="K27" s="16"/>
    </row>
    <row r="28" spans="1:11">
      <c r="A28" s="14"/>
      <c r="B28" s="9" t="str">
        <f>+[19]Primarios!A16</f>
        <v>Magdalena</v>
      </c>
      <c r="C28" s="22">
        <f>[19]Primarios!B16/1000000</f>
        <v>13.520662769999999</v>
      </c>
      <c r="D28" s="22">
        <f>[19]Primarios!C16/1000000</f>
        <v>9.0078771399999962</v>
      </c>
      <c r="E28" s="22">
        <f t="shared" si="0"/>
        <v>-33.376955751112213</v>
      </c>
      <c r="F28" s="22">
        <f t="shared" si="1"/>
        <v>0.36724673219281928</v>
      </c>
      <c r="G28" s="22">
        <f>[19]Primarios!D16/1000000</f>
        <v>3.6188975400000003</v>
      </c>
      <c r="H28" s="22">
        <f>[19]Primarios!E16/1000000</f>
        <v>5.7004110000000004E-2</v>
      </c>
      <c r="I28" s="22">
        <f t="shared" si="2"/>
        <v>-98.424821112785637</v>
      </c>
      <c r="J28" s="22">
        <f t="shared" si="3"/>
        <v>2.0057999637692284E-2</v>
      </c>
      <c r="K28" s="16"/>
    </row>
    <row r="29" spans="1:11">
      <c r="A29" s="14"/>
      <c r="B29" s="9" t="str">
        <f>+[19]Primarios!A17</f>
        <v>Caldas</v>
      </c>
      <c r="C29" s="22">
        <f>[19]Primarios!B17/1000000</f>
        <v>9.4353477599999973</v>
      </c>
      <c r="D29" s="22">
        <f>[19]Primarios!C17/1000000</f>
        <v>7.3619594799999977</v>
      </c>
      <c r="E29" s="22">
        <f t="shared" si="0"/>
        <v>-21.974688508990369</v>
      </c>
      <c r="F29" s="22">
        <f t="shared" si="1"/>
        <v>0.30014347659785551</v>
      </c>
      <c r="G29" s="22">
        <f>[19]Primarios!D17/1000000</f>
        <v>0.65752229999999978</v>
      </c>
      <c r="H29" s="22">
        <f>[19]Primarios!E17/1000000</f>
        <v>1.1455156800000001</v>
      </c>
      <c r="I29" s="22">
        <f t="shared" si="2"/>
        <v>74.217008305269715</v>
      </c>
      <c r="J29" s="22">
        <f t="shared" si="3"/>
        <v>0.40307186787778687</v>
      </c>
      <c r="K29" s="16"/>
    </row>
    <row r="30" spans="1:11">
      <c r="A30" s="14"/>
      <c r="B30" s="9" t="str">
        <f>+[19]Primarios!A18</f>
        <v>Quindío</v>
      </c>
      <c r="C30" s="22">
        <f>[19]Primarios!B18/1000000</f>
        <v>3.4500471499999996</v>
      </c>
      <c r="D30" s="22">
        <f>[19]Primarios!C18/1000000</f>
        <v>5.4160750200000001</v>
      </c>
      <c r="E30" s="22">
        <f t="shared" si="0"/>
        <v>56.985536270134759</v>
      </c>
      <c r="F30" s="22">
        <f t="shared" si="1"/>
        <v>0.22081072171530078</v>
      </c>
      <c r="G30" s="22">
        <f>[19]Primarios!D18/1000000</f>
        <v>0.26999452000000002</v>
      </c>
      <c r="H30" s="22">
        <f>[19]Primarios!E18/1000000</f>
        <v>0.32827809000000002</v>
      </c>
      <c r="I30" s="22">
        <f t="shared" si="2"/>
        <v>21.586945542450266</v>
      </c>
      <c r="J30" s="22">
        <f t="shared" si="3"/>
        <v>0.11551100105382428</v>
      </c>
      <c r="K30" s="16"/>
    </row>
    <row r="31" spans="1:11">
      <c r="A31" s="14"/>
      <c r="B31" s="9" t="str">
        <f>+[19]Primarios!A19</f>
        <v>Boyacá</v>
      </c>
      <c r="C31" s="22">
        <f>[19]Primarios!B19/1000000</f>
        <v>2.0111760099999998</v>
      </c>
      <c r="D31" s="22">
        <f>[19]Primarios!C19/1000000</f>
        <v>2.8575669899999996</v>
      </c>
      <c r="E31" s="22">
        <f t="shared" si="0"/>
        <v>42.084381267057779</v>
      </c>
      <c r="F31" s="22">
        <f t="shared" si="1"/>
        <v>0.11650160440571583</v>
      </c>
      <c r="G31" s="22">
        <f>[19]Primarios!D19/1000000</f>
        <v>0.11794733</v>
      </c>
      <c r="H31" s="22">
        <f>[19]Primarios!E19/1000000</f>
        <v>0.46513020999999999</v>
      </c>
      <c r="I31" s="22">
        <f t="shared" si="2"/>
        <v>294.35416638935357</v>
      </c>
      <c r="J31" s="22">
        <f t="shared" si="3"/>
        <v>0.16366506877591344</v>
      </c>
      <c r="K31" s="16"/>
    </row>
    <row r="32" spans="1:11">
      <c r="A32" s="14"/>
      <c r="B32" s="9" t="str">
        <f>+[19]Primarios!A20</f>
        <v>Tolima</v>
      </c>
      <c r="C32" s="22">
        <f>[19]Primarios!B20/1000000</f>
        <v>6.8969850600000004</v>
      </c>
      <c r="D32" s="22">
        <f>[19]Primarios!C20/1000000</f>
        <v>2.2678610900000002</v>
      </c>
      <c r="E32" s="22">
        <f t="shared" si="0"/>
        <v>-67.118080287678623</v>
      </c>
      <c r="F32" s="22">
        <f t="shared" si="1"/>
        <v>9.2459584142346063E-2</v>
      </c>
      <c r="G32" s="22">
        <f>[19]Primarios!D20/1000000</f>
        <v>0</v>
      </c>
      <c r="H32" s="22">
        <f>[19]Primarios!E20/1000000</f>
        <v>0.27627978999999997</v>
      </c>
      <c r="I32" s="22" t="str">
        <f t="shared" si="2"/>
        <v/>
      </c>
      <c r="J32" s="22">
        <f t="shared" si="3"/>
        <v>9.7214392571372474E-2</v>
      </c>
      <c r="K32" s="16"/>
    </row>
    <row r="33" spans="1:13">
      <c r="A33" s="14"/>
      <c r="B33" s="9" t="str">
        <f>+[19]Primarios!A21</f>
        <v>Sucre</v>
      </c>
      <c r="C33" s="22">
        <f>[19]Primarios!B21/1000000</f>
        <v>1.29659989</v>
      </c>
      <c r="D33" s="22">
        <f>[19]Primarios!C21/1000000</f>
        <v>2.1465441099999998</v>
      </c>
      <c r="E33" s="22">
        <f t="shared" si="0"/>
        <v>65.551773261372077</v>
      </c>
      <c r="F33" s="22">
        <f t="shared" si="1"/>
        <v>8.7513550379667362E-2</v>
      </c>
      <c r="G33" s="22">
        <f>[19]Primarios!D21/1000000</f>
        <v>0</v>
      </c>
      <c r="H33" s="22">
        <f>[19]Primarios!E21/1000000</f>
        <v>7.7803239999999996E-2</v>
      </c>
      <c r="I33" s="22" t="str">
        <f t="shared" si="2"/>
        <v/>
      </c>
      <c r="J33" s="22">
        <f t="shared" si="3"/>
        <v>2.7376576175494816E-2</v>
      </c>
      <c r="K33" s="16"/>
    </row>
    <row r="34" spans="1:13">
      <c r="A34" s="14"/>
      <c r="B34" s="9" t="str">
        <f>+[19]Primarios!A22</f>
        <v>Guajira</v>
      </c>
      <c r="C34" s="22">
        <f>[19]Primarios!B22/1000000</f>
        <v>3.0781782299999993</v>
      </c>
      <c r="D34" s="22">
        <f>[19]Primarios!C22/1000000</f>
        <v>1.1480802799999998</v>
      </c>
      <c r="E34" s="22">
        <f t="shared" si="0"/>
        <v>-62.702605430355462</v>
      </c>
      <c r="F34" s="22">
        <f t="shared" si="1"/>
        <v>4.6806669825984901E-2</v>
      </c>
      <c r="G34" s="22">
        <f>[19]Primarios!D22/1000000</f>
        <v>2.9461260000000003E-2</v>
      </c>
      <c r="H34" s="22">
        <f>[19]Primarios!E22/1000000</f>
        <v>0.19285449000000002</v>
      </c>
      <c r="I34" s="22">
        <f t="shared" si="2"/>
        <v>554.60367275534043</v>
      </c>
      <c r="J34" s="22">
        <f t="shared" si="3"/>
        <v>6.7859585748243953E-2</v>
      </c>
      <c r="K34" s="16"/>
    </row>
    <row r="35" spans="1:13">
      <c r="A35" s="14"/>
      <c r="B35" s="9" t="str">
        <f>+[19]Primarios!A23</f>
        <v>Vichada</v>
      </c>
      <c r="C35" s="22">
        <f>[19]Primarios!B23/1000000</f>
        <v>0.15096046000000002</v>
      </c>
      <c r="D35" s="22">
        <f>[19]Primarios!C23/1000000</f>
        <v>0.85649409999999992</v>
      </c>
      <c r="E35" s="22">
        <f t="shared" si="0"/>
        <v>467.36320225839256</v>
      </c>
      <c r="F35" s="22">
        <f t="shared" si="1"/>
        <v>3.4918844304689299E-2</v>
      </c>
      <c r="G35" s="22">
        <f>[19]Primarios!D23/1000000</f>
        <v>4.1460659999999996E-2</v>
      </c>
      <c r="H35" s="22">
        <f>[19]Primarios!E23/1000000</f>
        <v>0</v>
      </c>
      <c r="I35" s="22" t="str">
        <f t="shared" si="2"/>
        <v/>
      </c>
      <c r="J35" s="22">
        <f t="shared" si="3"/>
        <v>0</v>
      </c>
      <c r="K35" s="16"/>
    </row>
    <row r="36" spans="1:13">
      <c r="A36" s="14"/>
      <c r="B36" s="9" t="str">
        <f>+[19]Primarios!A24</f>
        <v>Meta</v>
      </c>
      <c r="C36" s="22">
        <f>[19]Primarios!B24/1000000</f>
        <v>1.8873042499999999</v>
      </c>
      <c r="D36" s="22">
        <f>[19]Primarios!C24/1000000</f>
        <v>0.57413808</v>
      </c>
      <c r="E36" s="22">
        <f t="shared" si="0"/>
        <v>-69.578933550327136</v>
      </c>
      <c r="F36" s="22">
        <f t="shared" si="1"/>
        <v>2.3407327878748083E-2</v>
      </c>
      <c r="G36" s="22">
        <f>[19]Primarios!D24/1000000</f>
        <v>0.10086460000000001</v>
      </c>
      <c r="H36" s="22">
        <f>[19]Primarios!E24/1000000</f>
        <v>0.31770081</v>
      </c>
      <c r="I36" s="22">
        <f t="shared" si="2"/>
        <v>214.97751441040757</v>
      </c>
      <c r="J36" s="22">
        <f t="shared" si="3"/>
        <v>0.11178918032181444</v>
      </c>
      <c r="K36" s="16"/>
    </row>
    <row r="37" spans="1:13">
      <c r="A37" s="14"/>
      <c r="B37" s="9" t="str">
        <f>+[19]Primarios!A25</f>
        <v>San Andrés</v>
      </c>
      <c r="C37" s="22">
        <f>[19]Primarios!B25/1000000</f>
        <v>0.35754468</v>
      </c>
      <c r="D37" s="22">
        <f>[19]Primarios!C25/1000000</f>
        <v>0.44851075000000001</v>
      </c>
      <c r="E37" s="22">
        <f t="shared" si="0"/>
        <v>25.44187484484457</v>
      </c>
      <c r="F37" s="22">
        <f t="shared" si="1"/>
        <v>1.82855632610072E-2</v>
      </c>
      <c r="G37" s="22">
        <f>[19]Primarios!D25/1000000</f>
        <v>0</v>
      </c>
      <c r="H37" s="22">
        <f>[19]Primarios!E25/1000000</f>
        <v>0</v>
      </c>
      <c r="I37" s="22" t="str">
        <f t="shared" si="2"/>
        <v/>
      </c>
      <c r="J37" s="22">
        <f t="shared" si="3"/>
        <v>0</v>
      </c>
      <c r="K37" s="16"/>
    </row>
    <row r="38" spans="1:13">
      <c r="A38" s="14"/>
      <c r="B38" s="9" t="str">
        <f>+[19]Primarios!A26</f>
        <v>Amazonas</v>
      </c>
      <c r="C38" s="22">
        <f>[19]Primarios!B26/1000000</f>
        <v>0.22420247000000004</v>
      </c>
      <c r="D38" s="22">
        <f>[19]Primarios!C26/1000000</f>
        <v>0.28273284999999998</v>
      </c>
      <c r="E38" s="22">
        <f t="shared" si="0"/>
        <v>26.106037101196943</v>
      </c>
      <c r="F38" s="22">
        <f t="shared" si="1"/>
        <v>1.1526879600187639E-2</v>
      </c>
      <c r="G38" s="22">
        <f>[19]Primarios!D26/1000000</f>
        <v>0</v>
      </c>
      <c r="H38" s="22">
        <f>[19]Primarios!E26/1000000</f>
        <v>0</v>
      </c>
      <c r="I38" s="22" t="str">
        <f t="shared" si="2"/>
        <v/>
      </c>
      <c r="J38" s="22">
        <f t="shared" si="3"/>
        <v>0</v>
      </c>
      <c r="K38" s="16"/>
    </row>
    <row r="39" spans="1:13">
      <c r="A39" s="14"/>
      <c r="B39" s="9" t="str">
        <f>+[19]Primarios!A27</f>
        <v>Putumayo</v>
      </c>
      <c r="C39" s="22">
        <f>[19]Primarios!B27/1000000</f>
        <v>0.13038735000000001</v>
      </c>
      <c r="D39" s="22">
        <f>[19]Primarios!C27/1000000</f>
        <v>5.7675999999999998E-2</v>
      </c>
      <c r="E39" s="22">
        <f t="shared" si="0"/>
        <v>-55.76564751105073</v>
      </c>
      <c r="F39" s="22">
        <f t="shared" si="1"/>
        <v>2.351422227096789E-3</v>
      </c>
      <c r="G39" s="22">
        <f>[19]Primarios!D27/1000000</f>
        <v>0</v>
      </c>
      <c r="H39" s="22">
        <f>[19]Primarios!E27/1000000</f>
        <v>0</v>
      </c>
      <c r="I39" s="22" t="str">
        <f t="shared" si="2"/>
        <v/>
      </c>
      <c r="J39" s="22">
        <f t="shared" si="3"/>
        <v>0</v>
      </c>
      <c r="K39" s="16"/>
    </row>
    <row r="40" spans="1:13">
      <c r="A40" s="14"/>
      <c r="B40" s="9" t="str">
        <f>+[19]Primarios!A28</f>
        <v>Aráuca</v>
      </c>
      <c r="C40" s="22">
        <f>[19]Primarios!B28/1000000</f>
        <v>0</v>
      </c>
      <c r="D40" s="22">
        <f>[19]Primarios!C28/1000000</f>
        <v>2.4744020000000002E-2</v>
      </c>
      <c r="E40" s="22" t="str">
        <f t="shared" si="0"/>
        <v/>
      </c>
      <c r="F40" s="22">
        <f t="shared" si="1"/>
        <v>1.0088015572461248E-3</v>
      </c>
      <c r="G40" s="22">
        <f>[19]Primarios!D28/1000000</f>
        <v>0</v>
      </c>
      <c r="H40" s="22">
        <f>[19]Primarios!E28/1000000</f>
        <v>0</v>
      </c>
      <c r="I40" s="22" t="str">
        <f t="shared" si="2"/>
        <v/>
      </c>
      <c r="J40" s="22">
        <f t="shared" si="3"/>
        <v>0</v>
      </c>
      <c r="K40" s="16"/>
    </row>
    <row r="41" spans="1:13">
      <c r="A41" s="14"/>
      <c r="B41" s="9" t="str">
        <f>+[19]Primarios!A29</f>
        <v>Casanare</v>
      </c>
      <c r="C41" s="22">
        <f>[19]Primarios!B29/1000000</f>
        <v>0.55973963999999998</v>
      </c>
      <c r="D41" s="22">
        <f>[19]Primarios!C29/1000000</f>
        <v>1.7655319999999999E-2</v>
      </c>
      <c r="E41" s="22">
        <f t="shared" si="0"/>
        <v>-96.845797806994696</v>
      </c>
      <c r="F41" s="22">
        <f t="shared" si="1"/>
        <v>7.1979873560070883E-4</v>
      </c>
      <c r="G41" s="22">
        <f>[19]Primarios!D29/1000000</f>
        <v>0</v>
      </c>
      <c r="H41" s="22">
        <f>[19]Primarios!E29/1000000</f>
        <v>4.7291499999999997E-3</v>
      </c>
      <c r="I41" s="22" t="str">
        <f t="shared" si="2"/>
        <v/>
      </c>
      <c r="J41" s="22">
        <f t="shared" si="3"/>
        <v>1.6640429784201955E-3</v>
      </c>
      <c r="K41" s="16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  <c r="M42" s="7" t="str">
        <f>IF(F42="","",1)</f>
        <v/>
      </c>
    </row>
    <row r="43" spans="1:13">
      <c r="A43" s="17"/>
      <c r="B43" s="39" t="s">
        <v>25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3">
      <c r="B44" s="20"/>
      <c r="C44" s="20"/>
      <c r="D44" s="20"/>
      <c r="E44" s="20"/>
    </row>
    <row r="45" spans="1:13">
      <c r="B45" s="20"/>
      <c r="C45" s="20"/>
      <c r="D45" s="20"/>
      <c r="E45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1.42578125" style="7" customWidth="1"/>
    <col min="5" max="5" width="10.5703125" style="7" customWidth="1"/>
    <col min="6" max="6" width="10" style="7" customWidth="1"/>
    <col min="7" max="8" width="11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71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82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7"/>
      <c r="D9" s="107"/>
      <c r="E9" s="107"/>
      <c r="F9" s="107"/>
      <c r="G9" s="107"/>
      <c r="H9" s="107"/>
      <c r="I9" s="8"/>
      <c r="J9" s="8"/>
      <c r="K9" s="16"/>
    </row>
    <row r="10" spans="1:14" ht="15.75" customHeight="1">
      <c r="A10" s="14"/>
      <c r="B10" s="9"/>
      <c r="C10" s="114" t="s">
        <v>140</v>
      </c>
      <c r="D10" s="114"/>
      <c r="E10" s="113" t="s">
        <v>1</v>
      </c>
      <c r="F10" s="113" t="s">
        <v>4</v>
      </c>
      <c r="G10" s="114" t="s">
        <v>141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107">
        <v>2009</v>
      </c>
      <c r="D11" s="107">
        <v>2010</v>
      </c>
      <c r="E11" s="113"/>
      <c r="F11" s="113"/>
      <c r="G11" s="107">
        <v>2009</v>
      </c>
      <c r="H11" s="107">
        <v>2010</v>
      </c>
      <c r="I11" s="113"/>
      <c r="J11" s="113"/>
      <c r="K11" s="16"/>
      <c r="N11" s="2"/>
    </row>
    <row r="12" spans="1:14" ht="12" customHeight="1">
      <c r="A12" s="14"/>
      <c r="B12" s="9"/>
      <c r="C12" s="107"/>
      <c r="D12" s="107"/>
      <c r="E12" s="107"/>
      <c r="F12" s="107"/>
      <c r="G12" s="107"/>
      <c r="H12" s="107"/>
      <c r="I12" s="107"/>
      <c r="J12" s="107"/>
      <c r="K12" s="16"/>
    </row>
    <row r="13" spans="1:14">
      <c r="A13" s="14"/>
      <c r="B13" s="10" t="s">
        <v>31</v>
      </c>
      <c r="C13" s="100">
        <f>SUM(C14:C44)</f>
        <v>24688.159107409563</v>
      </c>
      <c r="D13" s="100">
        <f>SUM(D14:D44)</f>
        <v>30315.886451789087</v>
      </c>
      <c r="E13" s="99">
        <f>IF(OR(OR(D13=0,C13=0),D13=""),"",(D13/C13-1)*100)</f>
        <v>22.795249009435036</v>
      </c>
      <c r="F13" s="99">
        <f>(D13/D$13)*100</f>
        <v>100</v>
      </c>
      <c r="G13" s="100">
        <f>SUM(G14:G44)</f>
        <v>2735.4842683799925</v>
      </c>
      <c r="H13" s="100">
        <f t="shared" ref="H13" si="0">SUM(H14:H44)</f>
        <v>3327.9463815800091</v>
      </c>
      <c r="I13" s="99">
        <f>IF(OR(OR(H13=0,G13=0),H13=""),"",(H13/G13-1)*100)</f>
        <v>21.658399576572386</v>
      </c>
      <c r="J13" s="99">
        <f>(H13/H$13)*100</f>
        <v>100</v>
      </c>
      <c r="K13" s="16"/>
    </row>
    <row r="14" spans="1:14">
      <c r="A14" s="14"/>
      <c r="B14" s="9" t="str">
        <f>+[19]Manufacrturas!A2</f>
        <v>Bogotá</v>
      </c>
      <c r="C14" s="25">
        <f>[19]Manufacrturas!B2/1000000</f>
        <v>11069.852517099651</v>
      </c>
      <c r="D14" s="25">
        <f>[19]Manufacrturas!C2/1000000</f>
        <v>13831.708163959156</v>
      </c>
      <c r="E14" s="25">
        <f>IF(OR(OR(D14=0,C14=0),D14=""),"",(D14/C14-1)*100)</f>
        <v>24.949344560763166</v>
      </c>
      <c r="F14" s="25">
        <f>(D14/D$13)*100</f>
        <v>45.625280283179315</v>
      </c>
      <c r="G14" s="25">
        <f>[19]Manufacrturas!D2/1000000</f>
        <v>1215.4024998699931</v>
      </c>
      <c r="H14" s="25">
        <f>[19]Manufacrturas!E2/1000000</f>
        <v>1569.9305732200071</v>
      </c>
      <c r="I14" s="25">
        <f>IF(OR(OR(H14=0,G14=0),H14=""),"",(H14/G14-1)*100)</f>
        <v>29.169602118469928</v>
      </c>
      <c r="J14" s="25">
        <f>(H14/H$13)*100</f>
        <v>47.174154665155726</v>
      </c>
      <c r="K14" s="16"/>
    </row>
    <row r="15" spans="1:14">
      <c r="A15" s="14"/>
      <c r="B15" s="9" t="str">
        <f>+[19]Manufacrturas!A3</f>
        <v>Antioquia</v>
      </c>
      <c r="C15" s="22">
        <f>[19]Manufacrturas!B3/1000000</f>
        <v>2351.6896562599636</v>
      </c>
      <c r="D15" s="22">
        <f>[19]Manufacrturas!C3/1000000</f>
        <v>3199.1047654800218</v>
      </c>
      <c r="E15" s="22">
        <f t="shared" ref="E15:E41" si="1">IF(OR(OR(D15=0,C15=0),D15=""),"",(D15/C15-1)*100)</f>
        <v>36.034308649711647</v>
      </c>
      <c r="F15" s="22">
        <f t="shared" ref="F15:F41" si="2">(D15/D$13)*100</f>
        <v>10.552568768086367</v>
      </c>
      <c r="G15" s="22">
        <f>[19]Manufacrturas!D3/1000000</f>
        <v>273.10927994999867</v>
      </c>
      <c r="H15" s="22">
        <f>[19]Manufacrturas!E3/1000000</f>
        <v>396.34429656999902</v>
      </c>
      <c r="I15" s="22">
        <f t="shared" ref="I15:I41" si="3">IF(OR(OR(H15=0,G15=0),H15=""),"",(H15/G15-1)*100)</f>
        <v>45.122969326623561</v>
      </c>
      <c r="J15" s="22">
        <f t="shared" ref="J15:J41" si="4">(H15/H$13)*100</f>
        <v>11.909575790155207</v>
      </c>
      <c r="K15" s="16"/>
    </row>
    <row r="16" spans="1:14">
      <c r="A16" s="14"/>
      <c r="B16" s="9" t="str">
        <f>+[19]Manufacrturas!A4</f>
        <v>Valle del Cauca</v>
      </c>
      <c r="C16" s="22">
        <f>[19]Manufacrturas!B4/1000000</f>
        <v>2311.4874493399866</v>
      </c>
      <c r="D16" s="22">
        <f>[19]Manufacrturas!C4/1000000</f>
        <v>3010.5763378099214</v>
      </c>
      <c r="E16" s="22">
        <f t="shared" si="1"/>
        <v>30.244113532589157</v>
      </c>
      <c r="F16" s="22">
        <f t="shared" si="2"/>
        <v>9.930688791164318</v>
      </c>
      <c r="G16" s="22">
        <f>[19]Manufacrturas!D4/1000000</f>
        <v>257.54879808999948</v>
      </c>
      <c r="H16" s="22">
        <f>[19]Manufacrturas!E4/1000000</f>
        <v>258.76385817000079</v>
      </c>
      <c r="I16" s="22">
        <f t="shared" si="3"/>
        <v>0.47177858682017071</v>
      </c>
      <c r="J16" s="22">
        <f t="shared" si="4"/>
        <v>7.7754815883526192</v>
      </c>
      <c r="K16" s="16"/>
    </row>
    <row r="17" spans="1:11">
      <c r="A17" s="14"/>
      <c r="B17" s="9" t="str">
        <f>+[19]Manufacrturas!A5</f>
        <v>Cundinamarca</v>
      </c>
      <c r="C17" s="22">
        <f>[19]Manufacrturas!B5/1000000</f>
        <v>2156.2019571499886</v>
      </c>
      <c r="D17" s="22">
        <f>[19]Manufacrturas!C5/1000000</f>
        <v>2704.2892435399972</v>
      </c>
      <c r="E17" s="22">
        <f t="shared" si="1"/>
        <v>25.41910717465705</v>
      </c>
      <c r="F17" s="22">
        <f t="shared" si="2"/>
        <v>8.9203700107552155</v>
      </c>
      <c r="G17" s="22">
        <f>[19]Manufacrturas!D5/1000000</f>
        <v>232.5590257100009</v>
      </c>
      <c r="H17" s="22">
        <f>[19]Manufacrturas!E5/1000000</f>
        <v>396.53642531000048</v>
      </c>
      <c r="I17" s="22">
        <f t="shared" si="3"/>
        <v>70.510013145857428</v>
      </c>
      <c r="J17" s="22">
        <f t="shared" si="4"/>
        <v>11.91534898232756</v>
      </c>
      <c r="K17" s="16"/>
    </row>
    <row r="18" spans="1:11">
      <c r="A18" s="14"/>
      <c r="B18" s="9" t="str">
        <f>+[19]Manufacrturas!A6</f>
        <v>Bolívar</v>
      </c>
      <c r="C18" s="22">
        <f>[19]Manufacrturas!B6/1000000</f>
        <v>1885.8102465999889</v>
      </c>
      <c r="D18" s="22">
        <f>[19]Manufacrturas!C6/1000000</f>
        <v>1964.9586752499924</v>
      </c>
      <c r="E18" s="22">
        <f t="shared" si="1"/>
        <v>4.1970515746588832</v>
      </c>
      <c r="F18" s="22">
        <f t="shared" si="2"/>
        <v>6.4816137848214908</v>
      </c>
      <c r="G18" s="22">
        <f>[19]Manufacrturas!D6/1000000</f>
        <v>210.95078616000026</v>
      </c>
      <c r="H18" s="22">
        <f>[19]Manufacrturas!E6/1000000</f>
        <v>191.18654741999975</v>
      </c>
      <c r="I18" s="22">
        <f t="shared" si="3"/>
        <v>-9.3691230546113609</v>
      </c>
      <c r="J18" s="22">
        <f t="shared" si="4"/>
        <v>5.7448806410525801</v>
      </c>
      <c r="K18" s="16"/>
    </row>
    <row r="19" spans="1:11">
      <c r="A19" s="14"/>
      <c r="B19" s="9" t="str">
        <f>+[19]Manufacrturas!A7</f>
        <v>Atlántico</v>
      </c>
      <c r="C19" s="22">
        <f>[19]Manufacrturas!B7/1000000</f>
        <v>1458.0663855699845</v>
      </c>
      <c r="D19" s="22">
        <f>[19]Manufacrturas!C7/1000000</f>
        <v>1591.3558356499962</v>
      </c>
      <c r="E19" s="22">
        <f t="shared" si="1"/>
        <v>9.1415213600103851</v>
      </c>
      <c r="F19" s="22">
        <f t="shared" si="2"/>
        <v>5.2492472492292324</v>
      </c>
      <c r="G19" s="22">
        <f>[19]Manufacrturas!D7/1000000</f>
        <v>149.59958711000039</v>
      </c>
      <c r="H19" s="22">
        <f>[19]Manufacrturas!E7/1000000</f>
        <v>172.62552042000158</v>
      </c>
      <c r="I19" s="22">
        <f t="shared" si="3"/>
        <v>15.391709131570174</v>
      </c>
      <c r="J19" s="22">
        <f t="shared" si="4"/>
        <v>5.1871484881930146</v>
      </c>
      <c r="K19" s="16"/>
    </row>
    <row r="20" spans="1:11">
      <c r="A20" s="14"/>
      <c r="B20" s="9" t="str">
        <f>+[19]Manufacrturas!A8</f>
        <v>Magdalena</v>
      </c>
      <c r="C20" s="22">
        <f>[19]Manufacrturas!B8/1000000</f>
        <v>1006.9860021999967</v>
      </c>
      <c r="D20" s="22">
        <f>[19]Manufacrturas!C8/1000000</f>
        <v>1298.8773140799983</v>
      </c>
      <c r="E20" s="22">
        <f t="shared" si="1"/>
        <v>28.986630523393231</v>
      </c>
      <c r="F20" s="22">
        <f t="shared" si="2"/>
        <v>4.2844774344487133</v>
      </c>
      <c r="G20" s="22">
        <f>[19]Manufacrturas!D8/1000000</f>
        <v>138.16659557999989</v>
      </c>
      <c r="H20" s="22">
        <f>[19]Manufacrturas!E8/1000000</f>
        <v>5.9109149700000074</v>
      </c>
      <c r="I20" s="22">
        <f t="shared" si="3"/>
        <v>-95.721892874911632</v>
      </c>
      <c r="J20" s="22">
        <f t="shared" si="4"/>
        <v>0.17761448930537405</v>
      </c>
      <c r="K20" s="16"/>
    </row>
    <row r="21" spans="1:11">
      <c r="A21" s="14"/>
      <c r="B21" s="9" t="str">
        <f>+[19]Manufacrturas!A9</f>
        <v>Guajira</v>
      </c>
      <c r="C21" s="22">
        <f>[19]Manufacrturas!B9/1000000</f>
        <v>453.17898333000488</v>
      </c>
      <c r="D21" s="22">
        <f>[19]Manufacrturas!C9/1000000</f>
        <v>532.15298529000097</v>
      </c>
      <c r="E21" s="22">
        <f t="shared" si="1"/>
        <v>17.426669123022243</v>
      </c>
      <c r="F21" s="22">
        <f t="shared" si="2"/>
        <v>1.755360134813396</v>
      </c>
      <c r="G21" s="22">
        <f>[19]Manufacrturas!D9/1000000</f>
        <v>45.134070370000067</v>
      </c>
      <c r="H21" s="22">
        <f>[19]Manufacrturas!E9/1000000</f>
        <v>56.745568599999856</v>
      </c>
      <c r="I21" s="22">
        <f t="shared" si="3"/>
        <v>25.726680830714031</v>
      </c>
      <c r="J21" s="22">
        <f t="shared" si="4"/>
        <v>1.7051226820865657</v>
      </c>
      <c r="K21" s="16"/>
    </row>
    <row r="22" spans="1:11">
      <c r="A22" s="14"/>
      <c r="B22" s="9" t="str">
        <f>+[19]Manufacrturas!A10</f>
        <v>Cesar</v>
      </c>
      <c r="C22" s="22">
        <f>[19]Manufacrturas!B10/1000000</f>
        <v>587.90071139000554</v>
      </c>
      <c r="D22" s="22">
        <f>[19]Manufacrturas!C10/1000000</f>
        <v>422.67653891000253</v>
      </c>
      <c r="E22" s="22">
        <f t="shared" si="1"/>
        <v>-28.104094667508484</v>
      </c>
      <c r="F22" s="22">
        <f t="shared" si="2"/>
        <v>1.3942410675741872</v>
      </c>
      <c r="G22" s="22">
        <f>[19]Manufacrturas!D10/1000000</f>
        <v>53.86266190999995</v>
      </c>
      <c r="H22" s="22">
        <f>[19]Manufacrturas!E10/1000000</f>
        <v>39.920451680000035</v>
      </c>
      <c r="I22" s="22">
        <f t="shared" si="3"/>
        <v>-25.884740440968546</v>
      </c>
      <c r="J22" s="22">
        <f t="shared" si="4"/>
        <v>1.199552129233735</v>
      </c>
      <c r="K22" s="16"/>
    </row>
    <row r="23" spans="1:11">
      <c r="A23" s="14"/>
      <c r="B23" s="9" t="str">
        <f>+[19]Manufacrturas!A11</f>
        <v>Santander</v>
      </c>
      <c r="C23" s="22">
        <f>[19]Manufacrturas!B11/1000000</f>
        <v>243.55644613999843</v>
      </c>
      <c r="D23" s="22">
        <f>[19]Manufacrturas!C11/1000000</f>
        <v>301.58618121999956</v>
      </c>
      <c r="E23" s="22">
        <f t="shared" si="1"/>
        <v>23.825990237452022</v>
      </c>
      <c r="F23" s="22">
        <f t="shared" si="2"/>
        <v>0.99481234599426172</v>
      </c>
      <c r="G23" s="22">
        <f>[19]Manufacrturas!D11/1000000</f>
        <v>33.991524750000004</v>
      </c>
      <c r="H23" s="22">
        <f>[19]Manufacrturas!E11/1000000</f>
        <v>39.230447279999979</v>
      </c>
      <c r="I23" s="22">
        <f t="shared" si="3"/>
        <v>15.412437566514203</v>
      </c>
      <c r="J23" s="22">
        <f t="shared" si="4"/>
        <v>1.1788184898993037</v>
      </c>
      <c r="K23" s="16"/>
    </row>
    <row r="24" spans="1:11">
      <c r="A24" s="14"/>
      <c r="B24" s="9" t="str">
        <f>+[19]Manufacrturas!A12</f>
        <v>Caldas</v>
      </c>
      <c r="C24" s="22">
        <f>[19]Manufacrturas!B12/1000000</f>
        <v>196.97882256000011</v>
      </c>
      <c r="D24" s="22">
        <f>[19]Manufacrturas!C12/1000000</f>
        <v>246.23179216999912</v>
      </c>
      <c r="E24" s="22">
        <f t="shared" si="1"/>
        <v>25.00419535962881</v>
      </c>
      <c r="F24" s="22">
        <f t="shared" si="2"/>
        <v>0.81222032732434846</v>
      </c>
      <c r="G24" s="22">
        <f>[19]Manufacrturas!D12/1000000</f>
        <v>20.190785489999975</v>
      </c>
      <c r="H24" s="22">
        <f>[19]Manufacrturas!E12/1000000</f>
        <v>29.312873210000024</v>
      </c>
      <c r="I24" s="22">
        <f t="shared" si="3"/>
        <v>45.179459335636075</v>
      </c>
      <c r="J24" s="22">
        <f t="shared" si="4"/>
        <v>0.88080966004275441</v>
      </c>
      <c r="K24" s="16"/>
    </row>
    <row r="25" spans="1:11">
      <c r="A25" s="14"/>
      <c r="B25" s="9" t="str">
        <f>+[19]Manufacrturas!A13</f>
        <v>Nariño</v>
      </c>
      <c r="C25" s="22">
        <f>[19]Manufacrturas!B13/1000000</f>
        <v>173.69694932000002</v>
      </c>
      <c r="D25" s="22">
        <f>[19]Manufacrturas!C13/1000000</f>
        <v>237.09836418000074</v>
      </c>
      <c r="E25" s="22">
        <f t="shared" si="1"/>
        <v>36.50116775695178</v>
      </c>
      <c r="F25" s="22">
        <f t="shared" si="2"/>
        <v>0.78209279664988463</v>
      </c>
      <c r="G25" s="22">
        <f>[19]Manufacrturas!D13/1000000</f>
        <v>15.607847289999995</v>
      </c>
      <c r="H25" s="22">
        <f>[19]Manufacrturas!E13/1000000</f>
        <v>6.1402197700000052</v>
      </c>
      <c r="I25" s="22">
        <f t="shared" si="3"/>
        <v>-60.659406413246586</v>
      </c>
      <c r="J25" s="22">
        <f t="shared" si="4"/>
        <v>0.18450476858598946</v>
      </c>
      <c r="K25" s="16"/>
    </row>
    <row r="26" spans="1:11">
      <c r="A26" s="14"/>
      <c r="B26" s="9" t="str">
        <f>+[19]Manufacrturas!A14</f>
        <v>Cauca</v>
      </c>
      <c r="C26" s="22">
        <f>[19]Manufacrturas!B14/1000000</f>
        <v>160.11841292000011</v>
      </c>
      <c r="D26" s="22">
        <f>[19]Manufacrturas!C14/1000000</f>
        <v>223.48994195000057</v>
      </c>
      <c r="E26" s="22">
        <f t="shared" si="1"/>
        <v>39.577914790888393</v>
      </c>
      <c r="F26" s="22">
        <f t="shared" si="2"/>
        <v>0.73720404747330537</v>
      </c>
      <c r="G26" s="22">
        <f>[19]Manufacrturas!D14/1000000</f>
        <v>18.810428040000001</v>
      </c>
      <c r="H26" s="22">
        <f>[19]Manufacrturas!E14/1000000</f>
        <v>25.182811560000001</v>
      </c>
      <c r="I26" s="22">
        <f t="shared" si="3"/>
        <v>33.876866100278271</v>
      </c>
      <c r="J26" s="22">
        <f t="shared" si="4"/>
        <v>0.75670725043484499</v>
      </c>
      <c r="K26" s="16"/>
    </row>
    <row r="27" spans="1:11">
      <c r="A27" s="14"/>
      <c r="B27" s="9" t="str">
        <f>+[19]Manufacrturas!A15</f>
        <v>Risaralda</v>
      </c>
      <c r="C27" s="22">
        <f>[19]Manufacrturas!B15/1000000</f>
        <v>169.01938414000028</v>
      </c>
      <c r="D27" s="22">
        <f>[19]Manufacrturas!C15/1000000</f>
        <v>207.73941361000007</v>
      </c>
      <c r="E27" s="22">
        <f t="shared" si="1"/>
        <v>22.908632442967392</v>
      </c>
      <c r="F27" s="22">
        <f t="shared" si="2"/>
        <v>0.68524934588459108</v>
      </c>
      <c r="G27" s="22">
        <f>[19]Manufacrturas!D15/1000000</f>
        <v>15.984926109999979</v>
      </c>
      <c r="H27" s="22">
        <f>[19]Manufacrturas!E15/1000000</f>
        <v>26.550817689999977</v>
      </c>
      <c r="I27" s="22">
        <f t="shared" si="3"/>
        <v>66.099095530945888</v>
      </c>
      <c r="J27" s="22">
        <f t="shared" si="4"/>
        <v>0.79781386614151062</v>
      </c>
      <c r="K27" s="16"/>
    </row>
    <row r="28" spans="1:11">
      <c r="A28" s="14"/>
      <c r="B28" s="9" t="str">
        <f>+[19]Manufacrturas!A16</f>
        <v>Boyacá</v>
      </c>
      <c r="C28" s="22">
        <f>[19]Manufacrturas!B16/1000000</f>
        <v>86.553172859999847</v>
      </c>
      <c r="D28" s="22">
        <f>[19]Manufacrturas!C16/1000000</f>
        <v>119.87934465999983</v>
      </c>
      <c r="E28" s="22">
        <f t="shared" si="1"/>
        <v>38.503697436840611</v>
      </c>
      <c r="F28" s="22">
        <f t="shared" si="2"/>
        <v>0.3954340733220591</v>
      </c>
      <c r="G28" s="22">
        <f>[19]Manufacrturas!D16/1000000</f>
        <v>7.0926588300000013</v>
      </c>
      <c r="H28" s="22">
        <f>[19]Manufacrturas!E16/1000000</f>
        <v>20.126287319999985</v>
      </c>
      <c r="I28" s="22">
        <f t="shared" si="3"/>
        <v>183.76223645315224</v>
      </c>
      <c r="J28" s="22">
        <f t="shared" si="4"/>
        <v>0.60476597313579994</v>
      </c>
      <c r="K28" s="16"/>
    </row>
    <row r="29" spans="1:11">
      <c r="A29" s="14"/>
      <c r="B29" s="9" t="str">
        <f>+[19]Manufacrturas!A17</f>
        <v>Casanare</v>
      </c>
      <c r="C29" s="22">
        <f>[19]Manufacrturas!B17/1000000</f>
        <v>48.706124769999818</v>
      </c>
      <c r="D29" s="22">
        <f>[19]Manufacrturas!C17/1000000</f>
        <v>106.95940136999988</v>
      </c>
      <c r="E29" s="22">
        <f t="shared" si="1"/>
        <v>119.60154267062681</v>
      </c>
      <c r="F29" s="22">
        <f t="shared" si="2"/>
        <v>0.35281634116190486</v>
      </c>
      <c r="G29" s="22">
        <f>[19]Manufacrturas!D17/1000000</f>
        <v>8.152948980000005</v>
      </c>
      <c r="H29" s="22">
        <f>[19]Manufacrturas!E17/1000000</f>
        <v>24.97358044000001</v>
      </c>
      <c r="I29" s="22">
        <f t="shared" si="3"/>
        <v>206.31346401483302</v>
      </c>
      <c r="J29" s="22">
        <f t="shared" si="4"/>
        <v>0.75042015635309911</v>
      </c>
      <c r="K29" s="16"/>
    </row>
    <row r="30" spans="1:11">
      <c r="A30" s="14"/>
      <c r="B30" s="9" t="str">
        <f>+[19]Manufacrturas!A18</f>
        <v>Norte de Santander</v>
      </c>
      <c r="C30" s="22">
        <f>[19]Manufacrturas!B18/1000000</f>
        <v>144.50642755999962</v>
      </c>
      <c r="D30" s="22">
        <f>[19]Manufacrturas!C18/1000000</f>
        <v>103.21432777000005</v>
      </c>
      <c r="E30" s="22">
        <f t="shared" si="1"/>
        <v>-28.574576568820742</v>
      </c>
      <c r="F30" s="22">
        <f t="shared" si="2"/>
        <v>0.34046283929101101</v>
      </c>
      <c r="G30" s="22">
        <f>[19]Manufacrturas!D18/1000000</f>
        <v>10.892458930000009</v>
      </c>
      <c r="H30" s="22">
        <f>[19]Manufacrturas!E18/1000000</f>
        <v>11.969404069999998</v>
      </c>
      <c r="I30" s="22">
        <f t="shared" si="3"/>
        <v>9.887070926050189</v>
      </c>
      <c r="J30" s="22">
        <f t="shared" si="4"/>
        <v>0.35966336886465355</v>
      </c>
      <c r="K30" s="16"/>
    </row>
    <row r="31" spans="1:11">
      <c r="A31" s="14"/>
      <c r="B31" s="9" t="str">
        <f>+[19]Manufacrturas!A19</f>
        <v>Meta</v>
      </c>
      <c r="C31" s="22">
        <f>[19]Manufacrturas!B19/1000000</f>
        <v>34.02064558</v>
      </c>
      <c r="D31" s="22">
        <f>[19]Manufacrturas!C19/1000000</f>
        <v>84.216582159999987</v>
      </c>
      <c r="E31" s="22">
        <f t="shared" si="1"/>
        <v>147.54551456692252</v>
      </c>
      <c r="F31" s="22">
        <f t="shared" si="2"/>
        <v>0.27779686499990158</v>
      </c>
      <c r="G31" s="22">
        <f>[19]Manufacrturas!D19/1000000</f>
        <v>5.4344242199999995</v>
      </c>
      <c r="H31" s="22">
        <f>[19]Manufacrturas!E19/1000000</f>
        <v>43.699723540000008</v>
      </c>
      <c r="I31" s="22">
        <f t="shared" si="3"/>
        <v>704.12794016290491</v>
      </c>
      <c r="J31" s="22">
        <f t="shared" si="4"/>
        <v>1.313113810423012</v>
      </c>
      <c r="K31" s="16"/>
    </row>
    <row r="32" spans="1:11">
      <c r="A32" s="14"/>
      <c r="B32" s="9" t="str">
        <f>+[19]Manufacrturas!A20</f>
        <v>Córdoba</v>
      </c>
      <c r="C32" s="22">
        <f>[19]Manufacrturas!B20/1000000</f>
        <v>44.699555069999953</v>
      </c>
      <c r="D32" s="22">
        <f>[19]Manufacrturas!C20/1000000</f>
        <v>40.498758039999871</v>
      </c>
      <c r="E32" s="22">
        <f t="shared" si="1"/>
        <v>-9.397849762534749</v>
      </c>
      <c r="F32" s="22">
        <f t="shared" si="2"/>
        <v>0.13358922591428904</v>
      </c>
      <c r="G32" s="22">
        <f>[19]Manufacrturas!D20/1000000</f>
        <v>2.8114036099999997</v>
      </c>
      <c r="H32" s="22">
        <f>[19]Manufacrturas!E20/1000000</f>
        <v>4.4026463500000039</v>
      </c>
      <c r="I32" s="22">
        <f t="shared" si="3"/>
        <v>56.59958372181233</v>
      </c>
      <c r="J32" s="22">
        <f t="shared" si="4"/>
        <v>0.13229318760567768</v>
      </c>
      <c r="K32" s="16"/>
    </row>
    <row r="33" spans="1:13">
      <c r="A33" s="14"/>
      <c r="B33" s="9" t="str">
        <f>+[19]Manufacrturas!A21</f>
        <v>Huila</v>
      </c>
      <c r="C33" s="22">
        <f>[19]Manufacrturas!B21/1000000</f>
        <v>26.996853579999978</v>
      </c>
      <c r="D33" s="22">
        <f>[19]Manufacrturas!C21/1000000</f>
        <v>30.612769710000023</v>
      </c>
      <c r="E33" s="22">
        <f t="shared" si="1"/>
        <v>13.393842802032374</v>
      </c>
      <c r="F33" s="22">
        <f t="shared" si="2"/>
        <v>0.10097929928152707</v>
      </c>
      <c r="G33" s="22">
        <f>[19]Manufacrturas!D21/1000000</f>
        <v>13.753040370000001</v>
      </c>
      <c r="H33" s="22">
        <f>[19]Manufacrturas!E21/1000000</f>
        <v>1.0662743800000005</v>
      </c>
      <c r="I33" s="22">
        <f t="shared" si="3"/>
        <v>-92.246991564673195</v>
      </c>
      <c r="J33" s="22">
        <f t="shared" si="4"/>
        <v>3.2040010797702981E-2</v>
      </c>
      <c r="K33" s="16"/>
    </row>
    <row r="34" spans="1:13">
      <c r="A34" s="14"/>
      <c r="B34" s="9" t="str">
        <f>+[19]Manufacrturas!A22</f>
        <v>Quindío</v>
      </c>
      <c r="C34" s="22">
        <f>[19]Manufacrturas!B22/1000000</f>
        <v>21.476983069999946</v>
      </c>
      <c r="D34" s="22">
        <f>[19]Manufacrturas!C22/1000000</f>
        <v>29.153647089999975</v>
      </c>
      <c r="E34" s="22">
        <f t="shared" si="1"/>
        <v>35.743679617288308</v>
      </c>
      <c r="F34" s="22">
        <f t="shared" si="2"/>
        <v>9.6166236591374604E-2</v>
      </c>
      <c r="G34" s="22">
        <f>[19]Manufacrturas!D22/1000000</f>
        <v>2.6633356500000018</v>
      </c>
      <c r="H34" s="22">
        <f>[19]Manufacrturas!E22/1000000</f>
        <v>2.9857775099999984</v>
      </c>
      <c r="I34" s="22">
        <f t="shared" si="3"/>
        <v>12.106692598058233</v>
      </c>
      <c r="J34" s="22">
        <f t="shared" si="4"/>
        <v>8.9718317774772585E-2</v>
      </c>
      <c r="K34" s="16"/>
    </row>
    <row r="35" spans="1:13">
      <c r="A35" s="14"/>
      <c r="B35" s="9" t="str">
        <f>+[19]Manufacrturas!A23</f>
        <v>Tolima</v>
      </c>
      <c r="C35" s="22">
        <f>[19]Manufacrturas!B23/1000000</f>
        <v>17.561876720000015</v>
      </c>
      <c r="D35" s="22">
        <f>[19]Manufacrturas!C23/1000000</f>
        <v>19.641065349999987</v>
      </c>
      <c r="E35" s="22">
        <f t="shared" si="1"/>
        <v>11.839216634701266</v>
      </c>
      <c r="F35" s="22">
        <f t="shared" si="2"/>
        <v>6.4788029145164169E-2</v>
      </c>
      <c r="G35" s="22">
        <f>[19]Manufacrturas!D23/1000000</f>
        <v>2.83015018</v>
      </c>
      <c r="H35" s="22">
        <f>[19]Manufacrturas!E23/1000000</f>
        <v>3.4841074800000009</v>
      </c>
      <c r="I35" s="22">
        <f t="shared" si="3"/>
        <v>23.106805590083603</v>
      </c>
      <c r="J35" s="22">
        <f t="shared" si="4"/>
        <v>0.10469241629866197</v>
      </c>
      <c r="K35" s="16"/>
    </row>
    <row r="36" spans="1:13">
      <c r="A36" s="14"/>
      <c r="B36" s="9" t="str">
        <f>+[19]Manufacrturas!A24</f>
        <v>Sucre</v>
      </c>
      <c r="C36" s="22">
        <f>[19]Manufacrturas!B24/1000000</f>
        <v>2.9209555299999996</v>
      </c>
      <c r="D36" s="22">
        <f>[19]Manufacrturas!C24/1000000</f>
        <v>5.4868877700000027</v>
      </c>
      <c r="E36" s="22">
        <f t="shared" si="1"/>
        <v>87.845645496698239</v>
      </c>
      <c r="F36" s="22">
        <f t="shared" si="2"/>
        <v>1.8099051065934426E-2</v>
      </c>
      <c r="G36" s="22">
        <f>[19]Manufacrturas!D24/1000000</f>
        <v>0.41725960000000001</v>
      </c>
      <c r="H36" s="22">
        <f>[19]Manufacrturas!E24/1000000</f>
        <v>0.21797460000000002</v>
      </c>
      <c r="I36" s="22">
        <f t="shared" si="3"/>
        <v>-47.76043499059098</v>
      </c>
      <c r="J36" s="22">
        <f t="shared" si="4"/>
        <v>6.5498230742681678E-3</v>
      </c>
      <c r="K36" s="16"/>
    </row>
    <row r="37" spans="1:13">
      <c r="A37" s="14"/>
      <c r="B37" s="9" t="str">
        <f>+[19]Manufacrturas!A25</f>
        <v>Aráuca</v>
      </c>
      <c r="C37" s="22">
        <f>[19]Manufacrturas!B25/1000000</f>
        <v>4.3766703999999992</v>
      </c>
      <c r="D37" s="22">
        <f>[19]Manufacrturas!C25/1000000</f>
        <v>1.3149150199999997</v>
      </c>
      <c r="E37" s="22">
        <f t="shared" si="1"/>
        <v>-69.956270410492877</v>
      </c>
      <c r="F37" s="22">
        <f t="shared" si="2"/>
        <v>4.3373794201633856E-3</v>
      </c>
      <c r="G37" s="22">
        <f>[19]Manufacrturas!D25/1000000</f>
        <v>3.0666570000000001E-2</v>
      </c>
      <c r="H37" s="22">
        <f>[19]Manufacrturas!E25/1000000</f>
        <v>1.5462190000000001E-2</v>
      </c>
      <c r="I37" s="22">
        <f t="shared" si="3"/>
        <v>-49.579656283699158</v>
      </c>
      <c r="J37" s="22">
        <f t="shared" si="4"/>
        <v>4.6461656009791287E-4</v>
      </c>
      <c r="K37" s="16"/>
    </row>
    <row r="38" spans="1:13">
      <c r="A38" s="14"/>
      <c r="B38" s="9" t="str">
        <f>+[19]Manufacrturas!A26</f>
        <v>Amazonas</v>
      </c>
      <c r="C38" s="22">
        <f>[19]Manufacrturas!B26/1000000</f>
        <v>1.1603559900000004</v>
      </c>
      <c r="D38" s="22">
        <f>[19]Manufacrturas!C26/1000000</f>
        <v>1.0078745000000002</v>
      </c>
      <c r="E38" s="22">
        <f t="shared" si="1"/>
        <v>-13.140923243736625</v>
      </c>
      <c r="F38" s="22">
        <f t="shared" si="2"/>
        <v>3.3245753892198024E-3</v>
      </c>
      <c r="G38" s="22">
        <f>[19]Manufacrturas!D26/1000000</f>
        <v>0.18631847000000001</v>
      </c>
      <c r="H38" s="22">
        <f>[19]Manufacrturas!E26/1000000</f>
        <v>0.17064775000000004</v>
      </c>
      <c r="I38" s="22">
        <f t="shared" si="3"/>
        <v>-8.4107174130401354</v>
      </c>
      <c r="J38" s="22">
        <f t="shared" si="4"/>
        <v>5.1277193329954318E-3</v>
      </c>
      <c r="K38" s="16"/>
    </row>
    <row r="39" spans="1:13">
      <c r="A39" s="14"/>
      <c r="B39" s="9" t="str">
        <f>+[19]Manufacrturas!A27</f>
        <v>Chocó</v>
      </c>
      <c r="C39" s="22">
        <f>[19]Manufacrturas!B27/1000000</f>
        <v>0.28198719</v>
      </c>
      <c r="D39" s="22">
        <f>[19]Manufacrturas!C27/1000000</f>
        <v>0.47976751000000001</v>
      </c>
      <c r="E39" s="22">
        <f t="shared" si="1"/>
        <v>70.138051306515024</v>
      </c>
      <c r="F39" s="22">
        <f t="shared" si="2"/>
        <v>1.5825613767321875E-3</v>
      </c>
      <c r="G39" s="22">
        <f>[19]Manufacrturas!D27/1000000</f>
        <v>0.23165040000000001</v>
      </c>
      <c r="H39" s="22">
        <f>[19]Manufacrturas!E27/1000000</f>
        <v>0.23755782</v>
      </c>
      <c r="I39" s="22">
        <f t="shared" si="3"/>
        <v>2.5501445281337798</v>
      </c>
      <c r="J39" s="22">
        <f t="shared" si="4"/>
        <v>7.138270655887631E-3</v>
      </c>
      <c r="K39" s="16"/>
    </row>
    <row r="40" spans="1:13">
      <c r="A40" s="14"/>
      <c r="B40" s="9" t="str">
        <f>+[19]Manufacrturas!A28</f>
        <v>Caquetá</v>
      </c>
      <c r="C40" s="22">
        <f>[19]Manufacrturas!B28/1000000</f>
        <v>1.1119241799999999</v>
      </c>
      <c r="D40" s="22">
        <f>[19]Manufacrturas!C28/1000000</f>
        <v>0.43093532000000007</v>
      </c>
      <c r="E40" s="22">
        <f t="shared" si="1"/>
        <v>-61.244181235450768</v>
      </c>
      <c r="F40" s="22">
        <f t="shared" si="2"/>
        <v>1.4214834874952782E-3</v>
      </c>
      <c r="G40" s="22">
        <f>[19]Manufacrturas!D28/1000000</f>
        <v>1.5323480000000002E-2</v>
      </c>
      <c r="H40" s="22">
        <f>[19]Manufacrturas!E28/1000000</f>
        <v>1.447118E-2</v>
      </c>
      <c r="I40" s="22">
        <f t="shared" si="3"/>
        <v>-5.5620524841615726</v>
      </c>
      <c r="J40" s="22">
        <f t="shared" si="4"/>
        <v>4.3483813561712246E-4</v>
      </c>
      <c r="K40" s="16"/>
    </row>
    <row r="41" spans="1:13">
      <c r="A41" s="14"/>
      <c r="B41" s="9" t="str">
        <f>+[19]Manufacrturas!A29</f>
        <v>Putumayo</v>
      </c>
      <c r="C41" s="22">
        <f>[19]Manufacrturas!B29/1000000</f>
        <v>28.501063099999996</v>
      </c>
      <c r="D41" s="22">
        <f>[19]Manufacrturas!C29/1000000</f>
        <v>0.43043074000000014</v>
      </c>
      <c r="E41" s="22">
        <f t="shared" si="1"/>
        <v>-98.489773035869661</v>
      </c>
      <c r="F41" s="22">
        <f t="shared" si="2"/>
        <v>1.4198190796251592E-3</v>
      </c>
      <c r="G41" s="22">
        <f>[19]Manufacrturas!D29/1000000</f>
        <v>3.0537950000000001E-2</v>
      </c>
      <c r="H41" s="22">
        <f>[19]Manufacrturas!E29/1000000</f>
        <v>4.0073810000000008E-2</v>
      </c>
      <c r="I41" s="22">
        <f t="shared" si="3"/>
        <v>31.226261094801732</v>
      </c>
      <c r="J41" s="22">
        <f t="shared" si="4"/>
        <v>1.2041603260739486E-3</v>
      </c>
      <c r="K41" s="16"/>
    </row>
    <row r="42" spans="1:13">
      <c r="A42" s="14"/>
      <c r="B42" s="9" t="str">
        <f>+[19]Manufacrturas!A30</f>
        <v>San Andrés</v>
      </c>
      <c r="C42" s="22">
        <f>[19]Manufacrturas!B30/1000000</f>
        <v>0.60014842999999984</v>
      </c>
      <c r="D42" s="22">
        <f>[19]Manufacrturas!C30/1000000</f>
        <v>0.41346609000000034</v>
      </c>
      <c r="E42" s="22">
        <f t="shared" ref="E42:E44" si="5">IF(OR(OR(D42=0,C42=0),D42=""),"",(D42/C42-1)*100)</f>
        <v>-31.10602822038534</v>
      </c>
      <c r="F42" s="22">
        <f t="shared" ref="F42:F44" si="6">(D42/D$13)*100</f>
        <v>1.3638594756499351E-3</v>
      </c>
      <c r="G42" s="22">
        <f>[19]Manufacrturas!D30/1000000</f>
        <v>1.644731E-2</v>
      </c>
      <c r="H42" s="22">
        <f>[19]Manufacrturas!E30/1000000</f>
        <v>2.4875760000000004E-2</v>
      </c>
      <c r="I42" s="22">
        <f t="shared" ref="I42:I44" si="7">IF(OR(OR(H42=0,G42=0),H42=""),"",(H42/G42-1)*100)</f>
        <v>51.24515802280132</v>
      </c>
      <c r="J42" s="22">
        <f t="shared" ref="J42:J44" si="8">(H42/H$13)*100</f>
        <v>7.4748079289035116E-4</v>
      </c>
      <c r="K42" s="16"/>
    </row>
    <row r="43" spans="1:13">
      <c r="A43" s="14"/>
      <c r="B43" s="9" t="str">
        <f>+[19]Manufacrturas!A31</f>
        <v>Vichada</v>
      </c>
      <c r="C43" s="22">
        <f>[19]Manufacrturas!B31/1000000</f>
        <v>0.14043936000000001</v>
      </c>
      <c r="D43" s="22">
        <f>[19]Manufacrturas!C31/1000000</f>
        <v>0.25917598999999997</v>
      </c>
      <c r="E43" s="22">
        <f t="shared" si="5"/>
        <v>84.546547349688822</v>
      </c>
      <c r="F43" s="22">
        <f t="shared" si="6"/>
        <v>8.5491806552371067E-4</v>
      </c>
      <c r="G43" s="22">
        <f>[19]Manufacrturas!D31/1000000</f>
        <v>6.8274E-3</v>
      </c>
      <c r="H43" s="22">
        <f>[19]Manufacrturas!E31/1000000</f>
        <v>0.13619151000000002</v>
      </c>
      <c r="I43" s="22">
        <f t="shared" si="7"/>
        <v>1894.7785394147115</v>
      </c>
      <c r="J43" s="22">
        <f t="shared" si="8"/>
        <v>4.0923589019886903E-3</v>
      </c>
      <c r="K43" s="16"/>
    </row>
    <row r="44" spans="1:13">
      <c r="A44" s="14"/>
      <c r="B44" s="9" t="str">
        <f>+[19]Manufacrturas!A32</f>
        <v>Guaviare</v>
      </c>
      <c r="C44" s="22">
        <f>[19]Manufacrturas!B32/1000000</f>
        <v>0</v>
      </c>
      <c r="D44" s="22">
        <f>[19]Manufacrturas!C32/1000000</f>
        <v>4.1549599999999999E-2</v>
      </c>
      <c r="E44" s="22" t="str">
        <f t="shared" si="5"/>
        <v/>
      </c>
      <c r="F44" s="22">
        <f t="shared" si="6"/>
        <v>1.3705553379108912E-4</v>
      </c>
      <c r="G44" s="22">
        <f>[19]Manufacrturas!D32/1000000</f>
        <v>0</v>
      </c>
      <c r="H44" s="22">
        <f>[19]Manufacrturas!E32/1000000</f>
        <v>0</v>
      </c>
      <c r="I44" s="22" t="str">
        <f t="shared" si="7"/>
        <v/>
      </c>
      <c r="J44" s="22">
        <f t="shared" si="8"/>
        <v>0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tr">
        <f>IF(F45="","",1)</f>
        <v/>
      </c>
    </row>
    <row r="46" spans="1:13">
      <c r="A46" s="17"/>
      <c r="B46" s="39" t="s">
        <v>25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73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82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7"/>
      <c r="D9" s="107"/>
      <c r="E9" s="107"/>
      <c r="F9" s="107"/>
      <c r="G9" s="107"/>
      <c r="H9" s="107"/>
      <c r="I9" s="8"/>
      <c r="J9" s="8"/>
      <c r="K9" s="16"/>
    </row>
    <row r="10" spans="1:14" ht="15.75" customHeight="1">
      <c r="A10" s="14"/>
      <c r="B10" s="9"/>
      <c r="C10" s="114" t="s">
        <v>140</v>
      </c>
      <c r="D10" s="114"/>
      <c r="E10" s="113" t="s">
        <v>1</v>
      </c>
      <c r="F10" s="113" t="s">
        <v>4</v>
      </c>
      <c r="G10" s="114" t="s">
        <v>141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107">
        <v>2009</v>
      </c>
      <c r="D11" s="107">
        <v>2010</v>
      </c>
      <c r="E11" s="113"/>
      <c r="F11" s="113"/>
      <c r="G11" s="107">
        <v>2009</v>
      </c>
      <c r="H11" s="107">
        <v>2010</v>
      </c>
      <c r="I11" s="113"/>
      <c r="J11" s="113"/>
      <c r="K11" s="16"/>
      <c r="N11" s="2"/>
    </row>
    <row r="12" spans="1:14" ht="12" customHeight="1">
      <c r="A12" s="14"/>
      <c r="B12" s="9"/>
      <c r="C12" s="107"/>
      <c r="D12" s="107"/>
      <c r="E12" s="107"/>
      <c r="F12" s="107"/>
      <c r="G12" s="107"/>
      <c r="H12" s="107"/>
      <c r="I12" s="107"/>
      <c r="J12" s="107"/>
      <c r="K12" s="16"/>
    </row>
    <row r="13" spans="1:14">
      <c r="A13" s="14"/>
      <c r="B13" s="10" t="s">
        <v>31</v>
      </c>
      <c r="C13" s="100">
        <f>SUM(C14:C43)</f>
        <v>4815.3464426199962</v>
      </c>
      <c r="D13" s="100">
        <f>SUM(D14:D43)</f>
        <v>6688.7024321699664</v>
      </c>
      <c r="E13" s="99">
        <f>IF(OR(OR(D13=0,C13=0),D13=""),"",(D13/C13-1)*100)</f>
        <v>38.903867289155848</v>
      </c>
      <c r="F13" s="99">
        <f>(D13/D$13)*100</f>
        <v>100</v>
      </c>
      <c r="G13" s="100">
        <f t="shared" ref="G13:H13" si="0">SUM(G14:G43)</f>
        <v>573.52537910999968</v>
      </c>
      <c r="H13" s="100">
        <f t="shared" si="0"/>
        <v>653.78174341000033</v>
      </c>
      <c r="I13" s="99">
        <f>IF(OR(OR(H13=0,G13=0),H13=""),"",(H13/G13-1)*100)</f>
        <v>13.993515757671094</v>
      </c>
      <c r="J13" s="99">
        <f>(H13/H$13)*100</f>
        <v>100</v>
      </c>
      <c r="K13" s="16"/>
    </row>
    <row r="14" spans="1:14">
      <c r="A14" s="14"/>
      <c r="B14" s="9" t="str">
        <f>+[19]Rec_naturales!A2</f>
        <v>Bogotá</v>
      </c>
      <c r="C14" s="25">
        <f>[19]Rec_naturales!B2/1000000</f>
        <v>1010.4224253199902</v>
      </c>
      <c r="D14" s="25">
        <f>[19]Rec_naturales!C2/1000000</f>
        <v>1497.688472029977</v>
      </c>
      <c r="E14" s="25">
        <f>IF(OR(OR(D14=0,C14=0),D14=""),"",(D14/C14-1)*100)</f>
        <v>48.223993698049085</v>
      </c>
      <c r="F14" s="25">
        <f>(D14/D$13)*100</f>
        <v>22.391315613424485</v>
      </c>
      <c r="G14" s="25">
        <f>[19]Rec_naturales!D2/1000000</f>
        <v>113.91360245999996</v>
      </c>
      <c r="H14" s="25">
        <f>[19]Rec_naturales!E2/1000000</f>
        <v>232.46101542000008</v>
      </c>
      <c r="I14" s="25">
        <f>IF(OR(OR(H14=0,G14=0),H14=""),"",(H14/G14-1)*100)</f>
        <v>104.0678289510046</v>
      </c>
      <c r="J14" s="25">
        <f>(H14/H$13)*100</f>
        <v>35.556363842087109</v>
      </c>
      <c r="K14" s="16"/>
    </row>
    <row r="15" spans="1:14">
      <c r="A15" s="14"/>
      <c r="B15" s="9" t="str">
        <f>+[19]Rec_naturales!A3</f>
        <v>Bolívar</v>
      </c>
      <c r="C15" s="22">
        <f>[19]Rec_naturales!B3/1000000</f>
        <v>682.52941970999939</v>
      </c>
      <c r="D15" s="22">
        <f>[19]Rec_naturales!C3/1000000</f>
        <v>1130.7908758099982</v>
      </c>
      <c r="E15" s="22">
        <f t="shared" ref="E15:E43" si="1">IF(OR(OR(D15=0,C15=0),D15=""),"",(D15/C15-1)*100)</f>
        <v>65.676503188750601</v>
      </c>
      <c r="F15" s="22">
        <f t="shared" ref="F15:F43" si="2">(D15/D$13)*100</f>
        <v>16.905982696604191</v>
      </c>
      <c r="G15" s="22">
        <f>[19]Rec_naturales!D3/1000000</f>
        <v>81.163749140000007</v>
      </c>
      <c r="H15" s="22">
        <f>[19]Rec_naturales!E3/1000000</f>
        <v>88.72172810000005</v>
      </c>
      <c r="I15" s="22">
        <f t="shared" ref="I15:I43" si="3">IF(OR(OR(H15=0,G15=0),H15=""),"",(H15/G15-1)*100)</f>
        <v>9.3120131094033489</v>
      </c>
      <c r="J15" s="22">
        <f t="shared" ref="J15:J43" si="4">(H15/H$13)*100</f>
        <v>13.570542309310216</v>
      </c>
      <c r="K15" s="16"/>
    </row>
    <row r="16" spans="1:14">
      <c r="A16" s="14"/>
      <c r="B16" s="9" t="str">
        <f>+[19]Rec_naturales!A4</f>
        <v>Magdalena</v>
      </c>
      <c r="C16" s="22">
        <f>[19]Rec_naturales!B4/1000000</f>
        <v>636.68073227999992</v>
      </c>
      <c r="D16" s="22">
        <f>[19]Rec_naturales!C4/1000000</f>
        <v>1065.1531170500002</v>
      </c>
      <c r="E16" s="22">
        <f t="shared" si="1"/>
        <v>67.297840667426769</v>
      </c>
      <c r="F16" s="22">
        <f t="shared" si="2"/>
        <v>15.924659944910131</v>
      </c>
      <c r="G16" s="22">
        <f>[19]Rec_naturales!D4/1000000</f>
        <v>116.29155813999995</v>
      </c>
      <c r="H16" s="22">
        <f>[19]Rec_naturales!E4/1000000</f>
        <v>3.156341180000001</v>
      </c>
      <c r="I16" s="22">
        <f t="shared" si="3"/>
        <v>-97.2858380862004</v>
      </c>
      <c r="J16" s="22">
        <f t="shared" si="4"/>
        <v>0.48278209231373304</v>
      </c>
      <c r="K16" s="16"/>
    </row>
    <row r="17" spans="1:11">
      <c r="A17" s="14"/>
      <c r="B17" s="9" t="str">
        <f>+[19]Rec_naturales!A5</f>
        <v>Valle del Cauca</v>
      </c>
      <c r="C17" s="22">
        <f>[19]Rec_naturales!B5/1000000</f>
        <v>744.29968707000455</v>
      </c>
      <c r="D17" s="22">
        <f>[19]Rec_naturales!C5/1000000</f>
        <v>947.2333326199963</v>
      </c>
      <c r="E17" s="22">
        <f t="shared" si="1"/>
        <v>27.265045125688058</v>
      </c>
      <c r="F17" s="22">
        <f t="shared" si="2"/>
        <v>14.161690435863692</v>
      </c>
      <c r="G17" s="22">
        <f>[19]Rec_naturales!D5/1000000</f>
        <v>81.748367759999894</v>
      </c>
      <c r="H17" s="22">
        <f>[19]Rec_naturales!E5/1000000</f>
        <v>97.568094710000068</v>
      </c>
      <c r="I17" s="22">
        <f t="shared" si="3"/>
        <v>19.35173433241426</v>
      </c>
      <c r="J17" s="22">
        <f t="shared" si="4"/>
        <v>14.923649320812107</v>
      </c>
      <c r="K17" s="16"/>
    </row>
    <row r="18" spans="1:11">
      <c r="A18" s="14"/>
      <c r="B18" s="9" t="str">
        <f>+[19]Rec_naturales!A6</f>
        <v>Antioquia</v>
      </c>
      <c r="C18" s="22">
        <f>[19]Rec_naturales!B6/1000000</f>
        <v>450.15787981000074</v>
      </c>
      <c r="D18" s="22">
        <f>[19]Rec_naturales!C6/1000000</f>
        <v>661.20868755999891</v>
      </c>
      <c r="E18" s="22">
        <f t="shared" si="1"/>
        <v>46.883730623370838</v>
      </c>
      <c r="F18" s="22">
        <f t="shared" si="2"/>
        <v>9.885455277242583</v>
      </c>
      <c r="G18" s="22">
        <f>[19]Rec_naturales!D6/1000000</f>
        <v>54.946040709999899</v>
      </c>
      <c r="H18" s="22">
        <f>[19]Rec_naturales!E6/1000000</f>
        <v>80.480956369999944</v>
      </c>
      <c r="I18" s="22">
        <f t="shared" si="3"/>
        <v>46.4727127378858</v>
      </c>
      <c r="J18" s="22">
        <f t="shared" si="4"/>
        <v>12.31006481616123</v>
      </c>
      <c r="K18" s="16"/>
    </row>
    <row r="19" spans="1:11">
      <c r="A19" s="14"/>
      <c r="B19" s="9" t="str">
        <f>+[19]Rec_naturales!A7</f>
        <v>Atlántico</v>
      </c>
      <c r="C19" s="22">
        <f>[19]Rec_naturales!B7/1000000</f>
        <v>367.3753028500015</v>
      </c>
      <c r="D19" s="22">
        <f>[19]Rec_naturales!C7/1000000</f>
        <v>391.12551740999993</v>
      </c>
      <c r="E19" s="22">
        <f t="shared" si="1"/>
        <v>6.4648370142877054</v>
      </c>
      <c r="F19" s="22">
        <f t="shared" si="2"/>
        <v>5.8475544603216854</v>
      </c>
      <c r="G19" s="22">
        <f>[19]Rec_naturales!D7/1000000</f>
        <v>35.07527382</v>
      </c>
      <c r="H19" s="22">
        <f>[19]Rec_naturales!E7/1000000</f>
        <v>45.748999940000012</v>
      </c>
      <c r="I19" s="22">
        <f t="shared" si="3"/>
        <v>30.43091316913349</v>
      </c>
      <c r="J19" s="22">
        <f t="shared" si="4"/>
        <v>6.9975952068318694</v>
      </c>
      <c r="K19" s="16"/>
    </row>
    <row r="20" spans="1:11">
      <c r="A20" s="14"/>
      <c r="B20" s="9" t="str">
        <f>+[19]Rec_naturales!A8</f>
        <v>Cundinamarca</v>
      </c>
      <c r="C20" s="22">
        <f>[19]Rec_naturales!B8/1000000</f>
        <v>319.58872919999982</v>
      </c>
      <c r="D20" s="22">
        <f>[19]Rec_naturales!C8/1000000</f>
        <v>382.02272153999792</v>
      </c>
      <c r="E20" s="22">
        <f t="shared" si="1"/>
        <v>19.535730342019253</v>
      </c>
      <c r="F20" s="22">
        <f t="shared" si="2"/>
        <v>5.7114623563252334</v>
      </c>
      <c r="G20" s="22">
        <f>[19]Rec_naturales!D8/1000000</f>
        <v>30.620771229999971</v>
      </c>
      <c r="H20" s="22">
        <f>[19]Rec_naturales!E8/1000000</f>
        <v>48.599181249999987</v>
      </c>
      <c r="I20" s="22">
        <f t="shared" si="3"/>
        <v>58.713119551953326</v>
      </c>
      <c r="J20" s="22">
        <f t="shared" si="4"/>
        <v>7.4335482353049462</v>
      </c>
      <c r="K20" s="16"/>
    </row>
    <row r="21" spans="1:11">
      <c r="A21" s="14"/>
      <c r="B21" s="9" t="str">
        <f>+[19]Rec_naturales!A9</f>
        <v>Guajira</v>
      </c>
      <c r="C21" s="22">
        <f>[19]Rec_naturales!B9/1000000</f>
        <v>206.82796501000044</v>
      </c>
      <c r="D21" s="22">
        <f>[19]Rec_naturales!C9/1000000</f>
        <v>232.62810647999964</v>
      </c>
      <c r="E21" s="22">
        <f t="shared" si="1"/>
        <v>12.474203606244316</v>
      </c>
      <c r="F21" s="22">
        <f t="shared" si="2"/>
        <v>3.4779257836490394</v>
      </c>
      <c r="G21" s="22">
        <f>[19]Rec_naturales!D9/1000000</f>
        <v>19.277072380000007</v>
      </c>
      <c r="H21" s="22">
        <f>[19]Rec_naturales!E9/1000000</f>
        <v>20.65901483</v>
      </c>
      <c r="I21" s="22">
        <f t="shared" si="3"/>
        <v>7.1688398671665654</v>
      </c>
      <c r="J21" s="22">
        <f t="shared" si="4"/>
        <v>3.1599253173156128</v>
      </c>
      <c r="K21" s="16"/>
    </row>
    <row r="22" spans="1:11">
      <c r="A22" s="14"/>
      <c r="B22" s="9" t="str">
        <f>+[19]Rec_naturales!A10</f>
        <v>Santander</v>
      </c>
      <c r="C22" s="22">
        <f>[19]Rec_naturales!B10/1000000</f>
        <v>43.95379871999998</v>
      </c>
      <c r="D22" s="22">
        <f>[19]Rec_naturales!C10/1000000</f>
        <v>78.97190166999988</v>
      </c>
      <c r="E22" s="22">
        <f t="shared" si="1"/>
        <v>79.670253697698868</v>
      </c>
      <c r="F22" s="22">
        <f t="shared" si="2"/>
        <v>1.1806759602606454</v>
      </c>
      <c r="G22" s="22">
        <f>[19]Rec_naturales!D10/1000000</f>
        <v>6.07975216</v>
      </c>
      <c r="H22" s="22">
        <f>[19]Rec_naturales!E10/1000000</f>
        <v>9.1567761999999977</v>
      </c>
      <c r="I22" s="22">
        <f t="shared" si="3"/>
        <v>50.611011090952076</v>
      </c>
      <c r="J22" s="22">
        <f t="shared" si="4"/>
        <v>1.4005860965526518</v>
      </c>
      <c r="K22" s="16"/>
    </row>
    <row r="23" spans="1:11">
      <c r="A23" s="14"/>
      <c r="B23" s="9" t="str">
        <f>+[19]Rec_naturales!A11</f>
        <v>Nariño</v>
      </c>
      <c r="C23" s="22">
        <f>[19]Rec_naturales!B11/1000000</f>
        <v>86.830113600000232</v>
      </c>
      <c r="D23" s="22">
        <f>[19]Rec_naturales!C11/1000000</f>
        <v>70.979296519999906</v>
      </c>
      <c r="E23" s="22">
        <f t="shared" si="1"/>
        <v>-18.254976784920718</v>
      </c>
      <c r="F23" s="22">
        <f t="shared" si="2"/>
        <v>1.0611818546242702</v>
      </c>
      <c r="G23" s="22">
        <f>[19]Rec_naturales!D11/1000000</f>
        <v>6.9542672899999989</v>
      </c>
      <c r="H23" s="22">
        <f>[19]Rec_naturales!E11/1000000</f>
        <v>3.6981722499999994</v>
      </c>
      <c r="I23" s="22">
        <f t="shared" si="3"/>
        <v>-46.82153998714076</v>
      </c>
      <c r="J23" s="22">
        <f t="shared" si="4"/>
        <v>0.56565853777302522</v>
      </c>
      <c r="K23" s="16"/>
    </row>
    <row r="24" spans="1:11">
      <c r="A24" s="14"/>
      <c r="B24" s="9" t="str">
        <f>+[19]Rec_naturales!A12</f>
        <v>Cauca</v>
      </c>
      <c r="C24" s="22">
        <f>[19]Rec_naturales!B12/1000000</f>
        <v>47.622405259999937</v>
      </c>
      <c r="D24" s="22">
        <f>[19]Rec_naturales!C12/1000000</f>
        <v>54.917065740000041</v>
      </c>
      <c r="E24" s="22">
        <f t="shared" si="1"/>
        <v>15.317706949437081</v>
      </c>
      <c r="F24" s="22">
        <f t="shared" si="2"/>
        <v>0.8210421422826506</v>
      </c>
      <c r="G24" s="22">
        <f>[19]Rec_naturales!D12/1000000</f>
        <v>5.3251399700000013</v>
      </c>
      <c r="H24" s="22">
        <f>[19]Rec_naturales!E12/1000000</f>
        <v>7.6065734199999993</v>
      </c>
      <c r="I24" s="22">
        <f t="shared" si="3"/>
        <v>42.842694517943293</v>
      </c>
      <c r="J24" s="22">
        <f t="shared" si="4"/>
        <v>1.163472901571948</v>
      </c>
      <c r="K24" s="16"/>
    </row>
    <row r="25" spans="1:11">
      <c r="A25" s="14"/>
      <c r="B25" s="9" t="str">
        <f>+[19]Rec_naturales!A13</f>
        <v>Cesar</v>
      </c>
      <c r="C25" s="22">
        <f>[19]Rec_naturales!B13/1000000</f>
        <v>78.909999179999829</v>
      </c>
      <c r="D25" s="22">
        <f>[19]Rec_naturales!C13/1000000</f>
        <v>46.815773709999888</v>
      </c>
      <c r="E25" s="22">
        <f t="shared" si="1"/>
        <v>-40.671937401482573</v>
      </c>
      <c r="F25" s="22">
        <f t="shared" si="2"/>
        <v>0.69992310444003092</v>
      </c>
      <c r="G25" s="22">
        <f>[19]Rec_naturales!D13/1000000</f>
        <v>6.239958839999999</v>
      </c>
      <c r="H25" s="22">
        <f>[19]Rec_naturales!E13/1000000</f>
        <v>3.1032629399999991</v>
      </c>
      <c r="I25" s="22">
        <f t="shared" si="3"/>
        <v>-50.267894074762843</v>
      </c>
      <c r="J25" s="22">
        <f t="shared" si="4"/>
        <v>0.47466344407446653</v>
      </c>
      <c r="K25" s="16"/>
    </row>
    <row r="26" spans="1:11">
      <c r="A26" s="14"/>
      <c r="B26" s="9" t="str">
        <f>+[19]Rec_naturales!A14</f>
        <v>Risaralda</v>
      </c>
      <c r="C26" s="22">
        <f>[19]Rec_naturales!B14/1000000</f>
        <v>26.302684039999992</v>
      </c>
      <c r="D26" s="22">
        <f>[19]Rec_naturales!C14/1000000</f>
        <v>39.049360960000136</v>
      </c>
      <c r="E26" s="22">
        <f t="shared" si="1"/>
        <v>48.461506440238367</v>
      </c>
      <c r="F26" s="22">
        <f t="shared" si="2"/>
        <v>0.58381070702425675</v>
      </c>
      <c r="G26" s="22">
        <f>[19]Rec_naturales!D14/1000000</f>
        <v>2.32554135</v>
      </c>
      <c r="H26" s="22">
        <f>[19]Rec_naturales!E14/1000000</f>
        <v>4.8946928599999975</v>
      </c>
      <c r="I26" s="22">
        <f t="shared" si="3"/>
        <v>110.47541726144745</v>
      </c>
      <c r="J26" s="22">
        <f t="shared" si="4"/>
        <v>0.74867383638922325</v>
      </c>
      <c r="K26" s="16"/>
    </row>
    <row r="27" spans="1:11">
      <c r="A27" s="14"/>
      <c r="B27" s="9" t="str">
        <f>+[19]Rec_naturales!A15</f>
        <v>Caldas</v>
      </c>
      <c r="C27" s="22">
        <f>[19]Rec_naturales!B15/1000000</f>
        <v>26.900487400000021</v>
      </c>
      <c r="D27" s="22">
        <f>[19]Rec_naturales!C15/1000000</f>
        <v>33.24186416000002</v>
      </c>
      <c r="E27" s="22">
        <f t="shared" si="1"/>
        <v>23.573464174481806</v>
      </c>
      <c r="F27" s="22">
        <f t="shared" si="2"/>
        <v>0.4969852448528736</v>
      </c>
      <c r="G27" s="22">
        <f>[19]Rec_naturales!D15/1000000</f>
        <v>3.0531660499999997</v>
      </c>
      <c r="H27" s="22">
        <f>[19]Rec_naturales!E15/1000000</f>
        <v>3.8095399099999998</v>
      </c>
      <c r="I27" s="22">
        <f t="shared" si="3"/>
        <v>24.773426915316321</v>
      </c>
      <c r="J27" s="22">
        <f t="shared" si="4"/>
        <v>0.58269291677221957</v>
      </c>
      <c r="K27" s="16"/>
    </row>
    <row r="28" spans="1:11">
      <c r="A28" s="14"/>
      <c r="B28" s="9" t="str">
        <f>+[19]Rec_naturales!A16</f>
        <v>Quindío</v>
      </c>
      <c r="C28" s="22">
        <f>[19]Rec_naturales!B16/1000000</f>
        <v>7.0119737999999998</v>
      </c>
      <c r="D28" s="22">
        <f>[19]Rec_naturales!C16/1000000</f>
        <v>13.064213909999996</v>
      </c>
      <c r="E28" s="22">
        <f t="shared" si="1"/>
        <v>86.312931032343499</v>
      </c>
      <c r="F28" s="22">
        <f t="shared" si="2"/>
        <v>0.19531761268323711</v>
      </c>
      <c r="G28" s="22">
        <f>[19]Rec_naturales!D16/1000000</f>
        <v>1.1821915300000003</v>
      </c>
      <c r="H28" s="22">
        <f>[19]Rec_naturales!E16/1000000</f>
        <v>1.1179844400000001</v>
      </c>
      <c r="I28" s="22">
        <f t="shared" si="3"/>
        <v>-5.4311918475680727</v>
      </c>
      <c r="J28" s="22">
        <f t="shared" si="4"/>
        <v>0.17100270101896808</v>
      </c>
      <c r="K28" s="16"/>
    </row>
    <row r="29" spans="1:11">
      <c r="A29" s="14"/>
      <c r="B29" s="9" t="str">
        <f>+[19]Rec_naturales!A17</f>
        <v>Meta</v>
      </c>
      <c r="C29" s="22">
        <f>[19]Rec_naturales!B17/1000000</f>
        <v>13.85953585</v>
      </c>
      <c r="D29" s="22">
        <f>[19]Rec_naturales!C17/1000000</f>
        <v>12.19064086</v>
      </c>
      <c r="E29" s="22">
        <f t="shared" si="1"/>
        <v>-12.04149264493587</v>
      </c>
      <c r="F29" s="22">
        <f t="shared" si="2"/>
        <v>0.18225718640685712</v>
      </c>
      <c r="G29" s="22">
        <f>[19]Rec_naturales!D17/1000000</f>
        <v>4.9777982499999993</v>
      </c>
      <c r="H29" s="22">
        <f>[19]Rec_naturales!E17/1000000</f>
        <v>1.9258830000000001E-2</v>
      </c>
      <c r="I29" s="22">
        <f t="shared" si="3"/>
        <v>-99.613105452797328</v>
      </c>
      <c r="J29" s="22">
        <f t="shared" si="4"/>
        <v>2.9457583045298316E-3</v>
      </c>
      <c r="K29" s="16"/>
    </row>
    <row r="30" spans="1:11">
      <c r="A30" s="14"/>
      <c r="B30" s="9" t="str">
        <f>+[19]Rec_naturales!A18</f>
        <v>Norte de Santander</v>
      </c>
      <c r="C30" s="22">
        <f>[19]Rec_naturales!B18/1000000</f>
        <v>29.639421860000027</v>
      </c>
      <c r="D30" s="22">
        <f>[19]Rec_naturales!C18/1000000</f>
        <v>9.8151348099999982</v>
      </c>
      <c r="E30" s="22">
        <f t="shared" si="1"/>
        <v>-66.884864163811358</v>
      </c>
      <c r="F30" s="22">
        <f t="shared" si="2"/>
        <v>0.14674198634989577</v>
      </c>
      <c r="G30" s="22">
        <f>[19]Rec_naturales!D18/1000000</f>
        <v>1.7673199300000004</v>
      </c>
      <c r="H30" s="22">
        <f>[19]Rec_naturales!E18/1000000</f>
        <v>1.2150890099999996</v>
      </c>
      <c r="I30" s="22">
        <f t="shared" si="3"/>
        <v>-31.246799780048917</v>
      </c>
      <c r="J30" s="22">
        <f t="shared" si="4"/>
        <v>0.18585545134104359</v>
      </c>
      <c r="K30" s="16"/>
    </row>
    <row r="31" spans="1:11">
      <c r="A31" s="14"/>
      <c r="B31" s="9" t="str">
        <f>+[19]Rec_naturales!A19</f>
        <v>Boyacá</v>
      </c>
      <c r="C31" s="22">
        <f>[19]Rec_naturales!B19/1000000</f>
        <v>12.9917455</v>
      </c>
      <c r="D31" s="22">
        <f>[19]Rec_naturales!C19/1000000</f>
        <v>9.6160372699999979</v>
      </c>
      <c r="E31" s="22">
        <f t="shared" si="1"/>
        <v>-25.983484898160935</v>
      </c>
      <c r="F31" s="22">
        <f t="shared" si="2"/>
        <v>0.14376536207905932</v>
      </c>
      <c r="G31" s="22">
        <f>[19]Rec_naturales!D19/1000000</f>
        <v>1.7162240700000002</v>
      </c>
      <c r="H31" s="22">
        <f>[19]Rec_naturales!E19/1000000</f>
        <v>1.0040502900000003</v>
      </c>
      <c r="I31" s="22">
        <f t="shared" si="3"/>
        <v>-41.496550039646031</v>
      </c>
      <c r="J31" s="22">
        <f t="shared" si="4"/>
        <v>0.15357576134859111</v>
      </c>
      <c r="K31" s="16"/>
    </row>
    <row r="32" spans="1:11">
      <c r="A32" s="14"/>
      <c r="B32" s="9" t="str">
        <f>+[19]Rec_naturales!A20</f>
        <v>Córdoba</v>
      </c>
      <c r="C32" s="22">
        <f>[19]Rec_naturales!B20/1000000</f>
        <v>18.522713380000017</v>
      </c>
      <c r="D32" s="22">
        <f>[19]Rec_naturales!C20/1000000</f>
        <v>3.1445845900000005</v>
      </c>
      <c r="E32" s="22">
        <f t="shared" si="1"/>
        <v>-83.023088866691737</v>
      </c>
      <c r="F32" s="22">
        <f t="shared" si="2"/>
        <v>4.7013372502203332E-2</v>
      </c>
      <c r="G32" s="22">
        <f>[19]Rec_naturales!D20/1000000</f>
        <v>0.44450541000000005</v>
      </c>
      <c r="H32" s="22">
        <f>[19]Rec_naturales!E20/1000000</f>
        <v>0.20134533999999996</v>
      </c>
      <c r="I32" s="22">
        <f t="shared" si="3"/>
        <v>-54.70351193250945</v>
      </c>
      <c r="J32" s="22">
        <f t="shared" si="4"/>
        <v>3.0797026994027279E-2</v>
      </c>
      <c r="K32" s="16"/>
    </row>
    <row r="33" spans="1:13">
      <c r="A33" s="14"/>
      <c r="B33" s="9" t="str">
        <f>+[19]Rec_naturales!A21</f>
        <v>Sucre</v>
      </c>
      <c r="C33" s="22">
        <f>[19]Rec_naturales!B21/1000000</f>
        <v>0.50337020999999993</v>
      </c>
      <c r="D33" s="22">
        <f>[19]Rec_naturales!C21/1000000</f>
        <v>3.1207876899999998</v>
      </c>
      <c r="E33" s="22">
        <f t="shared" si="1"/>
        <v>519.97862169872951</v>
      </c>
      <c r="F33" s="22">
        <f t="shared" si="2"/>
        <v>4.6657594976721749E-2</v>
      </c>
      <c r="G33" s="22">
        <f>[19]Rec_naturales!D21/1000000</f>
        <v>0</v>
      </c>
      <c r="H33" s="22">
        <f>[19]Rec_naturales!E21/1000000</f>
        <v>6.9060740000000009E-2</v>
      </c>
      <c r="I33" s="22" t="str">
        <f t="shared" si="3"/>
        <v/>
      </c>
      <c r="J33" s="22">
        <f t="shared" si="4"/>
        <v>1.0563271412228861E-2</v>
      </c>
      <c r="K33" s="16"/>
    </row>
    <row r="34" spans="1:13">
      <c r="A34" s="14"/>
      <c r="B34" s="9" t="str">
        <f>+[19]Rec_naturales!A22</f>
        <v>Casanare</v>
      </c>
      <c r="C34" s="22">
        <f>[19]Rec_naturales!B22/1000000</f>
        <v>1.0878515800000002</v>
      </c>
      <c r="D34" s="22">
        <f>[19]Rec_naturales!C22/1000000</f>
        <v>2.613999779999999</v>
      </c>
      <c r="E34" s="22">
        <f t="shared" si="1"/>
        <v>140.29011200222726</v>
      </c>
      <c r="F34" s="22">
        <f t="shared" si="2"/>
        <v>3.9080820331125997E-2</v>
      </c>
      <c r="G34" s="22">
        <f>[19]Rec_naturales!D22/1000000</f>
        <v>6.1024170000000003E-2</v>
      </c>
      <c r="H34" s="22">
        <f>[19]Rec_naturales!E22/1000000</f>
        <v>0.10201629000000001</v>
      </c>
      <c r="I34" s="22">
        <f t="shared" si="3"/>
        <v>67.173580566519803</v>
      </c>
      <c r="J34" s="22">
        <f t="shared" si="4"/>
        <v>1.5604028565848686E-2</v>
      </c>
      <c r="K34" s="16"/>
    </row>
    <row r="35" spans="1:13">
      <c r="A35" s="14"/>
      <c r="B35" s="9" t="str">
        <f>+[19]Rec_naturales!A23</f>
        <v>Tolima</v>
      </c>
      <c r="C35" s="22">
        <f>[19]Rec_naturales!B23/1000000</f>
        <v>1.6789852899999997</v>
      </c>
      <c r="D35" s="22">
        <f>[19]Rec_naturales!C23/1000000</f>
        <v>1.8182102199999994</v>
      </c>
      <c r="E35" s="22">
        <f t="shared" si="1"/>
        <v>8.2922066577486131</v>
      </c>
      <c r="F35" s="22">
        <f t="shared" si="2"/>
        <v>2.7183302567851429E-2</v>
      </c>
      <c r="G35" s="22">
        <f>[19]Rec_naturales!D23/1000000</f>
        <v>0.12847422999999999</v>
      </c>
      <c r="H35" s="22">
        <f>[19]Rec_naturales!E23/1000000</f>
        <v>0.31742088000000002</v>
      </c>
      <c r="I35" s="22">
        <f t="shared" si="3"/>
        <v>147.06968860603408</v>
      </c>
      <c r="J35" s="22">
        <f t="shared" si="4"/>
        <v>4.8551505636176613E-2</v>
      </c>
      <c r="K35" s="16"/>
    </row>
    <row r="36" spans="1:13">
      <c r="A36" s="14"/>
      <c r="B36" s="9" t="str">
        <f>+[19]Rec_naturales!A24</f>
        <v>Huila</v>
      </c>
      <c r="C36" s="22">
        <f>[19]Rec_naturales!B24/1000000</f>
        <v>0.86729153999999975</v>
      </c>
      <c r="D36" s="22">
        <f>[19]Rec_naturales!C24/1000000</f>
        <v>1.1609350600000006</v>
      </c>
      <c r="E36" s="22">
        <f t="shared" si="1"/>
        <v>33.857533073596088</v>
      </c>
      <c r="F36" s="22">
        <f t="shared" si="2"/>
        <v>1.7356655820363158E-2</v>
      </c>
      <c r="G36" s="22">
        <f>[19]Rec_naturales!D24/1000000</f>
        <v>8.1749639999999985E-2</v>
      </c>
      <c r="H36" s="22">
        <f>[19]Rec_naturales!E24/1000000</f>
        <v>3.0924839999999995E-2</v>
      </c>
      <c r="I36" s="22">
        <f t="shared" si="3"/>
        <v>-62.171282956108428</v>
      </c>
      <c r="J36" s="22">
        <f t="shared" si="4"/>
        <v>4.7301473789558499E-3</v>
      </c>
      <c r="K36" s="16"/>
    </row>
    <row r="37" spans="1:13">
      <c r="A37" s="14"/>
      <c r="B37" s="9" t="str">
        <f>+[19]Rec_naturales!A25</f>
        <v>Aráuca</v>
      </c>
      <c r="C37" s="22">
        <f>[19]Rec_naturales!B25/1000000</f>
        <v>7.6785120000000012E-2</v>
      </c>
      <c r="D37" s="22">
        <f>[19]Rec_naturales!C25/1000000</f>
        <v>0.14699307</v>
      </c>
      <c r="E37" s="22">
        <f t="shared" si="1"/>
        <v>91.434316961411241</v>
      </c>
      <c r="F37" s="22">
        <f t="shared" si="2"/>
        <v>2.1976320742424196E-3</v>
      </c>
      <c r="G37" s="22">
        <f>[19]Rec_naturales!D25/1000000</f>
        <v>0</v>
      </c>
      <c r="H37" s="22">
        <f>[19]Rec_naturales!E25/1000000</f>
        <v>0</v>
      </c>
      <c r="I37" s="22" t="str">
        <f t="shared" si="3"/>
        <v/>
      </c>
      <c r="J37" s="22">
        <f t="shared" si="4"/>
        <v>0</v>
      </c>
      <c r="K37" s="16"/>
    </row>
    <row r="38" spans="1:13">
      <c r="A38" s="14"/>
      <c r="B38" s="9" t="str">
        <f>+[19]Rec_naturales!A26</f>
        <v>Amazonas</v>
      </c>
      <c r="C38" s="22">
        <f>[19]Rec_naturales!B26/1000000</f>
        <v>0.53476413000000012</v>
      </c>
      <c r="D38" s="22">
        <f>[19]Rec_naturales!C26/1000000</f>
        <v>8.1102839999999995E-2</v>
      </c>
      <c r="E38" s="22">
        <f t="shared" si="1"/>
        <v>-84.833904248589008</v>
      </c>
      <c r="F38" s="22">
        <f t="shared" si="2"/>
        <v>1.2125347303526015E-3</v>
      </c>
      <c r="G38" s="22">
        <f>[19]Rec_naturales!D26/1000000</f>
        <v>0.12760598000000001</v>
      </c>
      <c r="H38" s="22">
        <f>[19]Rec_naturales!E26/1000000</f>
        <v>3.5541000000000001E-4</v>
      </c>
      <c r="I38" s="22">
        <f t="shared" si="3"/>
        <v>-99.721478570204937</v>
      </c>
      <c r="J38" s="22">
        <f t="shared" si="4"/>
        <v>5.4362178751925607E-5</v>
      </c>
      <c r="K38" s="16"/>
    </row>
    <row r="39" spans="1:13">
      <c r="A39" s="14"/>
      <c r="B39" s="9" t="str">
        <f>+[19]Rec_naturales!A27</f>
        <v>Vichada</v>
      </c>
      <c r="C39" s="22">
        <f>[19]Rec_naturales!B27/1000000</f>
        <v>3.7228999999999998E-2</v>
      </c>
      <c r="D39" s="22">
        <f>[19]Rec_naturales!C27/1000000</f>
        <v>5.9338100000000005E-2</v>
      </c>
      <c r="E39" s="22">
        <f t="shared" si="1"/>
        <v>59.386768379489126</v>
      </c>
      <c r="F39" s="22">
        <f t="shared" si="2"/>
        <v>8.8713918135463216E-4</v>
      </c>
      <c r="G39" s="22">
        <f>[19]Rec_naturales!D27/1000000</f>
        <v>0</v>
      </c>
      <c r="H39" s="22">
        <f>[19]Rec_naturales!E27/1000000</f>
        <v>3.9300000000000002E-2</v>
      </c>
      <c r="I39" s="22" t="str">
        <f t="shared" si="3"/>
        <v/>
      </c>
      <c r="J39" s="22">
        <f t="shared" si="4"/>
        <v>6.0111803971488603E-3</v>
      </c>
      <c r="K39" s="16"/>
    </row>
    <row r="40" spans="1:13">
      <c r="A40" s="14"/>
      <c r="B40" s="9" t="str">
        <f>+[19]Rec_naturales!A28</f>
        <v>Putumayo</v>
      </c>
      <c r="C40" s="22">
        <f>[19]Rec_naturales!B28/1000000</f>
        <v>8.5124000000000005E-2</v>
      </c>
      <c r="D40" s="22">
        <f>[19]Rec_naturales!C28/1000000</f>
        <v>3.9995500000000003E-2</v>
      </c>
      <c r="E40" s="22">
        <f t="shared" si="1"/>
        <v>-53.015013392227807</v>
      </c>
      <c r="F40" s="22">
        <f t="shared" si="2"/>
        <v>5.9795603714761991E-4</v>
      </c>
      <c r="G40" s="22">
        <f>[19]Rec_naturales!D28/1000000</f>
        <v>1.6279999999999999E-2</v>
      </c>
      <c r="H40" s="22">
        <f>[19]Rec_naturales!E28/1000000</f>
        <v>0</v>
      </c>
      <c r="I40" s="22" t="str">
        <f t="shared" si="3"/>
        <v/>
      </c>
      <c r="J40" s="22">
        <f t="shared" si="4"/>
        <v>0</v>
      </c>
      <c r="K40" s="16"/>
    </row>
    <row r="41" spans="1:13">
      <c r="A41" s="14"/>
      <c r="B41" s="9" t="str">
        <f>+[19]Rec_naturales!A29</f>
        <v>San Andrés</v>
      </c>
      <c r="C41" s="22">
        <f>[19]Rec_naturales!B29/1000000</f>
        <v>9.0224799999999994E-3</v>
      </c>
      <c r="D41" s="22">
        <f>[19]Rec_naturales!C29/1000000</f>
        <v>3.6414399999999997E-3</v>
      </c>
      <c r="E41" s="22">
        <f t="shared" si="1"/>
        <v>-59.64036495508995</v>
      </c>
      <c r="F41" s="22">
        <f t="shared" si="2"/>
        <v>5.4441650483450107E-5</v>
      </c>
      <c r="G41" s="22">
        <f>[19]Rec_naturales!D29/1000000</f>
        <v>7.9445999999999996E-3</v>
      </c>
      <c r="H41" s="22">
        <f>[19]Rec_naturales!E29/1000000</f>
        <v>0</v>
      </c>
      <c r="I41" s="22" t="str">
        <f t="shared" si="3"/>
        <v/>
      </c>
      <c r="J41" s="22">
        <f t="shared" si="4"/>
        <v>0</v>
      </c>
      <c r="K41" s="16"/>
    </row>
    <row r="42" spans="1:13">
      <c r="A42" s="14"/>
      <c r="B42" s="9" t="str">
        <f>+[19]Rec_naturales!A30</f>
        <v>Caquetá</v>
      </c>
      <c r="C42" s="22">
        <f>[19]Rec_naturales!B30/1000000</f>
        <v>1.8974989999999997E-2</v>
      </c>
      <c r="D42" s="22">
        <f>[19]Rec_naturales!C30/1000000</f>
        <v>7.2376999999999999E-4</v>
      </c>
      <c r="E42" s="22">
        <f t="shared" si="1"/>
        <v>-96.185663338953006</v>
      </c>
      <c r="F42" s="22">
        <f t="shared" si="2"/>
        <v>1.0820783363286692E-5</v>
      </c>
      <c r="G42" s="22">
        <f>[19]Rec_naturales!D30/1000000</f>
        <v>0</v>
      </c>
      <c r="H42" s="22">
        <f>[19]Rec_naturales!E30/1000000</f>
        <v>5.8796E-4</v>
      </c>
      <c r="I42" s="22" t="str">
        <f t="shared" si="3"/>
        <v/>
      </c>
      <c r="J42" s="22">
        <f t="shared" si="4"/>
        <v>8.9932153341161416E-5</v>
      </c>
      <c r="K42" s="16"/>
    </row>
    <row r="43" spans="1:13">
      <c r="A43" s="14"/>
      <c r="B43" s="9" t="str">
        <f>+[19]Rec_naturales!A31</f>
        <v>Chocó</v>
      </c>
      <c r="C43" s="22">
        <f>[19]Rec_naturales!B31/1000000</f>
        <v>2.0024440000000001E-2</v>
      </c>
      <c r="D43" s="22">
        <f>[19]Rec_naturales!C31/1000000</f>
        <v>0</v>
      </c>
      <c r="E43" s="22" t="str">
        <f t="shared" si="1"/>
        <v/>
      </c>
      <c r="F43" s="22">
        <f t="shared" si="2"/>
        <v>0</v>
      </c>
      <c r="G43" s="22">
        <f>[19]Rec_naturales!D31/1000000</f>
        <v>0</v>
      </c>
      <c r="H43" s="22">
        <f>[19]Rec_naturales!E31/1000000</f>
        <v>0</v>
      </c>
      <c r="I43" s="22" t="str">
        <f t="shared" si="3"/>
        <v/>
      </c>
      <c r="J43" s="22">
        <f t="shared" si="4"/>
        <v>0</v>
      </c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tr">
        <f>IF(F44="","",1)</f>
        <v/>
      </c>
    </row>
    <row r="45" spans="1:13">
      <c r="A45" s="17"/>
      <c r="B45" s="39" t="s">
        <v>25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8" width="9.8554687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74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82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7"/>
      <c r="D9" s="107"/>
      <c r="E9" s="107"/>
      <c r="F9" s="107"/>
      <c r="G9" s="107"/>
      <c r="H9" s="107"/>
      <c r="I9" s="8"/>
      <c r="J9" s="8"/>
      <c r="K9" s="16"/>
    </row>
    <row r="10" spans="1:14" ht="15.75" customHeight="1">
      <c r="A10" s="14"/>
      <c r="B10" s="9"/>
      <c r="C10" s="114" t="s">
        <v>140</v>
      </c>
      <c r="D10" s="114"/>
      <c r="E10" s="113" t="s">
        <v>1</v>
      </c>
      <c r="F10" s="113" t="s">
        <v>4</v>
      </c>
      <c r="G10" s="114" t="s">
        <v>141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107">
        <v>2009</v>
      </c>
      <c r="D11" s="107">
        <v>2010</v>
      </c>
      <c r="E11" s="113"/>
      <c r="F11" s="113"/>
      <c r="G11" s="107">
        <v>2009</v>
      </c>
      <c r="H11" s="107">
        <v>2010</v>
      </c>
      <c r="I11" s="113"/>
      <c r="J11" s="113"/>
      <c r="K11" s="16"/>
      <c r="N11" s="2"/>
    </row>
    <row r="12" spans="1:14" ht="12" customHeight="1">
      <c r="A12" s="14"/>
      <c r="B12" s="9"/>
      <c r="C12" s="107"/>
      <c r="D12" s="107"/>
      <c r="E12" s="107"/>
      <c r="F12" s="107"/>
      <c r="G12" s="107"/>
      <c r="H12" s="107"/>
      <c r="I12" s="107"/>
      <c r="J12" s="107"/>
      <c r="K12" s="16"/>
    </row>
    <row r="13" spans="1:14">
      <c r="A13" s="14"/>
      <c r="B13" s="10" t="s">
        <v>31</v>
      </c>
      <c r="C13" s="100">
        <f>SUM(C14:C44)</f>
        <v>3702.6514160099932</v>
      </c>
      <c r="D13" s="100">
        <f>SUM(D14:D44)</f>
        <v>4735.8171050499486</v>
      </c>
      <c r="E13" s="99">
        <f>IF(OR(OR(D13=0,C13=0),D13=""),"",(D13/C13-1)*100)</f>
        <v>27.903401453688637</v>
      </c>
      <c r="F13" s="99">
        <f>(D13/D$13)*100</f>
        <v>100</v>
      </c>
      <c r="G13" s="100">
        <f t="shared" ref="G13:H13" si="0">SUM(G14:G44)</f>
        <v>421.06649836000031</v>
      </c>
      <c r="H13" s="100">
        <f t="shared" si="0"/>
        <v>635.22182790999977</v>
      </c>
      <c r="I13" s="99">
        <f>IF(OR(OR(H13=0,G13=0),H13=""),"",(H13/G13-1)*100)</f>
        <v>50.860215757868858</v>
      </c>
      <c r="J13" s="99">
        <f>(H13/H$13)*100</f>
        <v>100</v>
      </c>
      <c r="K13" s="16"/>
    </row>
    <row r="14" spans="1:14">
      <c r="A14" s="14"/>
      <c r="B14" s="9" t="str">
        <f>+[19]Baja_tek!A2</f>
        <v>Bogotá</v>
      </c>
      <c r="C14" s="25">
        <f>[19]Baja_tek!B2/1000000</f>
        <v>1379.7552921000033</v>
      </c>
      <c r="D14" s="25">
        <f>[19]Baja_tek!C2/1000000</f>
        <v>1966.0594319099612</v>
      </c>
      <c r="E14" s="25">
        <f>IF(OR(OR(D14=0,C14=0),D14=""),"",(D14/C14-1)*100)</f>
        <v>42.493342346061681</v>
      </c>
      <c r="F14" s="25">
        <f>(D14/D$13)*100</f>
        <v>41.514682435972688</v>
      </c>
      <c r="G14" s="25">
        <f>[19]Baja_tek!D2/1000000</f>
        <v>157.7697077400002</v>
      </c>
      <c r="H14" s="25">
        <f>[19]Baja_tek!E2/1000000</f>
        <v>259.1597302199994</v>
      </c>
      <c r="I14" s="25">
        <f>IF(OR(OR(H14=0,G14=0),H14=""),"",(H14/G14-1)*100)</f>
        <v>64.264568865835088</v>
      </c>
      <c r="J14" s="25">
        <f>(H14/H$13)*100</f>
        <v>40.798303652864711</v>
      </c>
      <c r="K14" s="16"/>
    </row>
    <row r="15" spans="1:14">
      <c r="A15" s="14"/>
      <c r="B15" s="9" t="str">
        <f>+[19]Baja_tek!A3</f>
        <v>Antioquia</v>
      </c>
      <c r="C15" s="22">
        <f>[19]Baja_tek!B3/1000000</f>
        <v>601.89916468999297</v>
      </c>
      <c r="D15" s="22">
        <f>[19]Baja_tek!C3/1000000</f>
        <v>869.90942368999765</v>
      </c>
      <c r="E15" s="22">
        <f t="shared" ref="E15:E43" si="1">IF(OR(OR(D15=0,C15=0),D15=""),"",(D15/C15-1)*100)</f>
        <v>44.527434946357317</v>
      </c>
      <c r="F15" s="22">
        <f t="shared" ref="F15:F43" si="2">(D15/D$13)*100</f>
        <v>18.368729289870302</v>
      </c>
      <c r="G15" s="22">
        <f>[19]Baja_tek!D3/1000000</f>
        <v>75.843897699999957</v>
      </c>
      <c r="H15" s="22">
        <f>[19]Baja_tek!E3/1000000</f>
        <v>125.27315705000001</v>
      </c>
      <c r="I15" s="22">
        <f t="shared" ref="I15:I43" si="3">IF(OR(OR(H15=0,G15=0),H15=""),"",(H15/G15-1)*100)</f>
        <v>65.172361717902689</v>
      </c>
      <c r="J15" s="22">
        <f t="shared" ref="J15:J43" si="4">(H15/H$13)*100</f>
        <v>19.721166928751874</v>
      </c>
      <c r="K15" s="16"/>
    </row>
    <row r="16" spans="1:14">
      <c r="A16" s="14"/>
      <c r="B16" s="9" t="str">
        <f>+[19]Baja_tek!A4</f>
        <v>Atlántico</v>
      </c>
      <c r="C16" s="22">
        <f>[19]Baja_tek!B4/1000000</f>
        <v>389.54661855999939</v>
      </c>
      <c r="D16" s="22">
        <f>[19]Baja_tek!C4/1000000</f>
        <v>455.19911140999716</v>
      </c>
      <c r="E16" s="22">
        <f t="shared" si="1"/>
        <v>16.853565073338128</v>
      </c>
      <c r="F16" s="22">
        <f t="shared" si="2"/>
        <v>9.6118389142309617</v>
      </c>
      <c r="G16" s="22">
        <f>[19]Baja_tek!D4/1000000</f>
        <v>39.617922490000197</v>
      </c>
      <c r="H16" s="22">
        <f>[19]Baja_tek!E4/1000000</f>
        <v>58.564320120000069</v>
      </c>
      <c r="I16" s="22">
        <f t="shared" si="3"/>
        <v>47.822794430429958</v>
      </c>
      <c r="J16" s="22">
        <f t="shared" si="4"/>
        <v>9.2195068788312557</v>
      </c>
      <c r="K16" s="16"/>
    </row>
    <row r="17" spans="1:11">
      <c r="A17" s="14"/>
      <c r="B17" s="9" t="str">
        <f>+[19]Baja_tek!A5</f>
        <v>Valle del Cauca</v>
      </c>
      <c r="C17" s="22">
        <f>[19]Baja_tek!B5/1000000</f>
        <v>326.19282250999794</v>
      </c>
      <c r="D17" s="22">
        <f>[19]Baja_tek!C5/1000000</f>
        <v>394.28445398999878</v>
      </c>
      <c r="E17" s="22">
        <f t="shared" si="1"/>
        <v>20.874656577679239</v>
      </c>
      <c r="F17" s="22">
        <f t="shared" si="2"/>
        <v>8.3255844819167759</v>
      </c>
      <c r="G17" s="22">
        <f>[19]Baja_tek!D5/1000000</f>
        <v>44.942306919999879</v>
      </c>
      <c r="H17" s="22">
        <f>[19]Baja_tek!E5/1000000</f>
        <v>42.103776040000056</v>
      </c>
      <c r="I17" s="22">
        <f t="shared" si="3"/>
        <v>-6.3159438723352279</v>
      </c>
      <c r="J17" s="22">
        <f t="shared" si="4"/>
        <v>6.6282004474766651</v>
      </c>
      <c r="K17" s="16"/>
    </row>
    <row r="18" spans="1:11">
      <c r="A18" s="14"/>
      <c r="B18" s="9" t="str">
        <f>+[19]Baja_tek!A6</f>
        <v>Cundinamarca</v>
      </c>
      <c r="C18" s="22">
        <f>[19]Baja_tek!B6/1000000</f>
        <v>327.49244863999934</v>
      </c>
      <c r="D18" s="22">
        <f>[19]Baja_tek!C6/1000000</f>
        <v>323.2080533499971</v>
      </c>
      <c r="E18" s="22">
        <f t="shared" si="1"/>
        <v>-1.3082424672062998</v>
      </c>
      <c r="F18" s="22">
        <f t="shared" si="2"/>
        <v>6.8247579283699604</v>
      </c>
      <c r="G18" s="22">
        <f>[19]Baja_tek!D6/1000000</f>
        <v>30.839747340000027</v>
      </c>
      <c r="H18" s="22">
        <f>[19]Baja_tek!E6/1000000</f>
        <v>56.015168810000084</v>
      </c>
      <c r="I18" s="22">
        <f t="shared" si="3"/>
        <v>81.633034124591617</v>
      </c>
      <c r="J18" s="22">
        <f t="shared" si="4"/>
        <v>8.8182059162388367</v>
      </c>
      <c r="K18" s="16"/>
    </row>
    <row r="19" spans="1:11">
      <c r="A19" s="14"/>
      <c r="B19" s="9" t="str">
        <f>+[19]Baja_tek!A7</f>
        <v>Bolívar</v>
      </c>
      <c r="C19" s="22">
        <f>[19]Baja_tek!B7/1000000</f>
        <v>220.74116433000015</v>
      </c>
      <c r="D19" s="22">
        <f>[19]Baja_tek!C7/1000000</f>
        <v>212.20930910999866</v>
      </c>
      <c r="E19" s="22">
        <f t="shared" si="1"/>
        <v>-3.8650947800776603</v>
      </c>
      <c r="F19" s="22">
        <f t="shared" si="2"/>
        <v>4.4809439301132059</v>
      </c>
      <c r="G19" s="22">
        <f>[19]Baja_tek!D7/1000000</f>
        <v>21.58535525000001</v>
      </c>
      <c r="H19" s="22">
        <f>[19]Baja_tek!E7/1000000</f>
        <v>34.98442579000006</v>
      </c>
      <c r="I19" s="22">
        <f t="shared" si="3"/>
        <v>62.074820566133802</v>
      </c>
      <c r="J19" s="22">
        <f t="shared" si="4"/>
        <v>5.5074344509075601</v>
      </c>
      <c r="K19" s="16"/>
    </row>
    <row r="20" spans="1:11">
      <c r="A20" s="14"/>
      <c r="B20" s="9" t="str">
        <f>+[19]Baja_tek!A8</f>
        <v>Caldas</v>
      </c>
      <c r="C20" s="22">
        <f>[19]Baja_tek!B8/1000000</f>
        <v>64.06055714999998</v>
      </c>
      <c r="D20" s="22">
        <f>[19]Baja_tek!C8/1000000</f>
        <v>94.031028649999968</v>
      </c>
      <c r="E20" s="22">
        <f t="shared" si="1"/>
        <v>46.784593880167336</v>
      </c>
      <c r="F20" s="22">
        <f t="shared" si="2"/>
        <v>1.9855291402561086</v>
      </c>
      <c r="G20" s="22">
        <f>[19]Baja_tek!D8/1000000</f>
        <v>6.2326350400000035</v>
      </c>
      <c r="H20" s="22">
        <f>[19]Baja_tek!E8/1000000</f>
        <v>14.446924469999997</v>
      </c>
      <c r="I20" s="22">
        <f t="shared" si="3"/>
        <v>131.79480873309708</v>
      </c>
      <c r="J20" s="22">
        <f t="shared" si="4"/>
        <v>2.2743117184012895</v>
      </c>
      <c r="K20" s="16"/>
    </row>
    <row r="21" spans="1:11">
      <c r="A21" s="14"/>
      <c r="B21" s="9" t="str">
        <f>+[19]Baja_tek!A9</f>
        <v>Cauca</v>
      </c>
      <c r="C21" s="22">
        <f>[19]Baja_tek!B9/1000000</f>
        <v>45.711352060000038</v>
      </c>
      <c r="D21" s="22">
        <f>[19]Baja_tek!C9/1000000</f>
        <v>87.321078070000041</v>
      </c>
      <c r="E21" s="22">
        <f t="shared" si="1"/>
        <v>91.027117192647665</v>
      </c>
      <c r="F21" s="22">
        <f t="shared" si="2"/>
        <v>1.8438439689084885</v>
      </c>
      <c r="G21" s="22">
        <f>[19]Baja_tek!D9/1000000</f>
        <v>5.1602725400000002</v>
      </c>
      <c r="H21" s="22">
        <f>[19]Baja_tek!E9/1000000</f>
        <v>7.3620751499999955</v>
      </c>
      <c r="I21" s="22">
        <f t="shared" si="3"/>
        <v>42.66833956797165</v>
      </c>
      <c r="J21" s="22">
        <f t="shared" si="4"/>
        <v>1.1589770418032734</v>
      </c>
      <c r="K21" s="16"/>
    </row>
    <row r="22" spans="1:11">
      <c r="A22" s="14"/>
      <c r="B22" s="9" t="str">
        <f>+[19]Baja_tek!A10</f>
        <v>Nariño</v>
      </c>
      <c r="C22" s="22">
        <f>[19]Baja_tek!B10/1000000</f>
        <v>54.862981400000052</v>
      </c>
      <c r="D22" s="22">
        <f>[19]Baja_tek!C10/1000000</f>
        <v>53.551372769999986</v>
      </c>
      <c r="E22" s="22">
        <f t="shared" si="1"/>
        <v>-2.3906987854656836</v>
      </c>
      <c r="F22" s="22">
        <f t="shared" si="2"/>
        <v>1.1307736676084155</v>
      </c>
      <c r="G22" s="22">
        <f>[19]Baja_tek!D10/1000000</f>
        <v>5.2139779099999997</v>
      </c>
      <c r="H22" s="22">
        <f>[19]Baja_tek!E10/1000000</f>
        <v>1.3794342699999997</v>
      </c>
      <c r="I22" s="22">
        <f t="shared" si="3"/>
        <v>-73.543534441249676</v>
      </c>
      <c r="J22" s="22">
        <f t="shared" si="4"/>
        <v>0.21715788239497374</v>
      </c>
      <c r="K22" s="16"/>
    </row>
    <row r="23" spans="1:11">
      <c r="A23" s="14"/>
      <c r="B23" s="9" t="str">
        <f>+[19]Baja_tek!A11</f>
        <v>Santander</v>
      </c>
      <c r="C23" s="22">
        <f>[19]Baja_tek!B11/1000000</f>
        <v>66.883477439999922</v>
      </c>
      <c r="D23" s="22">
        <f>[19]Baja_tek!C11/1000000</f>
        <v>49.293893910000051</v>
      </c>
      <c r="E23" s="22">
        <f t="shared" si="1"/>
        <v>-26.29884719403114</v>
      </c>
      <c r="F23" s="22">
        <f t="shared" si="2"/>
        <v>1.0408741050712547</v>
      </c>
      <c r="G23" s="22">
        <f>[19]Baja_tek!D11/1000000</f>
        <v>10.046664409999998</v>
      </c>
      <c r="H23" s="22">
        <f>[19]Baja_tek!E11/1000000</f>
        <v>5.4823741899999945</v>
      </c>
      <c r="I23" s="22">
        <f t="shared" si="3"/>
        <v>-45.430901578208527</v>
      </c>
      <c r="J23" s="22">
        <f t="shared" si="4"/>
        <v>0.8630645152793387</v>
      </c>
      <c r="K23" s="16"/>
    </row>
    <row r="24" spans="1:11">
      <c r="A24" s="14"/>
      <c r="B24" s="9" t="str">
        <f>+[19]Baja_tek!A12</f>
        <v>Risaralda</v>
      </c>
      <c r="C24" s="22">
        <f>[19]Baja_tek!B12/1000000</f>
        <v>33.091212470000073</v>
      </c>
      <c r="D24" s="22">
        <f>[19]Baja_tek!C12/1000000</f>
        <v>40.590963129999935</v>
      </c>
      <c r="E24" s="22">
        <f t="shared" si="1"/>
        <v>22.66387388131821</v>
      </c>
      <c r="F24" s="22">
        <f t="shared" si="2"/>
        <v>0.85710580095495104</v>
      </c>
      <c r="G24" s="22">
        <f>[19]Baja_tek!D12/1000000</f>
        <v>3.7934920899999973</v>
      </c>
      <c r="H24" s="22">
        <f>[19]Baja_tek!E12/1000000</f>
        <v>5.591391810000002</v>
      </c>
      <c r="I24" s="22">
        <f t="shared" si="3"/>
        <v>47.394318410190905</v>
      </c>
      <c r="J24" s="22">
        <f t="shared" si="4"/>
        <v>0.8802266490741889</v>
      </c>
      <c r="K24" s="16"/>
    </row>
    <row r="25" spans="1:11">
      <c r="A25" s="14"/>
      <c r="B25" s="9" t="str">
        <f>+[19]Baja_tek!A13</f>
        <v>Norte de Santander</v>
      </c>
      <c r="C25" s="22">
        <f>[19]Baja_tek!B13/1000000</f>
        <v>40.904984609999985</v>
      </c>
      <c r="D25" s="22">
        <f>[19]Baja_tek!C13/1000000</f>
        <v>36.45051303000006</v>
      </c>
      <c r="E25" s="22">
        <f t="shared" si="1"/>
        <v>-10.889801383548125</v>
      </c>
      <c r="F25" s="22">
        <f t="shared" si="2"/>
        <v>0.76967738030110466</v>
      </c>
      <c r="G25" s="22">
        <f>[19]Baja_tek!D13/1000000</f>
        <v>5.6720978000000013</v>
      </c>
      <c r="H25" s="22">
        <f>[19]Baja_tek!E13/1000000</f>
        <v>4.4178803300000009</v>
      </c>
      <c r="I25" s="22">
        <f t="shared" si="3"/>
        <v>-22.112056495217701</v>
      </c>
      <c r="J25" s="22">
        <f t="shared" si="4"/>
        <v>0.69548622794271164</v>
      </c>
      <c r="K25" s="16"/>
    </row>
    <row r="26" spans="1:11">
      <c r="A26" s="14"/>
      <c r="B26" s="9" t="str">
        <f>+[19]Baja_tek!A14</f>
        <v>Boyacá</v>
      </c>
      <c r="C26" s="22">
        <f>[19]Baja_tek!B14/1000000</f>
        <v>30.873453919999978</v>
      </c>
      <c r="D26" s="22">
        <f>[19]Baja_tek!C14/1000000</f>
        <v>36.437619529999992</v>
      </c>
      <c r="E26" s="22">
        <f t="shared" si="1"/>
        <v>18.02249150489612</v>
      </c>
      <c r="F26" s="22">
        <f t="shared" si="2"/>
        <v>0.76940512527701777</v>
      </c>
      <c r="G26" s="22">
        <f>[19]Baja_tek!D14/1000000</f>
        <v>1.5407814799999997</v>
      </c>
      <c r="H26" s="22">
        <f>[19]Baja_tek!E14/1000000</f>
        <v>3.4276167800000006</v>
      </c>
      <c r="I26" s="22">
        <f t="shared" si="3"/>
        <v>122.45963003137872</v>
      </c>
      <c r="J26" s="22">
        <f t="shared" si="4"/>
        <v>0.53959367096648891</v>
      </c>
      <c r="K26" s="16"/>
    </row>
    <row r="27" spans="1:11">
      <c r="A27" s="14"/>
      <c r="B27" s="9" t="str">
        <f>+[19]Baja_tek!A15</f>
        <v>Guajira</v>
      </c>
      <c r="C27" s="22">
        <f>[19]Baja_tek!B15/1000000</f>
        <v>24.37362917999998</v>
      </c>
      <c r="D27" s="22">
        <f>[19]Baja_tek!C15/1000000</f>
        <v>25.384545429999982</v>
      </c>
      <c r="E27" s="22">
        <f t="shared" si="1"/>
        <v>4.1475819728541641</v>
      </c>
      <c r="F27" s="22">
        <f t="shared" si="2"/>
        <v>0.53601194613135827</v>
      </c>
      <c r="G27" s="22">
        <f>[19]Baja_tek!D15/1000000</f>
        <v>2.3047582999999991</v>
      </c>
      <c r="H27" s="22">
        <f>[19]Baja_tek!E15/1000000</f>
        <v>2.9691131600000018</v>
      </c>
      <c r="I27" s="22">
        <f t="shared" si="3"/>
        <v>28.825359257845086</v>
      </c>
      <c r="J27" s="22">
        <f t="shared" si="4"/>
        <v>0.46741359152737982</v>
      </c>
      <c r="K27" s="16"/>
    </row>
    <row r="28" spans="1:11">
      <c r="A28" s="14"/>
      <c r="B28" s="9" t="str">
        <f>+[19]Baja_tek!A16</f>
        <v>Cesar</v>
      </c>
      <c r="C28" s="22">
        <f>[19]Baja_tek!B16/1000000</f>
        <v>26.011261879999857</v>
      </c>
      <c r="D28" s="22">
        <f>[19]Baja_tek!C16/1000000</f>
        <v>23.225932660000087</v>
      </c>
      <c r="E28" s="22">
        <f t="shared" si="1"/>
        <v>-10.70816645824253</v>
      </c>
      <c r="F28" s="22">
        <f t="shared" si="2"/>
        <v>0.49043136896552769</v>
      </c>
      <c r="G28" s="22">
        <f>[19]Baja_tek!D16/1000000</f>
        <v>2.4237372300000035</v>
      </c>
      <c r="H28" s="22">
        <f>[19]Baja_tek!E16/1000000</f>
        <v>2.8069735899999984</v>
      </c>
      <c r="I28" s="22">
        <f t="shared" si="3"/>
        <v>15.811794911447329</v>
      </c>
      <c r="J28" s="22">
        <f t="shared" si="4"/>
        <v>0.44188871771542765</v>
      </c>
      <c r="K28" s="16"/>
    </row>
    <row r="29" spans="1:11">
      <c r="A29" s="14"/>
      <c r="B29" s="9" t="str">
        <f>+[19]Baja_tek!A17</f>
        <v>Casanare</v>
      </c>
      <c r="C29" s="22">
        <f>[19]Baja_tek!B17/1000000</f>
        <v>12.490975399999996</v>
      </c>
      <c r="D29" s="22">
        <f>[19]Baja_tek!C17/1000000</f>
        <v>23.107358469999959</v>
      </c>
      <c r="E29" s="22">
        <f t="shared" si="1"/>
        <v>84.992426372082733</v>
      </c>
      <c r="F29" s="22">
        <f t="shared" si="2"/>
        <v>0.48792759427638926</v>
      </c>
      <c r="G29" s="22">
        <f>[19]Baja_tek!D17/1000000</f>
        <v>2.3656458700000007</v>
      </c>
      <c r="H29" s="22">
        <f>[19]Baja_tek!E17/1000000</f>
        <v>5.4145583399999957</v>
      </c>
      <c r="I29" s="22">
        <f t="shared" si="3"/>
        <v>128.88287755428053</v>
      </c>
      <c r="J29" s="22">
        <f t="shared" si="4"/>
        <v>0.85238858334180967</v>
      </c>
      <c r="K29" s="16"/>
    </row>
    <row r="30" spans="1:11">
      <c r="A30" s="14"/>
      <c r="B30" s="9" t="str">
        <f>+[19]Baja_tek!A18</f>
        <v>Magdalena</v>
      </c>
      <c r="C30" s="22">
        <f>[19]Baja_tek!B18/1000000</f>
        <v>43.170349829999914</v>
      </c>
      <c r="D30" s="22">
        <f>[19]Baja_tek!C18/1000000</f>
        <v>19.64003344</v>
      </c>
      <c r="E30" s="22">
        <f t="shared" si="1"/>
        <v>-54.505734798674808</v>
      </c>
      <c r="F30" s="22">
        <f t="shared" si="2"/>
        <v>0.41471266740975332</v>
      </c>
      <c r="G30" s="22">
        <f>[19]Baja_tek!D18/1000000</f>
        <v>4.1361829900000009</v>
      </c>
      <c r="H30" s="22">
        <f>[19]Baja_tek!E18/1000000</f>
        <v>0.65620937000000013</v>
      </c>
      <c r="I30" s="22">
        <f t="shared" si="3"/>
        <v>-84.134904776057795</v>
      </c>
      <c r="J30" s="22">
        <f t="shared" si="4"/>
        <v>0.1033039705450698</v>
      </c>
      <c r="K30" s="16"/>
    </row>
    <row r="31" spans="1:11">
      <c r="A31" s="14"/>
      <c r="B31" s="9" t="str">
        <f>+[19]Baja_tek!A19</f>
        <v>Córdoba</v>
      </c>
      <c r="C31" s="22">
        <f>[19]Baja_tek!B19/1000000</f>
        <v>4.2454985500000015</v>
      </c>
      <c r="D31" s="22">
        <f>[19]Baja_tek!C19/1000000</f>
        <v>6.9295300599999994</v>
      </c>
      <c r="E31" s="22">
        <f t="shared" si="1"/>
        <v>63.220643662685895</v>
      </c>
      <c r="F31" s="22">
        <f t="shared" si="2"/>
        <v>0.14632174145008317</v>
      </c>
      <c r="G31" s="22">
        <f>[19]Baja_tek!D19/1000000</f>
        <v>0.43102165999999986</v>
      </c>
      <c r="H31" s="22">
        <f>[19]Baja_tek!E19/1000000</f>
        <v>1.5437837400000001</v>
      </c>
      <c r="I31" s="22">
        <f t="shared" si="3"/>
        <v>258.16848276256013</v>
      </c>
      <c r="J31" s="22">
        <f t="shared" si="4"/>
        <v>0.24303065042322949</v>
      </c>
      <c r="K31" s="16"/>
    </row>
    <row r="32" spans="1:11">
      <c r="A32" s="14"/>
      <c r="B32" s="9" t="str">
        <f>+[19]Baja_tek!A20</f>
        <v>Quindío</v>
      </c>
      <c r="C32" s="22">
        <f>[19]Baja_tek!B20/1000000</f>
        <v>3.8004446699999992</v>
      </c>
      <c r="D32" s="22">
        <f>[19]Baja_tek!C20/1000000</f>
        <v>6.328778890000005</v>
      </c>
      <c r="E32" s="22">
        <f t="shared" si="1"/>
        <v>66.527326129971158</v>
      </c>
      <c r="F32" s="22">
        <f t="shared" si="2"/>
        <v>0.13363647179810706</v>
      </c>
      <c r="G32" s="22">
        <f>[19]Baja_tek!D20/1000000</f>
        <v>0.58013327999999975</v>
      </c>
      <c r="H32" s="22">
        <f>[19]Baja_tek!E20/1000000</f>
        <v>0.97659795000000038</v>
      </c>
      <c r="I32" s="22">
        <f t="shared" si="3"/>
        <v>68.340273462677544</v>
      </c>
      <c r="J32" s="22">
        <f t="shared" si="4"/>
        <v>0.15374124551311355</v>
      </c>
      <c r="K32" s="16"/>
    </row>
    <row r="33" spans="1:13">
      <c r="A33" s="14"/>
      <c r="B33" s="9" t="str">
        <f>+[19]Baja_tek!A21</f>
        <v>Huila</v>
      </c>
      <c r="C33" s="22">
        <f>[19]Baja_tek!B21/1000000</f>
        <v>0.64976071000000046</v>
      </c>
      <c r="D33" s="22">
        <f>[19]Baja_tek!C21/1000000</f>
        <v>5.1469912100000013</v>
      </c>
      <c r="E33" s="22">
        <f t="shared" si="1"/>
        <v>692.13641742049901</v>
      </c>
      <c r="F33" s="22">
        <f t="shared" si="2"/>
        <v>0.10868222095214794</v>
      </c>
      <c r="G33" s="22">
        <f>[19]Baja_tek!D21/1000000</f>
        <v>0.15011257999999997</v>
      </c>
      <c r="H33" s="22">
        <f>[19]Baja_tek!E21/1000000</f>
        <v>0.28668670000000002</v>
      </c>
      <c r="I33" s="22">
        <f t="shared" si="3"/>
        <v>90.981128963342101</v>
      </c>
      <c r="J33" s="22">
        <f t="shared" si="4"/>
        <v>4.5131745699491091E-2</v>
      </c>
      <c r="K33" s="16"/>
    </row>
    <row r="34" spans="1:13">
      <c r="A34" s="14"/>
      <c r="B34" s="9" t="str">
        <f>+[19]Baja_tek!A22</f>
        <v>Tolima</v>
      </c>
      <c r="C34" s="22">
        <f>[19]Baja_tek!B22/1000000</f>
        <v>2.9415117899999945</v>
      </c>
      <c r="D34" s="22">
        <f>[19]Baja_tek!C22/1000000</f>
        <v>4.0569327400000006</v>
      </c>
      <c r="E34" s="22">
        <f t="shared" si="1"/>
        <v>37.919989095131527</v>
      </c>
      <c r="F34" s="22">
        <f t="shared" si="2"/>
        <v>8.5664894779698464E-2</v>
      </c>
      <c r="G34" s="22">
        <f>[19]Baja_tek!D22/1000000</f>
        <v>0.38350066000000005</v>
      </c>
      <c r="H34" s="22">
        <f>[19]Baja_tek!E22/1000000</f>
        <v>1.0306314700000003</v>
      </c>
      <c r="I34" s="22">
        <f t="shared" si="3"/>
        <v>168.74307595715746</v>
      </c>
      <c r="J34" s="22">
        <f t="shared" si="4"/>
        <v>0.1622474897298434</v>
      </c>
      <c r="K34" s="16"/>
    </row>
    <row r="35" spans="1:13">
      <c r="A35" s="14"/>
      <c r="B35" s="9" t="str">
        <f>+[19]Baja_tek!A23</f>
        <v>Meta</v>
      </c>
      <c r="C35" s="22">
        <f>[19]Baja_tek!B23/1000000</f>
        <v>1.9081158500000006</v>
      </c>
      <c r="D35" s="22">
        <f>[19]Baja_tek!C23/1000000</f>
        <v>2.1607331899999993</v>
      </c>
      <c r="E35" s="22">
        <f t="shared" si="1"/>
        <v>13.239098663741956</v>
      </c>
      <c r="F35" s="22">
        <f t="shared" si="2"/>
        <v>4.5625351276677106E-2</v>
      </c>
      <c r="G35" s="22">
        <f>[19]Baja_tek!D23/1000000</f>
        <v>1.168348E-2</v>
      </c>
      <c r="H35" s="22">
        <f>[19]Baja_tek!E23/1000000</f>
        <v>1.1571631599999999</v>
      </c>
      <c r="I35" s="22">
        <f t="shared" si="3"/>
        <v>9804.2679064799177</v>
      </c>
      <c r="J35" s="22">
        <f t="shared" si="4"/>
        <v>0.18216678161191124</v>
      </c>
      <c r="K35" s="16"/>
    </row>
    <row r="36" spans="1:13">
      <c r="A36" s="14"/>
      <c r="B36" s="9" t="str">
        <f>+[19]Baja_tek!A24</f>
        <v>Sucre</v>
      </c>
      <c r="C36" s="22">
        <f>[19]Baja_tek!B24/1000000</f>
        <v>0.80669497000000001</v>
      </c>
      <c r="D36" s="22">
        <f>[19]Baja_tek!C24/1000000</f>
        <v>0.48676340000000001</v>
      </c>
      <c r="E36" s="22">
        <f t="shared" si="1"/>
        <v>-39.659546904079491</v>
      </c>
      <c r="F36" s="22">
        <f t="shared" si="2"/>
        <v>1.0278340341330941E-2</v>
      </c>
      <c r="G36" s="22">
        <f>[19]Baja_tek!D24/1000000</f>
        <v>5.0931000000000006E-3</v>
      </c>
      <c r="H36" s="22">
        <f>[19]Baja_tek!E24/1000000</f>
        <v>0</v>
      </c>
      <c r="I36" s="22" t="str">
        <f t="shared" si="3"/>
        <v/>
      </c>
      <c r="J36" s="22">
        <f t="shared" si="4"/>
        <v>0</v>
      </c>
      <c r="K36" s="16"/>
    </row>
    <row r="37" spans="1:13">
      <c r="A37" s="14"/>
      <c r="B37" s="9" t="str">
        <f>+[19]Baja_tek!A25</f>
        <v>Chocó</v>
      </c>
      <c r="C37" s="22">
        <f>[19]Baja_tek!B25/1000000</f>
        <v>1.144652E-2</v>
      </c>
      <c r="D37" s="22">
        <f>[19]Baja_tek!C25/1000000</f>
        <v>0.26363365000000011</v>
      </c>
      <c r="E37" s="22">
        <f t="shared" si="1"/>
        <v>2203.1772975541921</v>
      </c>
      <c r="F37" s="22">
        <f t="shared" si="2"/>
        <v>5.5668038725329863E-3</v>
      </c>
      <c r="G37" s="22">
        <f>[19]Baja_tek!D25/1000000</f>
        <v>0</v>
      </c>
      <c r="H37" s="22">
        <f>[19]Baja_tek!E25/1000000</f>
        <v>3.249871E-2</v>
      </c>
      <c r="I37" s="22" t="str">
        <f t="shared" si="3"/>
        <v/>
      </c>
      <c r="J37" s="22">
        <f t="shared" si="4"/>
        <v>5.1161198453974601E-3</v>
      </c>
      <c r="K37" s="16"/>
    </row>
    <row r="38" spans="1:13">
      <c r="A38" s="14"/>
      <c r="B38" s="9" t="str">
        <f>+[19]Baja_tek!A26</f>
        <v>Amazonas</v>
      </c>
      <c r="C38" s="22">
        <f>[19]Baja_tek!B26/1000000</f>
        <v>0.12230872000000002</v>
      </c>
      <c r="D38" s="22">
        <f>[19]Baja_tek!C26/1000000</f>
        <v>0.1958266599999999</v>
      </c>
      <c r="E38" s="22">
        <f t="shared" si="1"/>
        <v>60.10850248453248</v>
      </c>
      <c r="F38" s="22">
        <f t="shared" si="2"/>
        <v>4.1350131488647199E-3</v>
      </c>
      <c r="G38" s="22">
        <f>[19]Baja_tek!D26/1000000</f>
        <v>1.5113430000000001E-2</v>
      </c>
      <c r="H38" s="22">
        <f>[19]Baja_tek!E26/1000000</f>
        <v>4.6530780000000008E-2</v>
      </c>
      <c r="I38" s="22">
        <f t="shared" si="3"/>
        <v>207.87703386987602</v>
      </c>
      <c r="J38" s="22">
        <f t="shared" si="4"/>
        <v>7.3251229657984359E-3</v>
      </c>
      <c r="K38" s="16"/>
    </row>
    <row r="39" spans="1:13">
      <c r="A39" s="14"/>
      <c r="B39" s="9" t="str">
        <f>+[19]Baja_tek!A27</f>
        <v>San Andrés</v>
      </c>
      <c r="C39" s="22">
        <f>[19]Baja_tek!B27/1000000</f>
        <v>1.1339859999999998E-2</v>
      </c>
      <c r="D39" s="22">
        <f>[19]Baja_tek!C27/1000000</f>
        <v>9.4604790000000022E-2</v>
      </c>
      <c r="E39" s="22">
        <f t="shared" si="1"/>
        <v>734.26770700872873</v>
      </c>
      <c r="F39" s="22">
        <f t="shared" si="2"/>
        <v>1.9976445014973235E-3</v>
      </c>
      <c r="G39" s="22">
        <f>[19]Baja_tek!D27/1000000</f>
        <v>2.0525E-4</v>
      </c>
      <c r="H39" s="22">
        <f>[19]Baja_tek!E27/1000000</f>
        <v>0</v>
      </c>
      <c r="I39" s="22" t="str">
        <f t="shared" si="3"/>
        <v/>
      </c>
      <c r="J39" s="22">
        <f t="shared" si="4"/>
        <v>0</v>
      </c>
      <c r="K39" s="16"/>
    </row>
    <row r="40" spans="1:13">
      <c r="A40" s="14"/>
      <c r="B40" s="9" t="str">
        <f>+[19]Baja_tek!A28</f>
        <v>Vichada</v>
      </c>
      <c r="C40" s="22">
        <f>[19]Baja_tek!B28/1000000</f>
        <v>0</v>
      </c>
      <c r="D40" s="22">
        <f>[19]Baja_tek!C28/1000000</f>
        <v>9.1590820000000017E-2</v>
      </c>
      <c r="E40" s="22" t="str">
        <f t="shared" si="1"/>
        <v/>
      </c>
      <c r="F40" s="22">
        <f t="shared" si="2"/>
        <v>1.9340024745113972E-3</v>
      </c>
      <c r="G40" s="22">
        <f>[19]Baja_tek!D28/1000000</f>
        <v>0</v>
      </c>
      <c r="H40" s="22">
        <f>[19]Baja_tek!E28/1000000</f>
        <v>9.1446689999999997E-2</v>
      </c>
      <c r="I40" s="22" t="str">
        <f t="shared" si="3"/>
        <v/>
      </c>
      <c r="J40" s="22">
        <f t="shared" si="4"/>
        <v>1.4396024503892905E-2</v>
      </c>
      <c r="K40" s="16"/>
    </row>
    <row r="41" spans="1:13">
      <c r="A41" s="14"/>
      <c r="B41" s="9" t="str">
        <f>+[19]Baja_tek!A29</f>
        <v>Putumayo</v>
      </c>
      <c r="C41" s="22">
        <f>[19]Baja_tek!B29/1000000</f>
        <v>9.7387999999999999E-4</v>
      </c>
      <c r="D41" s="22">
        <f>[19]Baja_tek!C29/1000000</f>
        <v>7.2458519999999998E-2</v>
      </c>
      <c r="E41" s="22">
        <f t="shared" si="1"/>
        <v>7340.1897564381643</v>
      </c>
      <c r="F41" s="22">
        <f t="shared" si="2"/>
        <v>1.530010944103716E-3</v>
      </c>
      <c r="G41" s="22">
        <f>[19]Baja_tek!D29/1000000</f>
        <v>0</v>
      </c>
      <c r="H41" s="22">
        <f>[19]Baja_tek!E29/1000000</f>
        <v>3.1935000000000004E-4</v>
      </c>
      <c r="I41" s="22" t="str">
        <f t="shared" si="3"/>
        <v/>
      </c>
      <c r="J41" s="22">
        <f t="shared" si="4"/>
        <v>5.0273776178429212E-5</v>
      </c>
      <c r="K41" s="16"/>
    </row>
    <row r="42" spans="1:13">
      <c r="A42" s="14"/>
      <c r="B42" s="9" t="str">
        <f>+[19]Baja_tek!A30</f>
        <v>Guaviare</v>
      </c>
      <c r="C42" s="22">
        <f>[19]Baja_tek!B30/1000000</f>
        <v>0</v>
      </c>
      <c r="D42" s="22">
        <f>[19]Baja_tek!C30/1000000</f>
        <v>4.1549599999999999E-2</v>
      </c>
      <c r="E42" s="22" t="str">
        <f t="shared" si="1"/>
        <v/>
      </c>
      <c r="F42" s="22">
        <f t="shared" si="2"/>
        <v>8.7734807063588605E-4</v>
      </c>
      <c r="G42" s="22">
        <f>[19]Baja_tek!D30/1000000</f>
        <v>0</v>
      </c>
      <c r="H42" s="22">
        <f>[19]Baja_tek!E30/1000000</f>
        <v>0</v>
      </c>
      <c r="I42" s="22" t="str">
        <f t="shared" si="3"/>
        <v/>
      </c>
      <c r="J42" s="22">
        <f t="shared" si="4"/>
        <v>0</v>
      </c>
      <c r="K42" s="16"/>
    </row>
    <row r="43" spans="1:13">
      <c r="A43" s="14"/>
      <c r="B43" s="9" t="str">
        <f>+[19]Baja_tek!A31</f>
        <v>Aráuca</v>
      </c>
      <c r="C43" s="22">
        <f>[19]Baja_tek!B31/1000000</f>
        <v>9.1574320000000001E-2</v>
      </c>
      <c r="D43" s="22">
        <f>[19]Baja_tek!C31/1000000</f>
        <v>2.801975E-2</v>
      </c>
      <c r="E43" s="22">
        <f t="shared" si="1"/>
        <v>-69.402175194967313</v>
      </c>
      <c r="F43" s="22">
        <f t="shared" si="2"/>
        <v>5.9165608338467447E-4</v>
      </c>
      <c r="G43" s="22">
        <f>[19]Baja_tek!D31/1000000</f>
        <v>4.5181999999999997E-4</v>
      </c>
      <c r="H43" s="22">
        <f>[19]Baja_tek!E31/1000000</f>
        <v>0</v>
      </c>
      <c r="I43" s="22" t="str">
        <f t="shared" si="3"/>
        <v/>
      </c>
      <c r="J43" s="22">
        <f t="shared" si="4"/>
        <v>0</v>
      </c>
      <c r="K43" s="16"/>
    </row>
    <row r="44" spans="1:13">
      <c r="A44" s="14"/>
      <c r="B44" s="9" t="str">
        <f>+[19]Baja_tek!A32</f>
        <v>Caquetá</v>
      </c>
      <c r="C44" s="22">
        <f>[19]Baja_tek!B32/1000000</f>
        <v>0</v>
      </c>
      <c r="D44" s="22">
        <f>[19]Baja_tek!C32/1000000</f>
        <v>1.556922E-2</v>
      </c>
      <c r="E44" s="22" t="str">
        <f t="shared" ref="E44" si="5">IF(OR(OR(D44=0,C44=0),D44=""),"",(D44/C44-1)*100)</f>
        <v/>
      </c>
      <c r="F44" s="22">
        <f t="shared" ref="F44" si="6">(D44/D$13)*100</f>
        <v>3.2875467220636664E-4</v>
      </c>
      <c r="G44" s="22">
        <f>[19]Baja_tek!D32/1000000</f>
        <v>0</v>
      </c>
      <c r="H44" s="22">
        <f>[19]Baja_tek!E32/1000000</f>
        <v>1.0398699999999998E-3</v>
      </c>
      <c r="I44" s="22" t="str">
        <f t="shared" ref="I44" si="7">IF(OR(OR(H44=0,G44=0),H44=""),"",(H44/G44-1)*100)</f>
        <v/>
      </c>
      <c r="J44" s="22">
        <f t="shared" ref="J44" si="8">(H44/H$13)*100</f>
        <v>1.6370186827826261E-4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tr">
        <f>IF(F45="","",1)</f>
        <v/>
      </c>
    </row>
    <row r="46" spans="1:13">
      <c r="A46" s="17"/>
      <c r="B46" s="39" t="s">
        <v>25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75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82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7"/>
      <c r="D9" s="107"/>
      <c r="E9" s="107"/>
      <c r="F9" s="107"/>
      <c r="G9" s="107"/>
      <c r="H9" s="107"/>
      <c r="I9" s="8"/>
      <c r="J9" s="8"/>
      <c r="K9" s="16"/>
    </row>
    <row r="10" spans="1:14" ht="15.75" customHeight="1">
      <c r="A10" s="14"/>
      <c r="B10" s="9"/>
      <c r="C10" s="114" t="s">
        <v>140</v>
      </c>
      <c r="D10" s="114"/>
      <c r="E10" s="113" t="s">
        <v>1</v>
      </c>
      <c r="F10" s="113" t="s">
        <v>4</v>
      </c>
      <c r="G10" s="114" t="s">
        <v>141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107">
        <v>2009</v>
      </c>
      <c r="D11" s="107">
        <v>2010</v>
      </c>
      <c r="E11" s="113"/>
      <c r="F11" s="113"/>
      <c r="G11" s="107">
        <v>2009</v>
      </c>
      <c r="H11" s="107">
        <v>2010</v>
      </c>
      <c r="I11" s="113"/>
      <c r="J11" s="113"/>
      <c r="K11" s="16"/>
      <c r="N11" s="2"/>
    </row>
    <row r="12" spans="1:14" ht="12" customHeight="1">
      <c r="A12" s="14"/>
      <c r="B12" s="9"/>
      <c r="C12" s="107"/>
      <c r="D12" s="107"/>
      <c r="E12" s="107"/>
      <c r="F12" s="107"/>
      <c r="G12" s="107"/>
      <c r="H12" s="107"/>
      <c r="I12" s="107"/>
      <c r="J12" s="107"/>
      <c r="K12" s="16"/>
    </row>
    <row r="13" spans="1:14">
      <c r="A13" s="14"/>
      <c r="B13" s="10" t="s">
        <v>31</v>
      </c>
      <c r="C13" s="100">
        <f>SUM(C14:C43)</f>
        <v>9260.7521951499511</v>
      </c>
      <c r="D13" s="100">
        <f>SUM(D14:D43)</f>
        <v>11459.173302470095</v>
      </c>
      <c r="E13" s="99">
        <f>IF(OR(OR(D13=0,C13=0),D13=""),"",(D13/C13-1)*100)</f>
        <v>23.739120332703667</v>
      </c>
      <c r="F13" s="99">
        <f>(D13/D$13)*100</f>
        <v>100</v>
      </c>
      <c r="G13" s="100">
        <f>SUM(G14:G43)</f>
        <v>1033.8840103600025</v>
      </c>
      <c r="H13" s="100">
        <f>SUM(H14:H43)</f>
        <v>1337.9937606299986</v>
      </c>
      <c r="I13" s="99">
        <f>IF(OR(OR(H13=0,G13=0),H13=""),"",(H13/G13-1)*100)</f>
        <v>29.414300562023765</v>
      </c>
      <c r="J13" s="99">
        <f>(H13/H$13)*100</f>
        <v>100</v>
      </c>
      <c r="K13" s="16"/>
    </row>
    <row r="14" spans="1:14">
      <c r="A14" s="14"/>
      <c r="B14" s="9" t="str">
        <f>+[19]Tek_media!A2</f>
        <v>Bogotá</v>
      </c>
      <c r="C14" s="25">
        <f>[19]Tek_media!B2/1000000</f>
        <v>3248.0194565199445</v>
      </c>
      <c r="D14" s="25">
        <f>[19]Tek_media!C2/1000000</f>
        <v>4500.3982859001226</v>
      </c>
      <c r="E14" s="25">
        <f>IF(OR(OR(D14=0,C14=0),D14=""),"",(D14/C14-1)*100)</f>
        <v>38.558230520023606</v>
      </c>
      <c r="F14" s="25">
        <f>(D14/D$13)*100</f>
        <v>39.27332423648776</v>
      </c>
      <c r="G14" s="25">
        <f>[19]Tek_media!D2/1000000</f>
        <v>381.15545859000241</v>
      </c>
      <c r="H14" s="25">
        <f>[19]Tek_media!E2/1000000</f>
        <v>620.93736435999858</v>
      </c>
      <c r="I14" s="25">
        <f>IF(OR(OR(H14=0,G14=0),H14=""),"",(H14/G14-1)*100)</f>
        <v>62.909214696023128</v>
      </c>
      <c r="J14" s="25">
        <f>(H14/H$13)*100</f>
        <v>46.408091175823444</v>
      </c>
      <c r="K14" s="16"/>
    </row>
    <row r="15" spans="1:14">
      <c r="A15" s="14"/>
      <c r="B15" s="9" t="str">
        <f>+[19]Tek_media!A3</f>
        <v>Cundinamarca</v>
      </c>
      <c r="C15" s="22">
        <f>[19]Tek_media!B3/1000000</f>
        <v>1209.6720545000035</v>
      </c>
      <c r="D15" s="22">
        <f>[19]Tek_media!C3/1000000</f>
        <v>1606.5830447100052</v>
      </c>
      <c r="E15" s="22">
        <f t="shared" ref="E15:E43" si="0">IF(OR(OR(D15=0,C15=0),D15=""),"",(D15/C15-1)*100)</f>
        <v>32.811454041075436</v>
      </c>
      <c r="F15" s="22">
        <f t="shared" ref="F15:F43" si="1">(D15/D$13)*100</f>
        <v>14.020060630060428</v>
      </c>
      <c r="G15" s="22">
        <f>[19]Tek_media!D3/1000000</f>
        <v>134.97915796000009</v>
      </c>
      <c r="H15" s="22">
        <f>[19]Tek_media!E3/1000000</f>
        <v>211.69492560999942</v>
      </c>
      <c r="I15" s="22">
        <f t="shared" ref="I15:I43" si="2">IF(OR(OR(H15=0,G15=0),H15=""),"",(H15/G15-1)*100)</f>
        <v>56.835269095939523</v>
      </c>
      <c r="J15" s="22">
        <f t="shared" ref="J15:J43" si="3">(H15/H$13)*100</f>
        <v>15.821817099529836</v>
      </c>
      <c r="K15" s="16"/>
    </row>
    <row r="16" spans="1:14">
      <c r="A16" s="14"/>
      <c r="B16" s="9" t="str">
        <f>+[19]Tek_media!A4</f>
        <v>Antioquia</v>
      </c>
      <c r="C16" s="22">
        <f>[19]Tek_media!B4/1000000</f>
        <v>1033.7469002100047</v>
      </c>
      <c r="D16" s="22">
        <f>[19]Tek_media!C4/1000000</f>
        <v>1445.5554945399808</v>
      </c>
      <c r="E16" s="22">
        <f t="shared" si="0"/>
        <v>39.836501008739923</v>
      </c>
      <c r="F16" s="22">
        <f t="shared" si="1"/>
        <v>12.614832295348762</v>
      </c>
      <c r="G16" s="22">
        <f>[19]Tek_media!D4/1000000</f>
        <v>122.56126488000012</v>
      </c>
      <c r="H16" s="22">
        <f>[19]Tek_media!E4/1000000</f>
        <v>166.31017992000065</v>
      </c>
      <c r="I16" s="22">
        <f t="shared" si="2"/>
        <v>35.695547922775717</v>
      </c>
      <c r="J16" s="22">
        <f t="shared" si="3"/>
        <v>12.429817299124995</v>
      </c>
      <c r="K16" s="16"/>
    </row>
    <row r="17" spans="1:11">
      <c r="A17" s="14"/>
      <c r="B17" s="9" t="str">
        <f>+[19]Tek_media!A5</f>
        <v>Valle del Cauca</v>
      </c>
      <c r="C17" s="22">
        <f>[19]Tek_media!B5/1000000</f>
        <v>930.45590043000277</v>
      </c>
      <c r="D17" s="22">
        <f>[19]Tek_media!C5/1000000</f>
        <v>1211.7633452899936</v>
      </c>
      <c r="E17" s="22">
        <f t="shared" si="0"/>
        <v>30.233291521928862</v>
      </c>
      <c r="F17" s="22">
        <f t="shared" si="1"/>
        <v>10.574614008401378</v>
      </c>
      <c r="G17" s="22">
        <f>[19]Tek_media!D5/1000000</f>
        <v>101.58167474000004</v>
      </c>
      <c r="H17" s="22">
        <f>[19]Tek_media!E5/1000000</f>
        <v>93.12494595999965</v>
      </c>
      <c r="I17" s="22">
        <f t="shared" si="2"/>
        <v>-8.3250535115172326</v>
      </c>
      <c r="J17" s="22">
        <f t="shared" si="3"/>
        <v>6.9600433649370279</v>
      </c>
      <c r="K17" s="16"/>
    </row>
    <row r="18" spans="1:11">
      <c r="A18" s="14"/>
      <c r="B18" s="9" t="str">
        <f>+[19]Tek_media!A6</f>
        <v>Atlántico</v>
      </c>
      <c r="C18" s="22">
        <f>[19]Tek_media!B6/1000000</f>
        <v>630.58429889000342</v>
      </c>
      <c r="D18" s="22">
        <f>[19]Tek_media!C6/1000000</f>
        <v>656.39079418999688</v>
      </c>
      <c r="E18" s="22">
        <f t="shared" si="0"/>
        <v>4.0924734956800712</v>
      </c>
      <c r="F18" s="22">
        <f t="shared" si="1"/>
        <v>5.7280815715432789</v>
      </c>
      <c r="G18" s="22">
        <f>[19]Tek_media!D6/1000000</f>
        <v>67.044838920000075</v>
      </c>
      <c r="H18" s="22">
        <f>[19]Tek_media!E6/1000000</f>
        <v>60.091552699999959</v>
      </c>
      <c r="I18" s="22">
        <f t="shared" si="2"/>
        <v>-10.37109840519863</v>
      </c>
      <c r="J18" s="22">
        <f t="shared" si="3"/>
        <v>4.4911683797169326</v>
      </c>
      <c r="K18" s="16"/>
    </row>
    <row r="19" spans="1:11">
      <c r="A19" s="14"/>
      <c r="B19" s="9" t="str">
        <f>+[19]Tek_media!A7</f>
        <v>Bolívar</v>
      </c>
      <c r="C19" s="22">
        <f>[19]Tek_media!B7/1000000</f>
        <v>763.260940199993</v>
      </c>
      <c r="D19" s="22">
        <f>[19]Tek_media!C7/1000000</f>
        <v>517.70168674000058</v>
      </c>
      <c r="E19" s="22">
        <f t="shared" si="0"/>
        <v>-32.172385684461979</v>
      </c>
      <c r="F19" s="22">
        <f t="shared" si="1"/>
        <v>4.5177926284473484</v>
      </c>
      <c r="G19" s="22">
        <f>[19]Tek_media!D7/1000000</f>
        <v>72.349870289999814</v>
      </c>
      <c r="H19" s="22">
        <f>[19]Tek_media!E7/1000000</f>
        <v>38.428357779999985</v>
      </c>
      <c r="I19" s="22">
        <f t="shared" si="2"/>
        <v>-46.88538123708075</v>
      </c>
      <c r="J19" s="22">
        <f t="shared" si="3"/>
        <v>2.8720879656348974</v>
      </c>
      <c r="K19" s="16"/>
    </row>
    <row r="20" spans="1:11">
      <c r="A20" s="14"/>
      <c r="B20" s="9" t="str">
        <f>+[19]Tek_media!A8</f>
        <v>Cesar</v>
      </c>
      <c r="C20" s="22">
        <f>[19]Tek_media!B8/1000000</f>
        <v>455.43998284000219</v>
      </c>
      <c r="D20" s="22">
        <f>[19]Tek_media!C8/1000000</f>
        <v>329.80228032999952</v>
      </c>
      <c r="E20" s="22">
        <f t="shared" si="0"/>
        <v>-27.586006333163702</v>
      </c>
      <c r="F20" s="22">
        <f t="shared" si="1"/>
        <v>2.8780634660522031</v>
      </c>
      <c r="G20" s="22">
        <f>[19]Tek_media!D8/1000000</f>
        <v>42.778827899999996</v>
      </c>
      <c r="H20" s="22">
        <f>[19]Tek_media!E8/1000000</f>
        <v>29.525196329999869</v>
      </c>
      <c r="I20" s="22">
        <f t="shared" si="2"/>
        <v>-30.98175480866816</v>
      </c>
      <c r="J20" s="22">
        <f t="shared" si="3"/>
        <v>2.2066766825652335</v>
      </c>
      <c r="K20" s="16"/>
    </row>
    <row r="21" spans="1:11">
      <c r="A21" s="14"/>
      <c r="B21" s="9" t="str">
        <f>+[19]Tek_media!A9</f>
        <v>Guajira</v>
      </c>
      <c r="C21" s="22">
        <f>[19]Tek_media!B9/1000000</f>
        <v>203.37482796999936</v>
      </c>
      <c r="D21" s="22">
        <f>[19]Tek_media!C9/1000000</f>
        <v>252.93474529999963</v>
      </c>
      <c r="E21" s="22">
        <f t="shared" si="0"/>
        <v>24.368756853877251</v>
      </c>
      <c r="F21" s="22">
        <f t="shared" si="1"/>
        <v>2.2072686975200733</v>
      </c>
      <c r="G21" s="22">
        <f>[19]Tek_media!D9/1000000</f>
        <v>21.757950719999986</v>
      </c>
      <c r="H21" s="22">
        <f>[19]Tek_media!E9/1000000</f>
        <v>30.361678370000018</v>
      </c>
      <c r="I21" s="22">
        <f t="shared" si="2"/>
        <v>39.54291358005262</v>
      </c>
      <c r="J21" s="22">
        <f t="shared" si="3"/>
        <v>2.2691943163998105</v>
      </c>
      <c r="K21" s="16"/>
    </row>
    <row r="22" spans="1:11">
      <c r="A22" s="14"/>
      <c r="B22" s="9" t="str">
        <f>+[19]Tek_media!A10</f>
        <v>Magdalena</v>
      </c>
      <c r="C22" s="22">
        <f>[19]Tek_media!B10/1000000</f>
        <v>161.85122469999985</v>
      </c>
      <c r="D22" s="22">
        <f>[19]Tek_media!C10/1000000</f>
        <v>145.71317106999973</v>
      </c>
      <c r="E22" s="22">
        <f t="shared" si="0"/>
        <v>-9.9709184529884638</v>
      </c>
      <c r="F22" s="22">
        <f t="shared" si="1"/>
        <v>1.2715853685412921</v>
      </c>
      <c r="G22" s="22">
        <f>[19]Tek_media!D10/1000000</f>
        <v>16.881549939999985</v>
      </c>
      <c r="H22" s="22">
        <f>[19]Tek_media!E10/1000000</f>
        <v>1.7725800199999997</v>
      </c>
      <c r="I22" s="22">
        <f t="shared" si="2"/>
        <v>-89.499897661647992</v>
      </c>
      <c r="J22" s="22">
        <f t="shared" si="3"/>
        <v>0.13248043990619018</v>
      </c>
      <c r="K22" s="16"/>
    </row>
    <row r="23" spans="1:11">
      <c r="A23" s="14"/>
      <c r="B23" s="9" t="str">
        <f>+[19]Tek_media!A11</f>
        <v>Santander</v>
      </c>
      <c r="C23" s="22">
        <f>[19]Tek_media!B11/1000000</f>
        <v>102.73326897999968</v>
      </c>
      <c r="D23" s="22">
        <f>[19]Tek_media!C11/1000000</f>
        <v>139.11307668999987</v>
      </c>
      <c r="E23" s="22">
        <f t="shared" si="0"/>
        <v>35.411905092869844</v>
      </c>
      <c r="F23" s="22">
        <f t="shared" si="1"/>
        <v>1.21398876706065</v>
      </c>
      <c r="G23" s="22">
        <f>[19]Tek_media!D11/1000000</f>
        <v>14.85846944</v>
      </c>
      <c r="H23" s="22">
        <f>[19]Tek_media!E11/1000000</f>
        <v>20.19918516000002</v>
      </c>
      <c r="I23" s="22">
        <f t="shared" si="2"/>
        <v>35.943915633883883</v>
      </c>
      <c r="J23" s="22">
        <f t="shared" si="3"/>
        <v>1.5096621340363479</v>
      </c>
      <c r="K23" s="16"/>
    </row>
    <row r="24" spans="1:11">
      <c r="A24" s="14"/>
      <c r="B24" s="9" t="str">
        <f>+[19]Tek_media!A12</f>
        <v>Nariño</v>
      </c>
      <c r="C24" s="22">
        <f>[19]Tek_media!B12/1000000</f>
        <v>30.405060749999976</v>
      </c>
      <c r="D24" s="22">
        <f>[19]Tek_media!C12/1000000</f>
        <v>111.26568543999976</v>
      </c>
      <c r="E24" s="22">
        <f t="shared" si="0"/>
        <v>265.94462466252378</v>
      </c>
      <c r="F24" s="22">
        <f t="shared" si="1"/>
        <v>0.97097480335702535</v>
      </c>
      <c r="G24" s="22">
        <f>[19]Tek_media!D12/1000000</f>
        <v>3.3858057499999998</v>
      </c>
      <c r="H24" s="22">
        <f>[19]Tek_media!E12/1000000</f>
        <v>0.93417336999999989</v>
      </c>
      <c r="I24" s="22">
        <f t="shared" si="2"/>
        <v>-72.409126837828779</v>
      </c>
      <c r="J24" s="22">
        <f t="shared" si="3"/>
        <v>6.9818963098911724E-2</v>
      </c>
      <c r="K24" s="16"/>
    </row>
    <row r="25" spans="1:11">
      <c r="A25" s="14"/>
      <c r="B25" s="9" t="str">
        <f>+[19]Tek_media!A13</f>
        <v>Caldas</v>
      </c>
      <c r="C25" s="22">
        <f>[19]Tek_media!B13/1000000</f>
        <v>98.544278680000076</v>
      </c>
      <c r="D25" s="22">
        <f>[19]Tek_media!C13/1000000</f>
        <v>110.6346508299999</v>
      </c>
      <c r="E25" s="22">
        <f t="shared" si="0"/>
        <v>12.26897422351685</v>
      </c>
      <c r="F25" s="22">
        <f t="shared" si="1"/>
        <v>0.96546799589942423</v>
      </c>
      <c r="G25" s="22">
        <f>[19]Tek_media!D13/1000000</f>
        <v>10.125531140000007</v>
      </c>
      <c r="H25" s="22">
        <f>[19]Tek_media!E13/1000000</f>
        <v>10.580664539999997</v>
      </c>
      <c r="I25" s="22">
        <f t="shared" si="2"/>
        <v>4.4949088962062067</v>
      </c>
      <c r="J25" s="22">
        <f t="shared" si="3"/>
        <v>0.79078579073627797</v>
      </c>
      <c r="K25" s="16"/>
    </row>
    <row r="26" spans="1:11">
      <c r="A26" s="14"/>
      <c r="B26" s="9" t="str">
        <f>+[19]Tek_media!A14</f>
        <v>Risaralda</v>
      </c>
      <c r="C26" s="22">
        <f>[19]Tek_media!B14/1000000</f>
        <v>95.154757199999963</v>
      </c>
      <c r="D26" s="22">
        <f>[19]Tek_media!C14/1000000</f>
        <v>108.84943661000017</v>
      </c>
      <c r="E26" s="22">
        <f t="shared" si="0"/>
        <v>14.39200709767583</v>
      </c>
      <c r="F26" s="22">
        <f t="shared" si="1"/>
        <v>0.94988908655860016</v>
      </c>
      <c r="G26" s="22">
        <f>[19]Tek_media!D14/1000000</f>
        <v>8.3956957500000069</v>
      </c>
      <c r="H26" s="22">
        <f>[19]Tek_media!E14/1000000</f>
        <v>13.735934049999994</v>
      </c>
      <c r="I26" s="22">
        <f t="shared" si="2"/>
        <v>63.606858311891322</v>
      </c>
      <c r="J26" s="22">
        <f t="shared" si="3"/>
        <v>1.0266067342146936</v>
      </c>
      <c r="K26" s="16"/>
    </row>
    <row r="27" spans="1:11">
      <c r="A27" s="14"/>
      <c r="B27" s="9" t="str">
        <f>+[19]Tek_media!A15</f>
        <v>Cauca</v>
      </c>
      <c r="C27" s="22">
        <f>[19]Tek_media!B15/1000000</f>
        <v>55.41162632999999</v>
      </c>
      <c r="D27" s="22">
        <f>[19]Tek_media!C15/1000000</f>
        <v>64.316814819999919</v>
      </c>
      <c r="E27" s="22">
        <f t="shared" si="0"/>
        <v>16.070974775159485</v>
      </c>
      <c r="F27" s="22">
        <f t="shared" si="1"/>
        <v>0.56126923925773975</v>
      </c>
      <c r="G27" s="22">
        <f>[19]Tek_media!D15/1000000</f>
        <v>7.0606962400000022</v>
      </c>
      <c r="H27" s="22">
        <f>[19]Tek_media!E15/1000000</f>
        <v>7.9394555699999945</v>
      </c>
      <c r="I27" s="22">
        <f t="shared" si="2"/>
        <v>12.445788632311871</v>
      </c>
      <c r="J27" s="22">
        <f t="shared" si="3"/>
        <v>0.5933850966735208</v>
      </c>
      <c r="K27" s="16"/>
    </row>
    <row r="28" spans="1:11">
      <c r="A28" s="14"/>
      <c r="B28" s="9" t="str">
        <f>+[19]Tek_media!A16</f>
        <v>Boyacá</v>
      </c>
      <c r="C28" s="22">
        <f>[19]Tek_media!B16/1000000</f>
        <v>36.954430009999982</v>
      </c>
      <c r="D28" s="22">
        <f>[19]Tek_media!C16/1000000</f>
        <v>60.921761009999955</v>
      </c>
      <c r="E28" s="22">
        <f t="shared" si="0"/>
        <v>64.856448857455888</v>
      </c>
      <c r="F28" s="22">
        <f t="shared" si="1"/>
        <v>0.53164185061122948</v>
      </c>
      <c r="G28" s="22">
        <f>[19]Tek_media!D16/1000000</f>
        <v>3.6166520400000013</v>
      </c>
      <c r="H28" s="22">
        <f>[19]Tek_media!E16/1000000</f>
        <v>12.722056540000001</v>
      </c>
      <c r="I28" s="22">
        <f t="shared" si="2"/>
        <v>251.76335459686624</v>
      </c>
      <c r="J28" s="22">
        <f t="shared" si="3"/>
        <v>0.95083078220109041</v>
      </c>
      <c r="K28" s="16"/>
    </row>
    <row r="29" spans="1:11">
      <c r="A29" s="14"/>
      <c r="B29" s="9" t="str">
        <f>+[19]Tek_media!A17</f>
        <v>Casanare</v>
      </c>
      <c r="C29" s="22">
        <f>[19]Tek_media!B17/1000000</f>
        <v>23.857109899999958</v>
      </c>
      <c r="D29" s="22">
        <f>[19]Tek_media!C17/1000000</f>
        <v>59.730367789999882</v>
      </c>
      <c r="E29" s="22">
        <f t="shared" si="0"/>
        <v>150.36715696229402</v>
      </c>
      <c r="F29" s="22">
        <f t="shared" si="1"/>
        <v>0.52124499921058554</v>
      </c>
      <c r="G29" s="22">
        <f>[19]Tek_media!D17/1000000</f>
        <v>4.4932022799999993</v>
      </c>
      <c r="H29" s="22">
        <f>[19]Tek_media!E17/1000000</f>
        <v>2.7150472900000002</v>
      </c>
      <c r="I29" s="22">
        <f t="shared" si="2"/>
        <v>-39.574336501939086</v>
      </c>
      <c r="J29" s="22">
        <f t="shared" si="3"/>
        <v>0.20291927884040442</v>
      </c>
      <c r="K29" s="16"/>
    </row>
    <row r="30" spans="1:11">
      <c r="A30" s="14"/>
      <c r="B30" s="9" t="str">
        <f>+[19]Tek_media!A18</f>
        <v>Norte de Santander</v>
      </c>
      <c r="C30" s="22">
        <f>[19]Tek_media!B18/1000000</f>
        <v>70.676085009999966</v>
      </c>
      <c r="D30" s="22">
        <f>[19]Tek_media!C18/1000000</f>
        <v>54.919183029999992</v>
      </c>
      <c r="E30" s="22">
        <f t="shared" si="0"/>
        <v>-22.294531421442663</v>
      </c>
      <c r="F30" s="22">
        <f t="shared" si="1"/>
        <v>0.47925955547039173</v>
      </c>
      <c r="G30" s="22">
        <f>[19]Tek_media!D18/1000000</f>
        <v>3.0651935399999997</v>
      </c>
      <c r="H30" s="22">
        <f>[19]Tek_media!E18/1000000</f>
        <v>5.9398374599999979</v>
      </c>
      <c r="I30" s="22">
        <f t="shared" si="2"/>
        <v>93.783439201688992</v>
      </c>
      <c r="J30" s="22">
        <f t="shared" si="3"/>
        <v>0.44393611052440235</v>
      </c>
      <c r="K30" s="16"/>
    </row>
    <row r="31" spans="1:11">
      <c r="A31" s="14"/>
      <c r="B31" s="9" t="str">
        <f>+[19]Tek_media!A19</f>
        <v>Córdoba</v>
      </c>
      <c r="C31" s="22">
        <f>[19]Tek_media!B19/1000000</f>
        <v>20.160342149999984</v>
      </c>
      <c r="D31" s="22">
        <f>[19]Tek_media!C19/1000000</f>
        <v>27.86941094999996</v>
      </c>
      <c r="E31" s="22">
        <f t="shared" si="0"/>
        <v>38.238779593331373</v>
      </c>
      <c r="F31" s="22">
        <f t="shared" si="1"/>
        <v>0.24320612154449689</v>
      </c>
      <c r="G31" s="22">
        <f>[19]Tek_media!D19/1000000</f>
        <v>1.7671994900000001</v>
      </c>
      <c r="H31" s="22">
        <f>[19]Tek_media!E19/1000000</f>
        <v>2.3874563499999999</v>
      </c>
      <c r="I31" s="22">
        <f t="shared" si="2"/>
        <v>35.098293288891782</v>
      </c>
      <c r="J31" s="22">
        <f t="shared" si="3"/>
        <v>0.17843553686497451</v>
      </c>
      <c r="K31" s="16"/>
    </row>
    <row r="32" spans="1:11">
      <c r="A32" s="14"/>
      <c r="B32" s="9" t="str">
        <f>+[19]Tek_media!A20</f>
        <v>Huila</v>
      </c>
      <c r="C32" s="22">
        <f>[19]Tek_media!B20/1000000</f>
        <v>21.152869350000014</v>
      </c>
      <c r="D32" s="22">
        <f>[19]Tek_media!C20/1000000</f>
        <v>16.987845970000002</v>
      </c>
      <c r="E32" s="22">
        <f t="shared" si="0"/>
        <v>-19.690110646856564</v>
      </c>
      <c r="F32" s="22">
        <f t="shared" si="1"/>
        <v>0.14824669739777971</v>
      </c>
      <c r="G32" s="22">
        <f>[19]Tek_media!D20/1000000</f>
        <v>12.558135920000002</v>
      </c>
      <c r="H32" s="22">
        <f>[19]Tek_media!E20/1000000</f>
        <v>0.36549973999999991</v>
      </c>
      <c r="I32" s="22">
        <f t="shared" si="2"/>
        <v>-97.089538269625606</v>
      </c>
      <c r="J32" s="22">
        <f t="shared" si="3"/>
        <v>2.7316998834725745E-2</v>
      </c>
      <c r="K32" s="16"/>
    </row>
    <row r="33" spans="1:13">
      <c r="A33" s="14"/>
      <c r="B33" s="9" t="str">
        <f>+[19]Tek_media!A21</f>
        <v>Meta</v>
      </c>
      <c r="C33" s="22">
        <f>[19]Tek_media!B21/1000000</f>
        <v>15.999114399999995</v>
      </c>
      <c r="D33" s="22">
        <f>[19]Tek_media!C21/1000000</f>
        <v>15.204245190000002</v>
      </c>
      <c r="E33" s="22">
        <f t="shared" si="0"/>
        <v>-4.968207552788007</v>
      </c>
      <c r="F33" s="22">
        <f t="shared" si="1"/>
        <v>0.13268186795571574</v>
      </c>
      <c r="G33" s="22">
        <f>[19]Tek_media!D21/1000000</f>
        <v>0.41033743</v>
      </c>
      <c r="H33" s="22">
        <f>[19]Tek_media!E21/1000000</f>
        <v>5.0583503399999996</v>
      </c>
      <c r="I33" s="22">
        <f t="shared" si="2"/>
        <v>1132.7294490293025</v>
      </c>
      <c r="J33" s="22">
        <f t="shared" si="3"/>
        <v>0.37805485263386124</v>
      </c>
      <c r="K33" s="16"/>
    </row>
    <row r="34" spans="1:13">
      <c r="A34" s="14"/>
      <c r="B34" s="9" t="str">
        <f>+[19]Tek_media!A22</f>
        <v>Tolima</v>
      </c>
      <c r="C34" s="22">
        <f>[19]Tek_media!B22/1000000</f>
        <v>10.671834569999978</v>
      </c>
      <c r="D34" s="22">
        <f>[19]Tek_media!C22/1000000</f>
        <v>10.814603590000011</v>
      </c>
      <c r="E34" s="22">
        <f t="shared" si="0"/>
        <v>1.3378114049985124</v>
      </c>
      <c r="F34" s="22">
        <f t="shared" si="1"/>
        <v>9.4375076670398697E-2</v>
      </c>
      <c r="G34" s="22">
        <f>[19]Tek_media!D22/1000000</f>
        <v>1.6157757800000005</v>
      </c>
      <c r="H34" s="22">
        <f>[19]Tek_media!E22/1000000</f>
        <v>1.9083963599999991</v>
      </c>
      <c r="I34" s="22">
        <f t="shared" si="2"/>
        <v>18.110221951711548</v>
      </c>
      <c r="J34" s="22">
        <f t="shared" si="3"/>
        <v>0.142631185298011</v>
      </c>
      <c r="K34" s="16"/>
    </row>
    <row r="35" spans="1:13">
      <c r="A35" s="14"/>
      <c r="B35" s="9" t="str">
        <f>+[19]Tek_media!A23</f>
        <v>Quindío</v>
      </c>
      <c r="C35" s="22">
        <f>[19]Tek_media!B23/1000000</f>
        <v>9.807426340000001</v>
      </c>
      <c r="D35" s="22">
        <f>[19]Tek_media!C23/1000000</f>
        <v>7.8170286900000097</v>
      </c>
      <c r="E35" s="22">
        <f t="shared" si="0"/>
        <v>-20.294800909001687</v>
      </c>
      <c r="F35" s="22">
        <f t="shared" si="1"/>
        <v>6.8216340600372988E-2</v>
      </c>
      <c r="G35" s="22">
        <f>[19]Tek_media!D23/1000000</f>
        <v>0.79519464999999967</v>
      </c>
      <c r="H35" s="22">
        <f>[19]Tek_media!E23/1000000</f>
        <v>0.79307770999999994</v>
      </c>
      <c r="I35" s="22">
        <f t="shared" si="2"/>
        <v>-0.26621657980215874</v>
      </c>
      <c r="J35" s="22">
        <f t="shared" si="3"/>
        <v>5.9273647855172119E-2</v>
      </c>
      <c r="K35" s="16"/>
    </row>
    <row r="36" spans="1:13">
      <c r="A36" s="14"/>
      <c r="B36" s="9" t="str">
        <f>+[19]Tek_media!A24</f>
        <v>Sucre</v>
      </c>
      <c r="C36" s="22">
        <f>[19]Tek_media!B24/1000000</f>
        <v>1.0487511099999998</v>
      </c>
      <c r="D36" s="22">
        <f>[19]Tek_media!C24/1000000</f>
        <v>1.5987362100000007</v>
      </c>
      <c r="E36" s="22">
        <f t="shared" si="0"/>
        <v>52.441908738480471</v>
      </c>
      <c r="F36" s="22">
        <f t="shared" si="1"/>
        <v>1.3951584183262009E-2</v>
      </c>
      <c r="G36" s="22">
        <f>[19]Tek_media!D24/1000000</f>
        <v>0.36225641000000003</v>
      </c>
      <c r="H36" s="22">
        <f>[19]Tek_media!E24/1000000</f>
        <v>0.14891386000000001</v>
      </c>
      <c r="I36" s="22">
        <f t="shared" si="2"/>
        <v>-58.892691505445008</v>
      </c>
      <c r="J36" s="22">
        <f t="shared" si="3"/>
        <v>1.112963784897498E-2</v>
      </c>
      <c r="K36" s="16"/>
    </row>
    <row r="37" spans="1:13">
      <c r="A37" s="14"/>
      <c r="B37" s="9" t="str">
        <f>+[19]Tek_media!A25</f>
        <v>Amazonas</v>
      </c>
      <c r="C37" s="22">
        <f>[19]Tek_media!B25/1000000</f>
        <v>0.45107859000000006</v>
      </c>
      <c r="D37" s="22">
        <f>[19]Tek_media!C25/1000000</f>
        <v>0.70850914999999981</v>
      </c>
      <c r="E37" s="22">
        <f t="shared" si="0"/>
        <v>57.070001925828429</v>
      </c>
      <c r="F37" s="22">
        <f t="shared" si="1"/>
        <v>6.1828993357424507E-3</v>
      </c>
      <c r="G37" s="22">
        <f>[19]Tek_media!D25/1000000</f>
        <v>4.2569269999999999E-2</v>
      </c>
      <c r="H37" s="22">
        <f>[19]Tek_media!E25/1000000</f>
        <v>0.12317011</v>
      </c>
      <c r="I37" s="22">
        <f t="shared" si="2"/>
        <v>189.34043266421997</v>
      </c>
      <c r="J37" s="22">
        <f t="shared" si="3"/>
        <v>9.2055817915028954E-3</v>
      </c>
      <c r="K37" s="16"/>
    </row>
    <row r="38" spans="1:13">
      <c r="A38" s="14"/>
      <c r="B38" s="9" t="str">
        <f>+[19]Tek_media!A26</f>
        <v>Aráuca</v>
      </c>
      <c r="C38" s="22">
        <f>[19]Tek_media!B26/1000000</f>
        <v>1.4241021100000002</v>
      </c>
      <c r="D38" s="22">
        <f>[19]Tek_media!C26/1000000</f>
        <v>0.60621313999999993</v>
      </c>
      <c r="E38" s="22">
        <f t="shared" si="0"/>
        <v>-57.431904935524614</v>
      </c>
      <c r="F38" s="22">
        <f t="shared" si="1"/>
        <v>5.2901995981623467E-3</v>
      </c>
      <c r="G38" s="22">
        <f>[19]Tek_media!D26/1000000</f>
        <v>2.0745300000000002E-3</v>
      </c>
      <c r="H38" s="22">
        <f>[19]Tek_media!E26/1000000</f>
        <v>0</v>
      </c>
      <c r="I38" s="22" t="str">
        <f t="shared" si="2"/>
        <v/>
      </c>
      <c r="J38" s="22">
        <f t="shared" si="3"/>
        <v>0</v>
      </c>
      <c r="K38" s="16"/>
    </row>
    <row r="39" spans="1:13">
      <c r="A39" s="14"/>
      <c r="B39" s="9" t="str">
        <f>+[19]Tek_media!A27</f>
        <v>Caquetá</v>
      </c>
      <c r="C39" s="22">
        <f>[19]Tek_media!B27/1000000</f>
        <v>0.90091087000000003</v>
      </c>
      <c r="D39" s="22">
        <f>[19]Tek_media!C27/1000000</f>
        <v>0.29515574</v>
      </c>
      <c r="E39" s="22">
        <f t="shared" si="0"/>
        <v>-67.238075393629117</v>
      </c>
      <c r="F39" s="22">
        <f t="shared" si="1"/>
        <v>2.5757158235522747E-3</v>
      </c>
      <c r="G39" s="22">
        <f>[19]Tek_media!D27/1000000</f>
        <v>0</v>
      </c>
      <c r="H39" s="22">
        <f>[19]Tek_media!E27/1000000</f>
        <v>1.2598000000000001E-4</v>
      </c>
      <c r="I39" s="22" t="str">
        <f t="shared" si="2"/>
        <v/>
      </c>
      <c r="J39" s="22">
        <f t="shared" si="3"/>
        <v>9.4155894972695484E-6</v>
      </c>
      <c r="K39" s="16"/>
    </row>
    <row r="40" spans="1:13">
      <c r="A40" s="14"/>
      <c r="B40" s="9" t="str">
        <f>+[19]Tek_media!A28</f>
        <v>San Andrés</v>
      </c>
      <c r="C40" s="22">
        <f>[19]Tek_media!B28/1000000</f>
        <v>0.55960793000000009</v>
      </c>
      <c r="D40" s="22">
        <f>[19]Tek_media!C28/1000000</f>
        <v>0.27698220000000001</v>
      </c>
      <c r="E40" s="22">
        <f t="shared" si="0"/>
        <v>-50.504239637919369</v>
      </c>
      <c r="F40" s="22">
        <f t="shared" si="1"/>
        <v>2.4171220094934319E-3</v>
      </c>
      <c r="G40" s="22">
        <f>[19]Tek_media!D28/1000000</f>
        <v>1.4896000000000001E-4</v>
      </c>
      <c r="H40" s="22">
        <f>[19]Tek_media!E28/1000000</f>
        <v>2.4875760000000004E-2</v>
      </c>
      <c r="I40" s="22">
        <f t="shared" si="2"/>
        <v>16599.624060150378</v>
      </c>
      <c r="J40" s="22">
        <f t="shared" si="3"/>
        <v>1.859183557648817E-3</v>
      </c>
      <c r="K40" s="16"/>
    </row>
    <row r="41" spans="1:13">
      <c r="A41" s="14"/>
      <c r="B41" s="9" t="str">
        <f>+[19]Tek_media!A29</f>
        <v>Putumayo</v>
      </c>
      <c r="C41" s="22">
        <f>[19]Tek_media!B29/1000000</f>
        <v>28.080228020000007</v>
      </c>
      <c r="D41" s="22">
        <f>[19]Tek_media!C29/1000000</f>
        <v>0.25023316999999995</v>
      </c>
      <c r="E41" s="22">
        <f t="shared" si="0"/>
        <v>-99.108863468552428</v>
      </c>
      <c r="F41" s="22">
        <f t="shared" si="1"/>
        <v>2.1836930413301338E-3</v>
      </c>
      <c r="G41" s="22">
        <f>[19]Tek_media!D29/1000000</f>
        <v>0</v>
      </c>
      <c r="H41" s="22">
        <f>[19]Tek_media!E29/1000000</f>
        <v>3.9754459999999998E-2</v>
      </c>
      <c r="I41" s="22" t="str">
        <f t="shared" si="2"/>
        <v/>
      </c>
      <c r="J41" s="22">
        <f t="shared" si="3"/>
        <v>2.9711992065853494E-3</v>
      </c>
      <c r="K41" s="16"/>
    </row>
    <row r="42" spans="1:13">
      <c r="A42" s="14"/>
      <c r="B42" s="9" t="str">
        <f>+[19]Tek_media!A30</f>
        <v>Chocó</v>
      </c>
      <c r="C42" s="22">
        <f>[19]Tek_media!B30/1000000</f>
        <v>0.25051623000000001</v>
      </c>
      <c r="D42" s="22">
        <f>[19]Tek_media!C30/1000000</f>
        <v>0.13501919000000001</v>
      </c>
      <c r="E42" s="22">
        <f t="shared" si="0"/>
        <v>-46.103615721823687</v>
      </c>
      <c r="F42" s="22">
        <f t="shared" si="1"/>
        <v>1.1782629203355866E-3</v>
      </c>
      <c r="G42" s="22">
        <f>[19]Tek_media!D30/1000000</f>
        <v>0.23165040000000001</v>
      </c>
      <c r="H42" s="22">
        <f>[19]Tek_media!E30/1000000</f>
        <v>0.12950370999999999</v>
      </c>
      <c r="I42" s="22">
        <f t="shared" si="2"/>
        <v>-44.095192583306577</v>
      </c>
      <c r="J42" s="22">
        <f t="shared" si="3"/>
        <v>9.6789472276031206E-3</v>
      </c>
      <c r="K42" s="16"/>
    </row>
    <row r="43" spans="1:13">
      <c r="A43" s="14"/>
      <c r="B43" s="9" t="str">
        <f>+[19]Tek_media!A31</f>
        <v>Vichada</v>
      </c>
      <c r="C43" s="22">
        <f>[19]Tek_media!B31/1000000</f>
        <v>0.10321035999999999</v>
      </c>
      <c r="D43" s="22">
        <f>[19]Tek_media!C31/1000000</f>
        <v>1.549499E-2</v>
      </c>
      <c r="E43" s="22">
        <f t="shared" si="0"/>
        <v>-84.986981927008102</v>
      </c>
      <c r="F43" s="22">
        <f t="shared" si="1"/>
        <v>1.3521909121192853E-4</v>
      </c>
      <c r="G43" s="22">
        <f>[19]Tek_media!D31/1000000</f>
        <v>6.8274E-3</v>
      </c>
      <c r="H43" s="22">
        <f>[19]Tek_media!E31/1000000</f>
        <v>1.5012199999999999E-3</v>
      </c>
      <c r="I43" s="22">
        <f t="shared" si="2"/>
        <v>-78.01183466619797</v>
      </c>
      <c r="J43" s="22">
        <f t="shared" si="3"/>
        <v>1.1219932739395927E-4</v>
      </c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tr">
        <f>IF(F44="","",1)</f>
        <v/>
      </c>
    </row>
    <row r="45" spans="1:13">
      <c r="A45" s="17"/>
      <c r="B45" s="39" t="s">
        <v>25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6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6" width="10" style="7" customWidth="1"/>
    <col min="7" max="7" width="9.85546875" style="7" customWidth="1"/>
    <col min="8" max="8" width="10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76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82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7"/>
      <c r="D9" s="107"/>
      <c r="E9" s="107"/>
      <c r="F9" s="107"/>
      <c r="G9" s="107"/>
      <c r="H9" s="107"/>
      <c r="I9" s="8"/>
      <c r="J9" s="8"/>
      <c r="K9" s="16"/>
    </row>
    <row r="10" spans="1:14" ht="15.75" customHeight="1">
      <c r="A10" s="14"/>
      <c r="B10" s="9"/>
      <c r="C10" s="114" t="s">
        <v>140</v>
      </c>
      <c r="D10" s="114"/>
      <c r="E10" s="113" t="s">
        <v>1</v>
      </c>
      <c r="F10" s="113" t="s">
        <v>4</v>
      </c>
      <c r="G10" s="114" t="s">
        <v>141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107">
        <v>2009</v>
      </c>
      <c r="D11" s="107">
        <v>2010</v>
      </c>
      <c r="E11" s="113"/>
      <c r="F11" s="113"/>
      <c r="G11" s="107">
        <v>2009</v>
      </c>
      <c r="H11" s="107">
        <v>2010</v>
      </c>
      <c r="I11" s="113"/>
      <c r="J11" s="113"/>
      <c r="K11" s="16"/>
      <c r="N11" s="2"/>
    </row>
    <row r="12" spans="1:14" ht="12" customHeight="1">
      <c r="A12" s="14"/>
      <c r="B12" s="9"/>
      <c r="C12" s="107"/>
      <c r="D12" s="107"/>
      <c r="E12" s="107"/>
      <c r="F12" s="107"/>
      <c r="G12" s="107"/>
      <c r="H12" s="107"/>
      <c r="I12" s="107"/>
      <c r="J12" s="107"/>
      <c r="K12" s="16"/>
    </row>
    <row r="13" spans="1:14">
      <c r="A13" s="14"/>
      <c r="B13" s="10" t="s">
        <v>31</v>
      </c>
      <c r="C13" s="100">
        <f>SUM(C14:C42)</f>
        <v>6909.3568490801108</v>
      </c>
      <c r="D13" s="100">
        <f>SUM(D14:D42)</f>
        <v>7432.1711762498435</v>
      </c>
      <c r="E13" s="99">
        <f>IF(OR(OR(D13=0,C13=0),D13=""),"",(D13/C13-1)*100)</f>
        <v>7.5667582177252557</v>
      </c>
      <c r="F13" s="99">
        <f>(D13/D$13)*100</f>
        <v>100</v>
      </c>
      <c r="G13" s="100">
        <f>SUM(G14:G42)</f>
        <v>707.00735076000046</v>
      </c>
      <c r="H13" s="100">
        <f>SUM(H14:H42)</f>
        <v>700.9484581800001</v>
      </c>
      <c r="I13" s="99">
        <f>IF(OR(OR(H13=0,G13=0),H13=""),"",(H13/G13-1)*100)</f>
        <v>-0.85697731055940363</v>
      </c>
      <c r="J13" s="99">
        <f>(H13/H$13)*100</f>
        <v>100</v>
      </c>
      <c r="K13" s="16"/>
    </row>
    <row r="14" spans="1:14">
      <c r="A14" s="14"/>
      <c r="B14" s="9" t="str">
        <f>+[19]Alta_tek!A2</f>
        <v>Bogotá</v>
      </c>
      <c r="C14" s="25">
        <f>[19]Alta_tek!B2/1000000</f>
        <v>5431.6553431601069</v>
      </c>
      <c r="D14" s="25">
        <f>[19]Alta_tek!C2/1000000</f>
        <v>5867.5619741198416</v>
      </c>
      <c r="E14" s="25">
        <f>IF(OR(OR(D14=0,C14=0),D14=""),"",(D14/C14-1)*100)</f>
        <v>8.0252999025178795</v>
      </c>
      <c r="F14" s="25">
        <f>(D14/D$13)*100</f>
        <v>78.948154381456547</v>
      </c>
      <c r="G14" s="25">
        <f>[19]Alta_tek!D2/1000000</f>
        <v>562.56373108000048</v>
      </c>
      <c r="H14" s="25">
        <f>[19]Alta_tek!E2/1000000</f>
        <v>457.37246322000016</v>
      </c>
      <c r="I14" s="25">
        <f>IF(OR(OR(H14=0,G14=0),H14=""),"",(H14/G14-1)*100)</f>
        <v>-18.698551301566468</v>
      </c>
      <c r="J14" s="25">
        <f>(H14/H$13)*100</f>
        <v>65.250512770590788</v>
      </c>
      <c r="K14" s="16"/>
    </row>
    <row r="15" spans="1:14">
      <c r="A15" s="14"/>
      <c r="B15" s="9" t="str">
        <f>+[19]Alta_tek!A3</f>
        <v>Valle del Cauca</v>
      </c>
      <c r="C15" s="22">
        <f>[19]Alta_tek!B3/1000000</f>
        <v>310.53903933000123</v>
      </c>
      <c r="D15" s="22">
        <f>[19]Alta_tek!C3/1000000</f>
        <v>457.2952059100021</v>
      </c>
      <c r="E15" s="22">
        <f t="shared" ref="E15:E42" si="0">IF(OR(OR(D15=0,C15=0),D15=""),"",(D15/C15-1)*100)</f>
        <v>47.258524047936909</v>
      </c>
      <c r="F15" s="22">
        <f t="shared" ref="F15:F42" si="1">(D15/D$13)*100</f>
        <v>6.1529154141568903</v>
      </c>
      <c r="G15" s="22">
        <f>[19]Alta_tek!D3/1000000</f>
        <v>29.276448669999997</v>
      </c>
      <c r="H15" s="22">
        <f>[19]Alta_tek!E3/1000000</f>
        <v>25.967041459999944</v>
      </c>
      <c r="I15" s="22">
        <f t="shared" ref="I15:I42" si="2">IF(OR(OR(H15=0,G15=0),H15=""),"",(H15/G15-1)*100)</f>
        <v>-11.303991297931059</v>
      </c>
      <c r="J15" s="22">
        <f t="shared" ref="J15:J42" si="3">(H15/H$13)*100</f>
        <v>3.7045578967992729</v>
      </c>
      <c r="K15" s="16"/>
    </row>
    <row r="16" spans="1:14">
      <c r="A16" s="14"/>
      <c r="B16" s="9" t="str">
        <f>+[19]Alta_tek!A4</f>
        <v>Cundinamarca</v>
      </c>
      <c r="C16" s="22">
        <f>[19]Alta_tek!B4/1000000</f>
        <v>299.44872481000203</v>
      </c>
      <c r="D16" s="22">
        <f>[19]Alta_tek!C4/1000000</f>
        <v>392.47542394000078</v>
      </c>
      <c r="E16" s="22">
        <f t="shared" si="0"/>
        <v>31.065986067906447</v>
      </c>
      <c r="F16" s="22">
        <f t="shared" si="1"/>
        <v>5.280764054441998</v>
      </c>
      <c r="G16" s="22">
        <f>[19]Alta_tek!D4/1000000</f>
        <v>36.119349179999922</v>
      </c>
      <c r="H16" s="22">
        <f>[19]Alta_tek!E4/1000000</f>
        <v>80.227149640000022</v>
      </c>
      <c r="I16" s="22">
        <f t="shared" si="2"/>
        <v>122.11681954785485</v>
      </c>
      <c r="J16" s="22">
        <f t="shared" si="3"/>
        <v>11.445513390286692</v>
      </c>
      <c r="K16" s="16"/>
    </row>
    <row r="17" spans="1:11">
      <c r="A17" s="14"/>
      <c r="B17" s="9" t="str">
        <f>+[19]Alta_tek!A5</f>
        <v>Antioquia</v>
      </c>
      <c r="C17" s="22">
        <f>[19]Alta_tek!B5/1000000</f>
        <v>265.88571155000125</v>
      </c>
      <c r="D17" s="22">
        <f>[19]Alta_tek!C5/1000000</f>
        <v>222.43115969000038</v>
      </c>
      <c r="E17" s="22">
        <f t="shared" si="0"/>
        <v>-16.343319694269841</v>
      </c>
      <c r="F17" s="22">
        <f t="shared" si="1"/>
        <v>2.9928153485054101</v>
      </c>
      <c r="G17" s="22">
        <f>[19]Alta_tek!D5/1000000</f>
        <v>19.758076659999983</v>
      </c>
      <c r="H17" s="22">
        <f>[19]Alta_tek!E5/1000000</f>
        <v>24.280003230000027</v>
      </c>
      <c r="I17" s="22">
        <f t="shared" si="2"/>
        <v>22.88647143046385</v>
      </c>
      <c r="J17" s="22">
        <f t="shared" si="3"/>
        <v>3.4638785415182469</v>
      </c>
      <c r="K17" s="16"/>
    </row>
    <row r="18" spans="1:11">
      <c r="A18" s="14"/>
      <c r="B18" s="9" t="str">
        <f>+[19]Alta_tek!A6</f>
        <v>Bolívar</v>
      </c>
      <c r="C18" s="22">
        <f>[19]Alta_tek!B6/1000000</f>
        <v>219.27872235999763</v>
      </c>
      <c r="D18" s="22">
        <f>[19]Alta_tek!C6/1000000</f>
        <v>104.25680359000027</v>
      </c>
      <c r="E18" s="22">
        <f t="shared" si="0"/>
        <v>-52.454664790121221</v>
      </c>
      <c r="F18" s="22">
        <f t="shared" si="1"/>
        <v>1.4027772116331505</v>
      </c>
      <c r="G18" s="22">
        <f>[19]Alta_tek!D6/1000000</f>
        <v>35.851811479999967</v>
      </c>
      <c r="H18" s="22">
        <f>[19]Alta_tek!E6/1000000</f>
        <v>29.052035750000005</v>
      </c>
      <c r="I18" s="22">
        <f t="shared" si="2"/>
        <v>-18.966337959779899</v>
      </c>
      <c r="J18" s="22">
        <f t="shared" si="3"/>
        <v>4.1446750343717262</v>
      </c>
      <c r="K18" s="16"/>
    </row>
    <row r="19" spans="1:11">
      <c r="A19" s="14"/>
      <c r="B19" s="9" t="str">
        <f>+[19]Alta_tek!A7</f>
        <v>Atlántico</v>
      </c>
      <c r="C19" s="22">
        <f>[19]Alta_tek!B7/1000000</f>
        <v>70.560165269999828</v>
      </c>
      <c r="D19" s="22">
        <f>[19]Alta_tek!C7/1000000</f>
        <v>88.640412639999624</v>
      </c>
      <c r="E19" s="22">
        <f t="shared" si="0"/>
        <v>25.6238733296831</v>
      </c>
      <c r="F19" s="22">
        <f t="shared" si="1"/>
        <v>1.1926583839088349</v>
      </c>
      <c r="G19" s="22">
        <f>[19]Alta_tek!D7/1000000</f>
        <v>7.8615518800000004</v>
      </c>
      <c r="H19" s="22">
        <f>[19]Alta_tek!E7/1000000</f>
        <v>8.2206476600000009</v>
      </c>
      <c r="I19" s="22">
        <f t="shared" si="2"/>
        <v>4.5677467436620267</v>
      </c>
      <c r="J19" s="22">
        <f t="shared" si="3"/>
        <v>1.1727891778726161</v>
      </c>
      <c r="K19" s="16"/>
    </row>
    <row r="20" spans="1:11">
      <c r="A20" s="14"/>
      <c r="B20" s="9" t="str">
        <f>+[19]Alta_tek!A8</f>
        <v>Magdalena</v>
      </c>
      <c r="C20" s="22">
        <f>[19]Alta_tek!B8/1000000</f>
        <v>165.28369538999988</v>
      </c>
      <c r="D20" s="22">
        <f>[19]Alta_tek!C8/1000000</f>
        <v>68.370992520000001</v>
      </c>
      <c r="E20" s="22">
        <f t="shared" si="0"/>
        <v>-58.634157858902384</v>
      </c>
      <c r="F20" s="22">
        <f t="shared" si="1"/>
        <v>0.91993296304161454</v>
      </c>
      <c r="G20" s="22">
        <f>[19]Alta_tek!D8/1000000</f>
        <v>0.85730450999999974</v>
      </c>
      <c r="H20" s="22">
        <f>[19]Alta_tek!E8/1000000</f>
        <v>0.32578439999999997</v>
      </c>
      <c r="I20" s="22">
        <f t="shared" si="2"/>
        <v>-61.998986801084243</v>
      </c>
      <c r="J20" s="22">
        <f t="shared" si="3"/>
        <v>4.647765412679461E-2</v>
      </c>
      <c r="K20" s="16"/>
    </row>
    <row r="21" spans="1:11">
      <c r="A21" s="14"/>
      <c r="B21" s="9" t="str">
        <f>+[19]Alta_tek!A9</f>
        <v>Meta</v>
      </c>
      <c r="C21" s="22">
        <f>[19]Alta_tek!B9/1000000</f>
        <v>2.2538794799999979</v>
      </c>
      <c r="D21" s="22">
        <f>[19]Alta_tek!C9/1000000</f>
        <v>54.660962919999996</v>
      </c>
      <c r="E21" s="22">
        <f t="shared" si="0"/>
        <v>2325.1945769522708</v>
      </c>
      <c r="F21" s="22">
        <f t="shared" si="1"/>
        <v>0.73546426237697415</v>
      </c>
      <c r="G21" s="22">
        <f>[19]Alta_tek!D9/1000000</f>
        <v>3.4605060000000007E-2</v>
      </c>
      <c r="H21" s="22">
        <f>[19]Alta_tek!E9/1000000</f>
        <v>37.464951210000002</v>
      </c>
      <c r="I21" s="22">
        <f t="shared" si="2"/>
        <v>108164.37292696501</v>
      </c>
      <c r="J21" s="22">
        <f t="shared" si="3"/>
        <v>5.3448938752611097</v>
      </c>
      <c r="K21" s="16"/>
    </row>
    <row r="22" spans="1:11">
      <c r="A22" s="14"/>
      <c r="B22" s="9" t="str">
        <f>+[19]Alta_tek!A10</f>
        <v>Santander</v>
      </c>
      <c r="C22" s="22">
        <f>[19]Alta_tek!B10/1000000</f>
        <v>29.985901000000094</v>
      </c>
      <c r="D22" s="22">
        <f>[19]Alta_tek!C10/1000000</f>
        <v>34.20730894999997</v>
      </c>
      <c r="E22" s="22">
        <f t="shared" si="0"/>
        <v>14.077976012793014</v>
      </c>
      <c r="F22" s="22">
        <f t="shared" si="1"/>
        <v>0.46025997166632049</v>
      </c>
      <c r="G22" s="22">
        <f>[19]Alta_tek!D10/1000000</f>
        <v>3.0066387399999979</v>
      </c>
      <c r="H22" s="22">
        <f>[19]Alta_tek!E10/1000000</f>
        <v>4.3921117300000017</v>
      </c>
      <c r="I22" s="22">
        <f t="shared" si="2"/>
        <v>46.080460933594061</v>
      </c>
      <c r="J22" s="22">
        <f t="shared" si="3"/>
        <v>0.62659553334406914</v>
      </c>
      <c r="K22" s="16"/>
    </row>
    <row r="23" spans="1:11">
      <c r="A23" s="14"/>
      <c r="B23" s="9" t="str">
        <f>+[19]Alta_tek!A11</f>
        <v>Cesar</v>
      </c>
      <c r="C23" s="22">
        <f>[19]Alta_tek!B11/1000000</f>
        <v>27.539467490000003</v>
      </c>
      <c r="D23" s="22">
        <f>[19]Alta_tek!C11/1000000</f>
        <v>22.832552210000031</v>
      </c>
      <c r="E23" s="22">
        <f t="shared" si="0"/>
        <v>-17.091526122315635</v>
      </c>
      <c r="F23" s="22">
        <f t="shared" si="1"/>
        <v>0.30721241032450197</v>
      </c>
      <c r="G23" s="22">
        <f>[19]Alta_tek!D11/1000000</f>
        <v>2.4201379400000009</v>
      </c>
      <c r="H23" s="22">
        <f>[19]Alta_tek!E11/1000000</f>
        <v>4.485018820000005</v>
      </c>
      <c r="I23" s="22">
        <f t="shared" si="2"/>
        <v>85.320792913151195</v>
      </c>
      <c r="J23" s="22">
        <f t="shared" si="3"/>
        <v>0.63985001574085421</v>
      </c>
      <c r="K23" s="16"/>
    </row>
    <row r="24" spans="1:11">
      <c r="A24" s="14"/>
      <c r="B24" s="9" t="str">
        <f>+[19]Alta_tek!A12</f>
        <v>Casanare</v>
      </c>
      <c r="C24" s="22">
        <f>[19]Alta_tek!B12/1000000</f>
        <v>11.270187889999997</v>
      </c>
      <c r="D24" s="22">
        <f>[19]Alta_tek!C12/1000000</f>
        <v>21.507675330000009</v>
      </c>
      <c r="E24" s="22">
        <f t="shared" si="0"/>
        <v>90.836883465658119</v>
      </c>
      <c r="F24" s="22">
        <f t="shared" si="1"/>
        <v>0.28938616751360191</v>
      </c>
      <c r="G24" s="22">
        <f>[19]Alta_tek!D12/1000000</f>
        <v>1.2330766599999996</v>
      </c>
      <c r="H24" s="22">
        <f>[19]Alta_tek!E12/1000000</f>
        <v>16.741958520000001</v>
      </c>
      <c r="I24" s="22">
        <f t="shared" si="2"/>
        <v>1257.7386599791782</v>
      </c>
      <c r="J24" s="22">
        <f t="shared" si="3"/>
        <v>2.3884721229675279</v>
      </c>
      <c r="K24" s="16"/>
    </row>
    <row r="25" spans="1:11">
      <c r="A25" s="14"/>
      <c r="B25" s="9" t="str">
        <f>+[19]Alta_tek!A13</f>
        <v>Guajira</v>
      </c>
      <c r="C25" s="22">
        <f>[19]Alta_tek!B13/1000000</f>
        <v>18.60256116999998</v>
      </c>
      <c r="D25" s="22">
        <f>[19]Alta_tek!C13/1000000</f>
        <v>21.205588080000002</v>
      </c>
      <c r="E25" s="22">
        <f t="shared" si="0"/>
        <v>13.992841556666269</v>
      </c>
      <c r="F25" s="22">
        <f t="shared" si="1"/>
        <v>0.2853215780035358</v>
      </c>
      <c r="G25" s="22">
        <f>[19]Alta_tek!D13/1000000</f>
        <v>1.7942889700000006</v>
      </c>
      <c r="H25" s="22">
        <f>[19]Alta_tek!E13/1000000</f>
        <v>2.7557622400000006</v>
      </c>
      <c r="I25" s="22">
        <f t="shared" si="2"/>
        <v>53.585196480364019</v>
      </c>
      <c r="J25" s="22">
        <f t="shared" si="3"/>
        <v>0.39314762845121126</v>
      </c>
      <c r="K25" s="16"/>
    </row>
    <row r="26" spans="1:11">
      <c r="A26" s="14"/>
      <c r="B26" s="9" t="str">
        <f>+[19]Alta_tek!A14</f>
        <v>Risaralda</v>
      </c>
      <c r="C26" s="22">
        <f>[19]Alta_tek!B14/1000000</f>
        <v>14.470730430000007</v>
      </c>
      <c r="D26" s="22">
        <f>[19]Alta_tek!C14/1000000</f>
        <v>19.24965291000003</v>
      </c>
      <c r="E26" s="22">
        <f t="shared" si="0"/>
        <v>33.024749532287579</v>
      </c>
      <c r="F26" s="22">
        <f t="shared" si="1"/>
        <v>0.25900443428313369</v>
      </c>
      <c r="G26" s="22">
        <f>[19]Alta_tek!D14/1000000</f>
        <v>1.4701969200000005</v>
      </c>
      <c r="H26" s="22">
        <f>[19]Alta_tek!E14/1000000</f>
        <v>2.328798969999998</v>
      </c>
      <c r="I26" s="22">
        <f t="shared" si="2"/>
        <v>58.400479440536259</v>
      </c>
      <c r="J26" s="22">
        <f t="shared" si="3"/>
        <v>0.33223540801369078</v>
      </c>
      <c r="K26" s="16"/>
    </row>
    <row r="27" spans="1:11">
      <c r="A27" s="14"/>
      <c r="B27" s="9" t="str">
        <f>+[19]Alta_tek!A15</f>
        <v>Cauca</v>
      </c>
      <c r="C27" s="22">
        <f>[19]Alta_tek!B15/1000000</f>
        <v>11.373029269999986</v>
      </c>
      <c r="D27" s="22">
        <f>[19]Alta_tek!C15/1000000</f>
        <v>16.934983320000008</v>
      </c>
      <c r="E27" s="22">
        <f t="shared" si="0"/>
        <v>48.904772140800354</v>
      </c>
      <c r="F27" s="22">
        <f t="shared" si="1"/>
        <v>0.22786051233746116</v>
      </c>
      <c r="G27" s="22">
        <f>[19]Alta_tek!D15/1000000</f>
        <v>1.26431929</v>
      </c>
      <c r="H27" s="22">
        <f>[19]Alta_tek!E15/1000000</f>
        <v>2.2747074199999999</v>
      </c>
      <c r="I27" s="22">
        <f t="shared" si="2"/>
        <v>79.915582874639199</v>
      </c>
      <c r="J27" s="22">
        <f t="shared" si="3"/>
        <v>0.32451849967774182</v>
      </c>
      <c r="K27" s="16"/>
    </row>
    <row r="28" spans="1:11">
      <c r="A28" s="14"/>
      <c r="B28" s="9" t="str">
        <f>+[19]Alta_tek!A16</f>
        <v>Boyacá</v>
      </c>
      <c r="C28" s="22">
        <f>[19]Alta_tek!B16/1000000</f>
        <v>5.7335434299999974</v>
      </c>
      <c r="D28" s="22">
        <f>[19]Alta_tek!C16/1000000</f>
        <v>12.903926850000007</v>
      </c>
      <c r="E28" s="22">
        <f t="shared" si="0"/>
        <v>125.06024428945528</v>
      </c>
      <c r="F28" s="22">
        <f t="shared" si="1"/>
        <v>0.17362257332333303</v>
      </c>
      <c r="G28" s="22">
        <f>[19]Alta_tek!D16/1000000</f>
        <v>0.21900123999999999</v>
      </c>
      <c r="H28" s="22">
        <f>[19]Alta_tek!E16/1000000</f>
        <v>2.9725637099999997</v>
      </c>
      <c r="I28" s="22">
        <f t="shared" si="2"/>
        <v>1257.327342073497</v>
      </c>
      <c r="J28" s="22">
        <f t="shared" si="3"/>
        <v>0.42407735908546074</v>
      </c>
      <c r="K28" s="16"/>
    </row>
    <row r="29" spans="1:11">
      <c r="A29" s="14"/>
      <c r="B29" s="9" t="str">
        <f>+[19]Alta_tek!A17</f>
        <v>Caldas</v>
      </c>
      <c r="C29" s="22">
        <f>[19]Alta_tek!B17/1000000</f>
        <v>7.4734993300000019</v>
      </c>
      <c r="D29" s="22">
        <f>[19]Alta_tek!C17/1000000</f>
        <v>8.3242485300000126</v>
      </c>
      <c r="E29" s="22">
        <f t="shared" si="0"/>
        <v>11.383545544520857</v>
      </c>
      <c r="F29" s="22">
        <f t="shared" si="1"/>
        <v>0.11200291721752698</v>
      </c>
      <c r="G29" s="22">
        <f>[19]Alta_tek!D17/1000000</f>
        <v>0.77945326000000015</v>
      </c>
      <c r="H29" s="22">
        <f>[19]Alta_tek!E17/1000000</f>
        <v>0.4757442899999999</v>
      </c>
      <c r="I29" s="22">
        <f t="shared" si="2"/>
        <v>-38.964359453702222</v>
      </c>
      <c r="J29" s="22">
        <f t="shared" si="3"/>
        <v>6.7871508161279251E-2</v>
      </c>
      <c r="K29" s="16"/>
    </row>
    <row r="30" spans="1:11">
      <c r="A30" s="14"/>
      <c r="B30" s="9" t="str">
        <f>+[19]Alta_tek!A18</f>
        <v>Huila</v>
      </c>
      <c r="C30" s="22">
        <f>[19]Alta_tek!B18/1000000</f>
        <v>4.3269319799999977</v>
      </c>
      <c r="D30" s="22">
        <f>[19]Alta_tek!C18/1000000</f>
        <v>7.3169974699999942</v>
      </c>
      <c r="E30" s="22">
        <f t="shared" si="0"/>
        <v>69.103593581334692</v>
      </c>
      <c r="F30" s="22">
        <f t="shared" si="1"/>
        <v>9.8450335662102373E-2</v>
      </c>
      <c r="G30" s="22">
        <f>[19]Alta_tek!D18/1000000</f>
        <v>0.96304223</v>
      </c>
      <c r="H30" s="22">
        <f>[19]Alta_tek!E18/1000000</f>
        <v>0.38316309999999998</v>
      </c>
      <c r="I30" s="22">
        <f t="shared" si="2"/>
        <v>-60.213260845269481</v>
      </c>
      <c r="J30" s="22">
        <f t="shared" si="3"/>
        <v>5.4663519910561745E-2</v>
      </c>
      <c r="K30" s="16"/>
    </row>
    <row r="31" spans="1:11">
      <c r="A31" s="14"/>
      <c r="B31" s="9" t="str">
        <f>+[19]Alta_tek!A19</f>
        <v>Tolima</v>
      </c>
      <c r="C31" s="22">
        <f>[19]Alta_tek!B19/1000000</f>
        <v>2.2695450699999995</v>
      </c>
      <c r="D31" s="22">
        <f>[19]Alta_tek!C19/1000000</f>
        <v>2.9513187999999975</v>
      </c>
      <c r="E31" s="22">
        <f t="shared" si="0"/>
        <v>30.040105350276125</v>
      </c>
      <c r="F31" s="22">
        <f t="shared" si="1"/>
        <v>3.9710048786701743E-2</v>
      </c>
      <c r="G31" s="22">
        <f>[19]Alta_tek!D19/1000000</f>
        <v>0.70239951</v>
      </c>
      <c r="H31" s="22">
        <f>[19]Alta_tek!E19/1000000</f>
        <v>0.22765877000000001</v>
      </c>
      <c r="I31" s="22">
        <f t="shared" si="2"/>
        <v>-67.58842129602283</v>
      </c>
      <c r="J31" s="22">
        <f t="shared" si="3"/>
        <v>3.2478674764634174E-2</v>
      </c>
      <c r="K31" s="16"/>
    </row>
    <row r="32" spans="1:11">
      <c r="A32" s="14"/>
      <c r="B32" s="9" t="str">
        <f>+[19]Alta_tek!A20</f>
        <v>Córdoba</v>
      </c>
      <c r="C32" s="22">
        <f>[19]Alta_tek!B20/1000000</f>
        <v>1.7710009900000006</v>
      </c>
      <c r="D32" s="22">
        <f>[19]Alta_tek!C20/1000000</f>
        <v>2.5552324399999993</v>
      </c>
      <c r="E32" s="22">
        <f t="shared" si="0"/>
        <v>44.281818837379561</v>
      </c>
      <c r="F32" s="22">
        <f t="shared" si="1"/>
        <v>3.4380699521096465E-2</v>
      </c>
      <c r="G32" s="22">
        <f>[19]Alta_tek!D20/1000000</f>
        <v>0.16867705000000002</v>
      </c>
      <c r="H32" s="22">
        <f>[19]Alta_tek!E20/1000000</f>
        <v>0.27006091999999998</v>
      </c>
      <c r="I32" s="22">
        <f t="shared" si="2"/>
        <v>60.105313674859715</v>
      </c>
      <c r="J32" s="22">
        <f t="shared" si="3"/>
        <v>3.8527928387375052E-2</v>
      </c>
      <c r="K32" s="16"/>
    </row>
    <row r="33" spans="1:13">
      <c r="A33" s="14"/>
      <c r="B33" s="9" t="str">
        <f>+[19]Alta_tek!A21</f>
        <v>Norte de Santander</v>
      </c>
      <c r="C33" s="22">
        <f>[19]Alta_tek!B21/1000000</f>
        <v>3.2859360799999986</v>
      </c>
      <c r="D33" s="22">
        <f>[19]Alta_tek!C21/1000000</f>
        <v>2.0294968999999998</v>
      </c>
      <c r="E33" s="22">
        <f t="shared" si="0"/>
        <v>-38.23687221572488</v>
      </c>
      <c r="F33" s="22">
        <f t="shared" si="1"/>
        <v>2.7306918151797092E-2</v>
      </c>
      <c r="G33" s="22">
        <f>[19]Alta_tek!D21/1000000</f>
        <v>0.38784766000000004</v>
      </c>
      <c r="H33" s="22">
        <f>[19]Alta_tek!E21/1000000</f>
        <v>0.39659727</v>
      </c>
      <c r="I33" s="22">
        <f t="shared" si="2"/>
        <v>2.2559398708245304</v>
      </c>
      <c r="J33" s="22">
        <f t="shared" si="3"/>
        <v>5.6580090215157551E-2</v>
      </c>
      <c r="K33" s="16"/>
    </row>
    <row r="34" spans="1:13">
      <c r="A34" s="14"/>
      <c r="B34" s="9" t="str">
        <f>+[19]Alta_tek!A22</f>
        <v>Quindío</v>
      </c>
      <c r="C34" s="22">
        <f>[19]Alta_tek!B22/1000000</f>
        <v>0.85713826000000037</v>
      </c>
      <c r="D34" s="22">
        <f>[19]Alta_tek!C22/1000000</f>
        <v>1.9436255999999976</v>
      </c>
      <c r="E34" s="22">
        <f t="shared" si="0"/>
        <v>126.75753617625199</v>
      </c>
      <c r="F34" s="22">
        <f t="shared" si="1"/>
        <v>2.6151518229437776E-2</v>
      </c>
      <c r="G34" s="22">
        <f>[19]Alta_tek!D22/1000000</f>
        <v>0.10581619</v>
      </c>
      <c r="H34" s="22">
        <f>[19]Alta_tek!E22/1000000</f>
        <v>9.811740999999996E-2</v>
      </c>
      <c r="I34" s="22">
        <f t="shared" si="2"/>
        <v>-7.2756163305445432</v>
      </c>
      <c r="J34" s="22">
        <f t="shared" si="3"/>
        <v>1.3997806665380223E-2</v>
      </c>
      <c r="K34" s="16"/>
    </row>
    <row r="35" spans="1:13">
      <c r="A35" s="14"/>
      <c r="B35" s="9" t="str">
        <f>+[19]Alta_tek!A23</f>
        <v>Nariño</v>
      </c>
      <c r="C35" s="22">
        <f>[19]Alta_tek!B23/1000000</f>
        <v>1.5987935699999996</v>
      </c>
      <c r="D35" s="22">
        <f>[19]Alta_tek!C23/1000000</f>
        <v>1.3020094500000008</v>
      </c>
      <c r="E35" s="22">
        <f t="shared" si="0"/>
        <v>-18.563004353338673</v>
      </c>
      <c r="F35" s="22">
        <f t="shared" si="1"/>
        <v>1.7518561119268708E-2</v>
      </c>
      <c r="G35" s="22">
        <f>[19]Alta_tek!D23/1000000</f>
        <v>5.3796339999999998E-2</v>
      </c>
      <c r="H35" s="22">
        <f>[19]Alta_tek!E23/1000000</f>
        <v>0.12843988000000001</v>
      </c>
      <c r="I35" s="22">
        <f t="shared" si="2"/>
        <v>138.75207867301015</v>
      </c>
      <c r="J35" s="22">
        <f t="shared" si="3"/>
        <v>1.8323726730705963E-2</v>
      </c>
      <c r="K35" s="16"/>
    </row>
    <row r="36" spans="1:13">
      <c r="A36" s="14"/>
      <c r="B36" s="9" t="str">
        <f>+[19]Alta_tek!A24</f>
        <v>Aráuca</v>
      </c>
      <c r="C36" s="22">
        <f>[19]Alta_tek!B24/1000000</f>
        <v>2.7842088499999993</v>
      </c>
      <c r="D36" s="22">
        <f>[19]Alta_tek!C24/1000000</f>
        <v>0.53368905999999994</v>
      </c>
      <c r="E36" s="22">
        <f t="shared" si="0"/>
        <v>-80.831572315417361</v>
      </c>
      <c r="F36" s="22">
        <f t="shared" si="1"/>
        <v>7.1807961273207786E-3</v>
      </c>
      <c r="G36" s="22">
        <f>[19]Alta_tek!D24/1000000</f>
        <v>2.8140220000000001E-2</v>
      </c>
      <c r="H36" s="22">
        <f>[19]Alta_tek!E24/1000000</f>
        <v>1.5462190000000001E-2</v>
      </c>
      <c r="I36" s="22">
        <f t="shared" si="2"/>
        <v>-45.053059286672237</v>
      </c>
      <c r="J36" s="22">
        <f t="shared" si="3"/>
        <v>2.2058954291942229E-3</v>
      </c>
      <c r="K36" s="16"/>
    </row>
    <row r="37" spans="1:13">
      <c r="A37" s="14"/>
      <c r="B37" s="9" t="str">
        <f>+[19]Alta_tek!A25</f>
        <v>Sucre</v>
      </c>
      <c r="C37" s="22">
        <f>[19]Alta_tek!B25/1000000</f>
        <v>0.56213924000000026</v>
      </c>
      <c r="D37" s="22">
        <f>[19]Alta_tek!C25/1000000</f>
        <v>0.28060046999999999</v>
      </c>
      <c r="E37" s="22">
        <f t="shared" si="0"/>
        <v>-50.083457970306455</v>
      </c>
      <c r="F37" s="22">
        <f t="shared" si="1"/>
        <v>3.7754844896022237E-3</v>
      </c>
      <c r="G37" s="22">
        <f>[19]Alta_tek!D25/1000000</f>
        <v>4.9910090000000004E-2</v>
      </c>
      <c r="H37" s="22">
        <f>[19]Alta_tek!E25/1000000</f>
        <v>0</v>
      </c>
      <c r="I37" s="22" t="str">
        <f t="shared" si="2"/>
        <v/>
      </c>
      <c r="J37" s="22">
        <f t="shared" si="3"/>
        <v>0</v>
      </c>
      <c r="K37" s="16"/>
    </row>
    <row r="38" spans="1:13">
      <c r="A38" s="14"/>
      <c r="B38" s="9" t="str">
        <f>+[19]Alta_tek!A26</f>
        <v>Caquetá</v>
      </c>
      <c r="C38" s="22">
        <f>[19]Alta_tek!B26/1000000</f>
        <v>0.19203832000000001</v>
      </c>
      <c r="D38" s="22">
        <f>[19]Alta_tek!C26/1000000</f>
        <v>0.11948659000000002</v>
      </c>
      <c r="E38" s="22">
        <f t="shared" si="0"/>
        <v>-37.779819152760751</v>
      </c>
      <c r="F38" s="22">
        <f t="shared" si="1"/>
        <v>1.6076942681545053E-3</v>
      </c>
      <c r="G38" s="22">
        <f>[19]Alta_tek!D26/1000000</f>
        <v>1.5323480000000002E-2</v>
      </c>
      <c r="H38" s="22">
        <f>[19]Alta_tek!E26/1000000</f>
        <v>1.2717369999999999E-2</v>
      </c>
      <c r="I38" s="22">
        <f t="shared" si="2"/>
        <v>-17.007298603189369</v>
      </c>
      <c r="J38" s="22">
        <f t="shared" si="3"/>
        <v>1.8143088627401247E-3</v>
      </c>
      <c r="K38" s="16"/>
    </row>
    <row r="39" spans="1:13">
      <c r="A39" s="14"/>
      <c r="B39" s="9" t="str">
        <f>+[19]Alta_tek!A27</f>
        <v>Vichada</v>
      </c>
      <c r="C39" s="22">
        <f>[19]Alta_tek!B27/1000000</f>
        <v>0</v>
      </c>
      <c r="D39" s="22">
        <f>[19]Alta_tek!C27/1000000</f>
        <v>9.2752080000000001E-2</v>
      </c>
      <c r="E39" s="22" t="str">
        <f t="shared" si="0"/>
        <v/>
      </c>
      <c r="F39" s="22">
        <f t="shared" si="1"/>
        <v>1.2479809439319351E-3</v>
      </c>
      <c r="G39" s="22">
        <f>[19]Alta_tek!D27/1000000</f>
        <v>0</v>
      </c>
      <c r="H39" s="22">
        <f>[19]Alta_tek!E27/1000000</f>
        <v>3.9436000000000002E-3</v>
      </c>
      <c r="I39" s="22" t="str">
        <f t="shared" si="2"/>
        <v/>
      </c>
      <c r="J39" s="22">
        <f t="shared" si="3"/>
        <v>5.6260912681646894E-4</v>
      </c>
      <c r="K39" s="16"/>
    </row>
    <row r="40" spans="1:13">
      <c r="A40" s="14"/>
      <c r="B40" s="9" t="str">
        <f>+[19]Alta_tek!A28</f>
        <v>Chocó</v>
      </c>
      <c r="C40" s="22">
        <f>[19]Alta_tek!B28/1000000</f>
        <v>0</v>
      </c>
      <c r="D40" s="22">
        <f>[19]Alta_tek!C28/1000000</f>
        <v>8.111467E-2</v>
      </c>
      <c r="E40" s="22" t="str">
        <f t="shared" si="0"/>
        <v/>
      </c>
      <c r="F40" s="22">
        <f t="shared" si="1"/>
        <v>1.091399378141465E-3</v>
      </c>
      <c r="G40" s="22">
        <f>[19]Alta_tek!D28/1000000</f>
        <v>0</v>
      </c>
      <c r="H40" s="22">
        <f>[19]Alta_tek!E28/1000000</f>
        <v>7.5555399999999995E-2</v>
      </c>
      <c r="I40" s="22" t="str">
        <f t="shared" si="2"/>
        <v/>
      </c>
      <c r="J40" s="22">
        <f t="shared" si="3"/>
        <v>1.0779023638368249E-2</v>
      </c>
      <c r="K40" s="16"/>
    </row>
    <row r="41" spans="1:13">
      <c r="A41" s="14"/>
      <c r="B41" s="9" t="str">
        <f>+[19]Alta_tek!A29</f>
        <v>Putumayo</v>
      </c>
      <c r="C41" s="22">
        <f>[19]Alta_tek!B29/1000000</f>
        <v>0.33473719999999996</v>
      </c>
      <c r="D41" s="22">
        <f>[19]Alta_tek!C29/1000000</f>
        <v>6.774355E-2</v>
      </c>
      <c r="E41" s="22">
        <f t="shared" si="0"/>
        <v>-79.762168650511498</v>
      </c>
      <c r="F41" s="22">
        <f t="shared" si="1"/>
        <v>9.1149071238402681E-4</v>
      </c>
      <c r="G41" s="22">
        <f>[19]Alta_tek!D29/1000000</f>
        <v>1.425795E-2</v>
      </c>
      <c r="H41" s="22">
        <f>[19]Alta_tek!E29/1000000</f>
        <v>0</v>
      </c>
      <c r="I41" s="22" t="str">
        <f t="shared" si="2"/>
        <v/>
      </c>
      <c r="J41" s="22">
        <f t="shared" si="3"/>
        <v>0</v>
      </c>
      <c r="K41" s="16"/>
    </row>
    <row r="42" spans="1:13">
      <c r="A42" s="14"/>
      <c r="B42" s="9" t="str">
        <f>+[19]Alta_tek!A30</f>
        <v>San Andrés</v>
      </c>
      <c r="C42" s="22">
        <f>[19]Alta_tek!B30/1000000</f>
        <v>2.0178160000000004E-2</v>
      </c>
      <c r="D42" s="22">
        <f>[19]Alta_tek!C30/1000000</f>
        <v>3.8237659999999993E-2</v>
      </c>
      <c r="E42" s="22">
        <f t="shared" si="0"/>
        <v>89.500231933932469</v>
      </c>
      <c r="F42" s="22">
        <f t="shared" si="1"/>
        <v>5.1448841924136245E-4</v>
      </c>
      <c r="G42" s="22">
        <f>[19]Alta_tek!D30/1000000</f>
        <v>8.1484999999999995E-3</v>
      </c>
      <c r="H42" s="22">
        <f>[19]Alta_tek!E30/1000000</f>
        <v>0</v>
      </c>
      <c r="I42" s="22" t="str">
        <f t="shared" si="2"/>
        <v/>
      </c>
      <c r="J42" s="22">
        <f t="shared" si="3"/>
        <v>0</v>
      </c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M43" s="7" t="str">
        <f>IF(F43="","",1)</f>
        <v/>
      </c>
    </row>
    <row r="44" spans="1:13">
      <c r="A44" s="17"/>
      <c r="B44" s="39" t="s">
        <v>25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>
      <c r="B45" s="20"/>
      <c r="C45" s="20"/>
      <c r="D45" s="20"/>
      <c r="E45" s="20"/>
    </row>
    <row r="46" spans="1:13">
      <c r="B46" s="20"/>
      <c r="C46" s="20"/>
      <c r="D46" s="20"/>
      <c r="E46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34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35</vt:i4>
      </vt:variant>
      <vt:variant>
        <vt:lpstr>Rangos con nombre</vt:lpstr>
      </vt:variant>
      <vt:variant>
        <vt:i4>35</vt:i4>
      </vt:variant>
    </vt:vector>
  </HeadingPairs>
  <TitlesOfParts>
    <vt:vector size="70" baseType="lpstr">
      <vt:lpstr>Índice</vt:lpstr>
      <vt:lpstr>Comparativa balanza países</vt:lpstr>
      <vt:lpstr>Resumen importaciones totales</vt:lpstr>
      <vt:lpstr>País de origen con Reducción</vt:lpstr>
      <vt:lpstr>Por país de origen con Aumento</vt:lpstr>
      <vt:lpstr>Resumen impo pais origen</vt:lpstr>
      <vt:lpstr>Impo pais origen primarios</vt:lpstr>
      <vt:lpstr>Impo pais destino manufacturas</vt:lpstr>
      <vt:lpstr>Impo pais origen rec naturales</vt:lpstr>
      <vt:lpstr>Impo pais origen baja tek</vt:lpstr>
      <vt:lpstr>Impo pais origen media tek</vt:lpstr>
      <vt:lpstr>Expo pais destino alta tek</vt:lpstr>
      <vt:lpstr>Resumen actividades economicas</vt:lpstr>
      <vt:lpstr>Resumen capítulos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Histórico impo EEUU</vt:lpstr>
      <vt:lpstr>Histórico impo China</vt:lpstr>
      <vt:lpstr>Histórico impo México</vt:lpstr>
      <vt:lpstr>Histórico impo Brasil</vt:lpstr>
      <vt:lpstr>Histórico impo Alemania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'Comparativa balanza países'!Área_de_impresión</vt:lpstr>
      <vt:lpstr>'Expo pais destino alta tek'!Área_de_impresión</vt:lpstr>
      <vt:lpstr>'Histórico impo Alemania'!Área_de_impresión</vt:lpstr>
      <vt:lpstr>'Histórico impo alta tek'!Área_de_impresión</vt:lpstr>
      <vt:lpstr>'Histórico impo baja tek'!Área_de_impresión</vt:lpstr>
      <vt:lpstr>'Histórico impo Brasil'!Área_de_impresión</vt:lpstr>
      <vt:lpstr>'Histórico impo China'!Área_de_impresión</vt:lpstr>
      <vt:lpstr>'Histórico impo EEUU'!Área_de_impresión</vt:lpstr>
      <vt:lpstr>'Histórico impo manufacturas'!Área_de_impresión</vt:lpstr>
      <vt:lpstr>'Histórico impo media tek'!Área_de_impresión</vt:lpstr>
      <vt:lpstr>'Histórico impo México'!Área_de_impresión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manufacturas'!Área_de_impresión</vt:lpstr>
      <vt:lpstr>'Impo pais origen baja tek'!Área_de_impresión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'Resumen actividades economicas'!Área_de_impresión</vt:lpstr>
      <vt:lpstr>'Resumen capítulos'!Área_de_impresión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yeseniapatino</cp:lastModifiedBy>
  <cp:lastPrinted>2011-01-07T20:18:02Z</cp:lastPrinted>
  <dcterms:created xsi:type="dcterms:W3CDTF">2009-04-02T15:53:30Z</dcterms:created>
  <dcterms:modified xsi:type="dcterms:W3CDTF">2011-02-21T14:03:55Z</dcterms:modified>
</cp:coreProperties>
</file>